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5.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6.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E:\MBA\Material\carborundum\"/>
    </mc:Choice>
  </mc:AlternateContent>
  <xr:revisionPtr revIDLastSave="0" documentId="13_ncr:1_{E9091FD2-F075-45C5-BDCA-636CDA646CA3}" xr6:coauthVersionLast="47" xr6:coauthVersionMax="47" xr10:uidLastSave="{00000000-0000-0000-0000-000000000000}"/>
  <bookViews>
    <workbookView xWindow="-108" yWindow="-108" windowWidth="23256" windowHeight="12456" tabRatio="988" activeTab="1" xr2:uid="{00000000-000D-0000-FFFF-FFFF00000000}"/>
  </bookViews>
  <sheets>
    <sheet name="Info" sheetId="20" r:id="rId1"/>
    <sheet name="Historcial FS" sheetId="7" r:id="rId2"/>
    <sheet name="Common size statement" sheetId="11" r:id="rId3"/>
    <sheet name="Ratio Analysis" sheetId="9" r:id="rId4"/>
    <sheet name="Forecast" sheetId="10" r:id="rId5"/>
    <sheet name="Dupont Analysis" sheetId="12" r:id="rId6"/>
    <sheet name=" Dupont Summary" sheetId="13" r:id="rId7"/>
    <sheet name="Altman's Z score" sheetId="14" r:id="rId8"/>
    <sheet name="Relative Valuation" sheetId="17" r:id="rId9"/>
    <sheet name="Intrinsic Growth" sheetId="18" r:id="rId10"/>
    <sheet name="Data_for_Intrinsic_growth" sheetId="15" r:id="rId11"/>
    <sheet name="Data_for_Relative pricing" sheetId="16" r:id="rId12"/>
    <sheet name="Data Sheet" sheetId="6" r:id="rId13"/>
  </sheets>
  <definedNames>
    <definedName name="_xlnm.Print_Area" localSheetId="5">'Dupont Analysis'!$A$1:$J$44</definedName>
    <definedName name="_xlnm.Print_Area" localSheetId="4">Forecast!$A$1:$O$85</definedName>
    <definedName name="_xlnm.Print_Area" localSheetId="8">'Relative Valuation'!$A$1:$O$86</definedName>
    <definedName name="UPDATE">'Data Sheet'!$E$1</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D59" i="18" l="1"/>
  <c r="B53" i="18"/>
  <c r="H39" i="18"/>
  <c r="I39" i="18"/>
  <c r="J39" i="18"/>
  <c r="J46" i="18" s="1"/>
  <c r="K39" i="18"/>
  <c r="K46" i="18" s="1"/>
  <c r="G39" i="18"/>
  <c r="I46" i="18"/>
  <c r="H46" i="18"/>
  <c r="H44" i="18"/>
  <c r="I44" i="18"/>
  <c r="J44" i="18"/>
  <c r="K44" i="18"/>
  <c r="G44" i="18"/>
  <c r="H42" i="18"/>
  <c r="I42" i="18"/>
  <c r="J42" i="18"/>
  <c r="K42" i="18"/>
  <c r="G42" i="18"/>
  <c r="I40" i="18"/>
  <c r="J40" i="18"/>
  <c r="K40" i="18"/>
  <c r="H40" i="18"/>
  <c r="B37" i="18"/>
  <c r="H32" i="18"/>
  <c r="I32" i="18"/>
  <c r="J32" i="18"/>
  <c r="K32" i="18"/>
  <c r="G32" i="18"/>
  <c r="H28" i="18"/>
  <c r="I28" i="18"/>
  <c r="J28" i="18"/>
  <c r="K28" i="18"/>
  <c r="G28" i="18"/>
  <c r="H26" i="18"/>
  <c r="I26" i="18"/>
  <c r="J26" i="18"/>
  <c r="K26" i="18"/>
  <c r="G26" i="18"/>
  <c r="H25" i="18"/>
  <c r="I25" i="18"/>
  <c r="J25" i="18"/>
  <c r="K25" i="18"/>
  <c r="G25" i="18"/>
  <c r="H24" i="18"/>
  <c r="I24" i="18"/>
  <c r="J24" i="18"/>
  <c r="K24" i="18"/>
  <c r="G24" i="18"/>
  <c r="H23" i="18"/>
  <c r="I23" i="18"/>
  <c r="J23" i="18"/>
  <c r="K23" i="18"/>
  <c r="G23" i="18"/>
  <c r="H22" i="18"/>
  <c r="I22" i="18"/>
  <c r="J22" i="18"/>
  <c r="K22" i="18"/>
  <c r="G22" i="18"/>
  <c r="H21" i="18"/>
  <c r="I21" i="18"/>
  <c r="J21" i="18"/>
  <c r="K21" i="18"/>
  <c r="G21" i="18"/>
  <c r="H20" i="18"/>
  <c r="I20" i="18"/>
  <c r="J20" i="18"/>
  <c r="K20" i="18"/>
  <c r="G20" i="18"/>
  <c r="B2" i="18"/>
  <c r="H14" i="18"/>
  <c r="I14" i="18"/>
  <c r="I15" i="18" s="1"/>
  <c r="J14" i="18"/>
  <c r="K14" i="18"/>
  <c r="G14" i="18"/>
  <c r="G2" i="18"/>
  <c r="H2" i="18"/>
  <c r="I2" i="18"/>
  <c r="J2" i="18"/>
  <c r="J37" i="18" s="1"/>
  <c r="J53" i="18" s="1"/>
  <c r="K2" i="18"/>
  <c r="K37" i="18" s="1"/>
  <c r="K53" i="18" s="1"/>
  <c r="G5" i="18"/>
  <c r="H5" i="18"/>
  <c r="I5" i="18"/>
  <c r="J5" i="18"/>
  <c r="K5" i="18"/>
  <c r="G6" i="18"/>
  <c r="H6" i="18"/>
  <c r="I6" i="18"/>
  <c r="J6" i="18"/>
  <c r="K6" i="18"/>
  <c r="G7" i="18"/>
  <c r="H7" i="18"/>
  <c r="H9" i="18" s="1"/>
  <c r="I7" i="18"/>
  <c r="J7" i="18"/>
  <c r="K7" i="18"/>
  <c r="G8" i="18"/>
  <c r="H8" i="18"/>
  <c r="I8" i="18"/>
  <c r="J8" i="18"/>
  <c r="K8" i="18"/>
  <c r="G12" i="18"/>
  <c r="H12" i="18"/>
  <c r="I12" i="18"/>
  <c r="J12" i="18"/>
  <c r="K12" i="18"/>
  <c r="G13" i="18"/>
  <c r="H13" i="18"/>
  <c r="I13" i="18"/>
  <c r="J13" i="18"/>
  <c r="K13" i="18"/>
  <c r="G37" i="18"/>
  <c r="G53" i="18" s="1"/>
  <c r="H37" i="18"/>
  <c r="H53" i="18" s="1"/>
  <c r="I37" i="18"/>
  <c r="I53" i="18" s="1"/>
  <c r="O22" i="17"/>
  <c r="N26" i="17"/>
  <c r="O26" i="17"/>
  <c r="M26" i="17"/>
  <c r="N22" i="17"/>
  <c r="M22" i="17"/>
  <c r="N18" i="17"/>
  <c r="O18" i="17"/>
  <c r="M18" i="17"/>
  <c r="N17" i="17"/>
  <c r="O17" i="17"/>
  <c r="M17" i="17"/>
  <c r="N16" i="17"/>
  <c r="O16" i="17"/>
  <c r="M16" i="17"/>
  <c r="N15" i="17"/>
  <c r="O15" i="17"/>
  <c r="M15" i="17"/>
  <c r="N14" i="17"/>
  <c r="O14" i="17"/>
  <c r="M14" i="17"/>
  <c r="N13" i="17"/>
  <c r="O13" i="17"/>
  <c r="M13" i="17"/>
  <c r="O9" i="17"/>
  <c r="O10" i="17"/>
  <c r="O11" i="17"/>
  <c r="O8" i="17"/>
  <c r="N8" i="17"/>
  <c r="M8" i="17"/>
  <c r="K9" i="17"/>
  <c r="K10" i="17"/>
  <c r="K11" i="17"/>
  <c r="K8" i="17"/>
  <c r="J9" i="17"/>
  <c r="J10" i="17"/>
  <c r="J11" i="17"/>
  <c r="J8" i="17"/>
  <c r="I9" i="17"/>
  <c r="I10" i="17"/>
  <c r="I11" i="17"/>
  <c r="I8" i="17"/>
  <c r="G9" i="17"/>
  <c r="N9" i="17" s="1"/>
  <c r="G10" i="17"/>
  <c r="N10" i="17" s="1"/>
  <c r="G11" i="17"/>
  <c r="M11" i="17" s="1"/>
  <c r="G8" i="17"/>
  <c r="F9" i="17"/>
  <c r="F10" i="17"/>
  <c r="F11" i="17"/>
  <c r="F8" i="17"/>
  <c r="O23" i="17" s="1"/>
  <c r="E9" i="17"/>
  <c r="E10" i="17"/>
  <c r="E11" i="17"/>
  <c r="E8" i="17"/>
  <c r="D9" i="17"/>
  <c r="D10" i="17"/>
  <c r="D11" i="17"/>
  <c r="D8" i="17"/>
  <c r="M25" i="17" s="1"/>
  <c r="C9" i="17"/>
  <c r="C10" i="17"/>
  <c r="C11" i="17"/>
  <c r="C8" i="17"/>
  <c r="B2" i="17"/>
  <c r="B2" i="13"/>
  <c r="B2" i="12"/>
  <c r="A4" i="14"/>
  <c r="E34" i="14"/>
  <c r="F34" i="14"/>
  <c r="C33" i="14"/>
  <c r="C34" i="14" s="1"/>
  <c r="D33" i="14"/>
  <c r="E33" i="14"/>
  <c r="F33" i="14"/>
  <c r="G33" i="14"/>
  <c r="H33" i="14"/>
  <c r="I33" i="14"/>
  <c r="J33" i="14"/>
  <c r="K33" i="14"/>
  <c r="K34" i="14" s="1"/>
  <c r="B33" i="14"/>
  <c r="C32" i="14"/>
  <c r="D32" i="14"/>
  <c r="D34" i="14" s="1"/>
  <c r="E32" i="14"/>
  <c r="F32" i="14"/>
  <c r="G32" i="14"/>
  <c r="G34" i="14" s="1"/>
  <c r="H32" i="14"/>
  <c r="H34" i="14" s="1"/>
  <c r="I32" i="14"/>
  <c r="I34" i="14" s="1"/>
  <c r="J32" i="14"/>
  <c r="J34" i="14" s="1"/>
  <c r="K32" i="14"/>
  <c r="B32" i="14"/>
  <c r="B34" i="14" s="1"/>
  <c r="G28" i="14"/>
  <c r="H28" i="14"/>
  <c r="C27" i="14"/>
  <c r="D27" i="14"/>
  <c r="E27" i="14"/>
  <c r="E28" i="14" s="1"/>
  <c r="F27" i="14"/>
  <c r="G27" i="14"/>
  <c r="H27" i="14"/>
  <c r="I27" i="14"/>
  <c r="J27" i="14"/>
  <c r="K27" i="14"/>
  <c r="B27" i="14"/>
  <c r="C26" i="14"/>
  <c r="C28" i="14" s="1"/>
  <c r="D26" i="14"/>
  <c r="D28" i="14" s="1"/>
  <c r="E26" i="14"/>
  <c r="F26" i="14"/>
  <c r="F28" i="14" s="1"/>
  <c r="G26" i="14"/>
  <c r="H26" i="14"/>
  <c r="I26" i="14"/>
  <c r="I28" i="14" s="1"/>
  <c r="J26" i="14"/>
  <c r="J28" i="14" s="1"/>
  <c r="K26" i="14"/>
  <c r="K28" i="14" s="1"/>
  <c r="B26" i="14"/>
  <c r="B28" i="14" s="1"/>
  <c r="C20" i="14"/>
  <c r="D20" i="14"/>
  <c r="E20" i="14"/>
  <c r="F20" i="14"/>
  <c r="G20" i="14"/>
  <c r="H20" i="14"/>
  <c r="I20" i="14"/>
  <c r="J20" i="14"/>
  <c r="K20" i="14"/>
  <c r="B20" i="14"/>
  <c r="I15" i="14"/>
  <c r="I21" i="14" s="1"/>
  <c r="I22" i="14" s="1"/>
  <c r="J15" i="14"/>
  <c r="J21" i="14" s="1"/>
  <c r="J22" i="14" s="1"/>
  <c r="C14" i="14"/>
  <c r="D14" i="14"/>
  <c r="E14" i="14"/>
  <c r="F14" i="14"/>
  <c r="G14" i="14"/>
  <c r="G16" i="14" s="1"/>
  <c r="H14" i="14"/>
  <c r="H16" i="14" s="1"/>
  <c r="I14" i="14"/>
  <c r="I16" i="14" s="1"/>
  <c r="J14" i="14"/>
  <c r="J16" i="14" s="1"/>
  <c r="K14" i="14"/>
  <c r="B14" i="14"/>
  <c r="E10" i="14"/>
  <c r="F10" i="14"/>
  <c r="C9" i="14"/>
  <c r="C15" i="14" s="1"/>
  <c r="D9" i="14"/>
  <c r="D15" i="14" s="1"/>
  <c r="E9" i="14"/>
  <c r="E15" i="14" s="1"/>
  <c r="E21" i="14" s="1"/>
  <c r="F9" i="14"/>
  <c r="F15" i="14" s="1"/>
  <c r="F21" i="14" s="1"/>
  <c r="G9" i="14"/>
  <c r="G15" i="14" s="1"/>
  <c r="G21" i="14" s="1"/>
  <c r="H9" i="14"/>
  <c r="H15" i="14" s="1"/>
  <c r="H21" i="14" s="1"/>
  <c r="I9" i="14"/>
  <c r="J9" i="14"/>
  <c r="K9" i="14"/>
  <c r="K15" i="14" s="1"/>
  <c r="B9" i="14"/>
  <c r="B15" i="14" s="1"/>
  <c r="C8" i="14"/>
  <c r="C10" i="14" s="1"/>
  <c r="D8" i="14"/>
  <c r="D10" i="14" s="1"/>
  <c r="E8" i="14"/>
  <c r="F8" i="14"/>
  <c r="G8" i="14"/>
  <c r="G10" i="14" s="1"/>
  <c r="H8" i="14"/>
  <c r="H10" i="14" s="1"/>
  <c r="I8" i="14"/>
  <c r="I10" i="14" s="1"/>
  <c r="J8" i="14"/>
  <c r="J10" i="14" s="1"/>
  <c r="K8" i="14"/>
  <c r="K10" i="14" s="1"/>
  <c r="B8" i="14"/>
  <c r="B10" i="14" s="1"/>
  <c r="H15" i="18" l="1"/>
  <c r="H17" i="18" s="1"/>
  <c r="J15" i="18"/>
  <c r="H27" i="18"/>
  <c r="H29" i="18" s="1"/>
  <c r="J9" i="18"/>
  <c r="J17" i="18" s="1"/>
  <c r="G15" i="18"/>
  <c r="K9" i="18"/>
  <c r="I9" i="18"/>
  <c r="I17" i="18" s="1"/>
  <c r="G9" i="18"/>
  <c r="G17" i="18" s="1"/>
  <c r="J27" i="18"/>
  <c r="J29" i="18" s="1"/>
  <c r="G27" i="18"/>
  <c r="G29" i="18" s="1"/>
  <c r="K27" i="18"/>
  <c r="K29" i="18" s="1"/>
  <c r="I27" i="18"/>
  <c r="I29" i="18" s="1"/>
  <c r="K15" i="18"/>
  <c r="K17" i="18" s="1"/>
  <c r="M10" i="17"/>
  <c r="N11" i="17"/>
  <c r="M9" i="17"/>
  <c r="N25" i="17"/>
  <c r="M23" i="17"/>
  <c r="O25" i="17"/>
  <c r="N23" i="17"/>
  <c r="E22" i="14"/>
  <c r="F22" i="14"/>
  <c r="B21" i="14"/>
  <c r="B16" i="14"/>
  <c r="B38" i="14" s="1"/>
  <c r="B39" i="14" s="1"/>
  <c r="I38" i="14"/>
  <c r="I39" i="14" s="1"/>
  <c r="K16" i="14"/>
  <c r="K21" i="14"/>
  <c r="K22" i="14" s="1"/>
  <c r="K38" i="14" s="1"/>
  <c r="K39" i="14" s="1"/>
  <c r="C21" i="14"/>
  <c r="C22" i="14" s="1"/>
  <c r="C38" i="14" s="1"/>
  <c r="C39" i="14" s="1"/>
  <c r="C16" i="14"/>
  <c r="J38" i="14"/>
  <c r="J39" i="14" s="1"/>
  <c r="D16" i="14"/>
  <c r="D38" i="14" s="1"/>
  <c r="D39" i="14" s="1"/>
  <c r="D21" i="14"/>
  <c r="D22" i="14"/>
  <c r="H38" i="14"/>
  <c r="H39" i="14" s="1"/>
  <c r="F16" i="14"/>
  <c r="F38" i="14" s="1"/>
  <c r="F39" i="14" s="1"/>
  <c r="G38" i="14"/>
  <c r="G39" i="14" s="1"/>
  <c r="E38" i="14"/>
  <c r="E39" i="14" s="1"/>
  <c r="E16" i="14"/>
  <c r="B22" i="14"/>
  <c r="H22" i="14"/>
  <c r="G22" i="14"/>
  <c r="I47" i="18" l="1"/>
  <c r="I55" i="18" s="1"/>
  <c r="J31" i="18"/>
  <c r="J34" i="18" s="1"/>
  <c r="J56" i="18" s="1"/>
  <c r="H31" i="18"/>
  <c r="H34" i="18" s="1"/>
  <c r="H56" i="18" s="1"/>
  <c r="G31" i="18"/>
  <c r="G34" i="18" s="1"/>
  <c r="K47" i="18"/>
  <c r="K55" i="18" s="1"/>
  <c r="K31" i="18"/>
  <c r="K34" i="18" s="1"/>
  <c r="K56" i="18" s="1"/>
  <c r="J47" i="18"/>
  <c r="J55" i="18" s="1"/>
  <c r="I31" i="18"/>
  <c r="I34" i="18" s="1"/>
  <c r="I56" i="18" s="1"/>
  <c r="H47" i="18"/>
  <c r="O24" i="17"/>
  <c r="C25" i="14"/>
  <c r="C31" i="14" s="1"/>
  <c r="C37" i="14" s="1"/>
  <c r="G25" i="14"/>
  <c r="G31" i="14" s="1"/>
  <c r="G37" i="14" s="1"/>
  <c r="H25" i="14"/>
  <c r="H31" i="14" s="1"/>
  <c r="H37" i="14" s="1"/>
  <c r="I25" i="14"/>
  <c r="I31" i="14" s="1"/>
  <c r="I37" i="14" s="1"/>
  <c r="K25" i="14"/>
  <c r="K31" i="14" s="1"/>
  <c r="K37" i="14" s="1"/>
  <c r="I7" i="14"/>
  <c r="I13" i="14" s="1"/>
  <c r="I19" i="14" s="1"/>
  <c r="J7" i="14"/>
  <c r="J13" i="14" s="1"/>
  <c r="J19" i="14" s="1"/>
  <c r="J25" i="14" s="1"/>
  <c r="J31" i="14" s="1"/>
  <c r="J37" i="14" s="1"/>
  <c r="K7" i="14"/>
  <c r="K13" i="14" s="1"/>
  <c r="K19" i="14" s="1"/>
  <c r="C7" i="14"/>
  <c r="C13" i="14" s="1"/>
  <c r="C19" i="14" s="1"/>
  <c r="D7" i="14"/>
  <c r="D13" i="14" s="1"/>
  <c r="D19" i="14" s="1"/>
  <c r="D25" i="14" s="1"/>
  <c r="D31" i="14" s="1"/>
  <c r="D37" i="14" s="1"/>
  <c r="E7" i="14"/>
  <c r="E13" i="14" s="1"/>
  <c r="E19" i="14" s="1"/>
  <c r="E25" i="14" s="1"/>
  <c r="E31" i="14" s="1"/>
  <c r="E37" i="14" s="1"/>
  <c r="F7" i="14"/>
  <c r="F13" i="14" s="1"/>
  <c r="F19" i="14" s="1"/>
  <c r="F25" i="14" s="1"/>
  <c r="F31" i="14" s="1"/>
  <c r="F37" i="14" s="1"/>
  <c r="G7" i="14"/>
  <c r="G13" i="14" s="1"/>
  <c r="G19" i="14" s="1"/>
  <c r="H7" i="14"/>
  <c r="H13" i="14" s="1"/>
  <c r="H19" i="14" s="1"/>
  <c r="B7" i="14"/>
  <c r="B13" i="14" s="1"/>
  <c r="B19" i="14" s="1"/>
  <c r="B25" i="14" s="1"/>
  <c r="B31" i="14" s="1"/>
  <c r="B37" i="14" s="1"/>
  <c r="K57" i="18" l="1"/>
  <c r="I57" i="18"/>
  <c r="J57" i="18"/>
  <c r="D50" i="18"/>
  <c r="D49" i="18"/>
  <c r="H55" i="18"/>
  <c r="H57" i="18" s="1"/>
  <c r="O27" i="17"/>
  <c r="N24" i="17"/>
  <c r="N27" i="17" s="1"/>
  <c r="G2" i="10"/>
  <c r="L2" i="10"/>
  <c r="I4" i="10" a="1"/>
  <c r="I4" i="10" s="1"/>
  <c r="N4" i="10" a="1"/>
  <c r="N4" i="10" s="1"/>
  <c r="G5" i="10"/>
  <c r="G6" i="10" s="1"/>
  <c r="G7" i="10" s="1"/>
  <c r="G8" i="10" s="1"/>
  <c r="G9" i="10" s="1"/>
  <c r="G10" i="10" s="1"/>
  <c r="G11" i="10" s="1"/>
  <c r="G12" i="10" s="1"/>
  <c r="G13" i="10" s="1"/>
  <c r="G14" i="10" s="1"/>
  <c r="L5" i="10"/>
  <c r="L6" i="10" s="1"/>
  <c r="L7" i="10" s="1"/>
  <c r="L8" i="10" s="1"/>
  <c r="L9" i="10" s="1"/>
  <c r="L10" i="10" s="1"/>
  <c r="L11" i="10" s="1"/>
  <c r="L12" i="10" s="1"/>
  <c r="L13" i="10" s="1"/>
  <c r="L14" i="10" s="1"/>
  <c r="B36" i="12"/>
  <c r="B23" i="12"/>
  <c r="B22" i="12"/>
  <c r="B31" i="12" s="1"/>
  <c r="D19" i="12"/>
  <c r="D22" i="12" s="1"/>
  <c r="E19" i="12"/>
  <c r="E22" i="12" s="1"/>
  <c r="F19" i="12"/>
  <c r="F22" i="12" s="1"/>
  <c r="G19" i="12"/>
  <c r="G22" i="12" s="1"/>
  <c r="H19" i="12"/>
  <c r="H22" i="12" s="1"/>
  <c r="I19" i="12"/>
  <c r="I31" i="12" s="1"/>
  <c r="I41" i="12" s="1"/>
  <c r="C19" i="12"/>
  <c r="C31" i="12" s="1"/>
  <c r="C41" i="12" s="1"/>
  <c r="B18" i="12"/>
  <c r="D15" i="12"/>
  <c r="D18" i="12" s="1"/>
  <c r="E15" i="12"/>
  <c r="E18" i="12" s="1"/>
  <c r="F15" i="12"/>
  <c r="F18" i="12" s="1"/>
  <c r="F37" i="12" s="1"/>
  <c r="F40" i="12" s="1"/>
  <c r="G15" i="12"/>
  <c r="G18" i="12" s="1"/>
  <c r="G20" i="12" s="1"/>
  <c r="H15" i="12"/>
  <c r="H18" i="12" s="1"/>
  <c r="I15" i="12"/>
  <c r="I18" i="12" s="1"/>
  <c r="C15" i="12"/>
  <c r="C18" i="12" s="1"/>
  <c r="D9" i="12"/>
  <c r="D23" i="12" s="1"/>
  <c r="E9" i="12"/>
  <c r="E23" i="12" s="1"/>
  <c r="F9" i="12"/>
  <c r="F23" i="12" s="1"/>
  <c r="G9" i="12"/>
  <c r="G23" i="12" s="1"/>
  <c r="H9" i="12"/>
  <c r="H23" i="12" s="1"/>
  <c r="I9" i="12"/>
  <c r="I23" i="12" s="1"/>
  <c r="C9" i="12"/>
  <c r="C23" i="12" s="1"/>
  <c r="J11" i="10" l="1"/>
  <c r="J13" i="10"/>
  <c r="O10" i="10"/>
  <c r="O12" i="10"/>
  <c r="J10" i="10"/>
  <c r="O7" i="10"/>
  <c r="J12" i="10"/>
  <c r="O13" i="10"/>
  <c r="O8" i="10"/>
  <c r="J6" i="10"/>
  <c r="J8" i="10"/>
  <c r="O9" i="10"/>
  <c r="J7" i="10"/>
  <c r="O11" i="10"/>
  <c r="J9" i="10"/>
  <c r="O6" i="10"/>
  <c r="D60" i="18"/>
  <c r="M24" i="17"/>
  <c r="M27" i="17" s="1"/>
  <c r="F24" i="12"/>
  <c r="C20" i="12"/>
  <c r="E20" i="12"/>
  <c r="E37" i="12"/>
  <c r="E40" i="12" s="1"/>
  <c r="H20" i="12"/>
  <c r="H31" i="12"/>
  <c r="H41" i="12" s="1"/>
  <c r="E31" i="12"/>
  <c r="E41" i="12" s="1"/>
  <c r="F20" i="12"/>
  <c r="D31" i="12"/>
  <c r="D41" i="12" s="1"/>
  <c r="D20" i="12"/>
  <c r="D37" i="12"/>
  <c r="D40" i="12" s="1"/>
  <c r="H24" i="12"/>
  <c r="G24" i="12"/>
  <c r="I37" i="12"/>
  <c r="I40" i="12" s="1"/>
  <c r="I42" i="12" s="1"/>
  <c r="I20" i="12"/>
  <c r="E24" i="12"/>
  <c r="D24" i="12"/>
  <c r="C22" i="12"/>
  <c r="C24" i="12" s="1"/>
  <c r="H37" i="12"/>
  <c r="H40" i="12" s="1"/>
  <c r="I22" i="12"/>
  <c r="I24" i="12" s="1"/>
  <c r="G31" i="12"/>
  <c r="G41" i="12" s="1"/>
  <c r="G37" i="12"/>
  <c r="G40" i="12" s="1"/>
  <c r="G42" i="12" s="1"/>
  <c r="F31" i="12"/>
  <c r="F41" i="12" s="1"/>
  <c r="F42" i="12" s="1"/>
  <c r="C37" i="12"/>
  <c r="C40" i="12" s="1"/>
  <c r="C42" i="12" s="1"/>
  <c r="J5" i="10"/>
  <c r="O5" i="10"/>
  <c r="L15" i="10"/>
  <c r="N14" i="10"/>
  <c r="O14" i="10" s="1"/>
  <c r="I14" i="10"/>
  <c r="J14" i="10" s="1"/>
  <c r="G15" i="10"/>
  <c r="E42" i="12" l="1"/>
  <c r="H42" i="12"/>
  <c r="D42" i="12"/>
  <c r="L16" i="10"/>
  <c r="N15" i="10"/>
  <c r="O15" i="10" s="1"/>
  <c r="I15" i="10"/>
  <c r="J15" i="10" s="1"/>
  <c r="G16" i="10"/>
  <c r="L17" i="10" l="1"/>
  <c r="N16" i="10"/>
  <c r="O16" i="10" s="1"/>
  <c r="I16" i="10"/>
  <c r="J16" i="10" s="1"/>
  <c r="G17" i="10"/>
  <c r="L18" i="10" l="1"/>
  <c r="N18" i="10" s="1"/>
  <c r="N17" i="10"/>
  <c r="O17" i="10" s="1"/>
  <c r="I17" i="10"/>
  <c r="J17" i="10" s="1"/>
  <c r="G18" i="10"/>
  <c r="I18" i="10" s="1"/>
  <c r="O18" i="10" l="1"/>
  <c r="J18" i="10"/>
  <c r="D8" i="12" l="1"/>
  <c r="E8" i="12"/>
  <c r="F8" i="12"/>
  <c r="G8" i="12"/>
  <c r="H8" i="12"/>
  <c r="I8" i="12"/>
  <c r="C8" i="12"/>
  <c r="D7" i="12"/>
  <c r="D13" i="12" s="1"/>
  <c r="D29" i="12" s="1"/>
  <c r="D35" i="12" s="1"/>
  <c r="E7" i="12"/>
  <c r="E13" i="12" s="1"/>
  <c r="E29" i="12" s="1"/>
  <c r="E35" i="12" s="1"/>
  <c r="F7" i="12"/>
  <c r="F13" i="12" s="1"/>
  <c r="F29" i="12" s="1"/>
  <c r="F35" i="12" s="1"/>
  <c r="G7" i="12"/>
  <c r="G13" i="12" s="1"/>
  <c r="G29" i="12" s="1"/>
  <c r="G35" i="12" s="1"/>
  <c r="H7" i="12"/>
  <c r="H13" i="12" s="1"/>
  <c r="H29" i="12" s="1"/>
  <c r="H35" i="12" s="1"/>
  <c r="I7" i="12"/>
  <c r="I13" i="12" s="1"/>
  <c r="I29" i="12" s="1"/>
  <c r="I35" i="12" s="1"/>
  <c r="C7" i="12"/>
  <c r="C13" i="12" s="1"/>
  <c r="C29" i="12" s="1"/>
  <c r="C35" i="12" s="1"/>
  <c r="D3" i="7"/>
  <c r="D3" i="9" s="1"/>
  <c r="E3" i="7"/>
  <c r="E3" i="11" s="1"/>
  <c r="F3" i="7"/>
  <c r="F3" i="11" s="1"/>
  <c r="G3" i="7"/>
  <c r="G3" i="9" s="1"/>
  <c r="H3" i="7"/>
  <c r="H3" i="11" s="1"/>
  <c r="I3" i="7"/>
  <c r="I3" i="9" s="1"/>
  <c r="J3" i="7"/>
  <c r="J3" i="9" s="1"/>
  <c r="K3" i="7"/>
  <c r="K3" i="11" s="1"/>
  <c r="L3" i="7"/>
  <c r="L3" i="9" s="1"/>
  <c r="C3" i="7"/>
  <c r="C3" i="11" s="1"/>
  <c r="G37" i="11"/>
  <c r="C35" i="11"/>
  <c r="D35" i="11"/>
  <c r="E35" i="11"/>
  <c r="F35" i="11"/>
  <c r="G35" i="11"/>
  <c r="H35" i="11"/>
  <c r="I35" i="11"/>
  <c r="J35" i="11"/>
  <c r="K35" i="11"/>
  <c r="L35" i="11"/>
  <c r="C36" i="11"/>
  <c r="D36" i="11"/>
  <c r="E36" i="11"/>
  <c r="F36" i="11"/>
  <c r="G36" i="11"/>
  <c r="H36" i="11"/>
  <c r="I36" i="11"/>
  <c r="J36" i="11"/>
  <c r="K36" i="11"/>
  <c r="L36" i="11"/>
  <c r="D34" i="11"/>
  <c r="E34" i="11"/>
  <c r="F34" i="11"/>
  <c r="G34" i="11"/>
  <c r="H34" i="11"/>
  <c r="I34" i="11"/>
  <c r="J34" i="11"/>
  <c r="K34" i="11"/>
  <c r="L34" i="11"/>
  <c r="C34" i="11"/>
  <c r="C39" i="11"/>
  <c r="D39" i="11"/>
  <c r="E39" i="11"/>
  <c r="E37" i="11" s="1"/>
  <c r="F39" i="11"/>
  <c r="F37" i="11" s="1"/>
  <c r="G39" i="11"/>
  <c r="H39" i="11"/>
  <c r="I39" i="11"/>
  <c r="J39" i="11"/>
  <c r="K39" i="11"/>
  <c r="L39" i="11"/>
  <c r="C40" i="11"/>
  <c r="C37" i="11" s="1"/>
  <c r="D40" i="11"/>
  <c r="E40" i="11"/>
  <c r="F40" i="11"/>
  <c r="G40" i="11"/>
  <c r="H40" i="11"/>
  <c r="I40" i="11"/>
  <c r="J40" i="11"/>
  <c r="K40" i="11"/>
  <c r="L40" i="11"/>
  <c r="D38" i="11"/>
  <c r="D37" i="11" s="1"/>
  <c r="E38" i="11"/>
  <c r="F38" i="11"/>
  <c r="G38" i="11"/>
  <c r="H38" i="11"/>
  <c r="H37" i="11" s="1"/>
  <c r="I38" i="11"/>
  <c r="I37" i="11" s="1"/>
  <c r="J38" i="11"/>
  <c r="J37" i="11" s="1"/>
  <c r="K38" i="11"/>
  <c r="K37" i="11" s="1"/>
  <c r="L38" i="11"/>
  <c r="L37" i="11" s="1"/>
  <c r="C38" i="11"/>
  <c r="D33" i="11"/>
  <c r="E33" i="11"/>
  <c r="F33" i="11"/>
  <c r="G33" i="11"/>
  <c r="H33" i="11"/>
  <c r="I33" i="11"/>
  <c r="J33" i="11"/>
  <c r="K33" i="11"/>
  <c r="L33" i="11"/>
  <c r="C33" i="11"/>
  <c r="C28" i="11"/>
  <c r="D28" i="11"/>
  <c r="E28" i="11"/>
  <c r="F28" i="11"/>
  <c r="G28" i="11"/>
  <c r="H28" i="11"/>
  <c r="I28" i="11"/>
  <c r="J28" i="11"/>
  <c r="K28" i="11"/>
  <c r="L28" i="11"/>
  <c r="C29" i="11"/>
  <c r="D29" i="11"/>
  <c r="E29" i="11"/>
  <c r="F29" i="11"/>
  <c r="G29" i="11"/>
  <c r="H29" i="11"/>
  <c r="I29" i="11"/>
  <c r="J29" i="11"/>
  <c r="K29" i="11"/>
  <c r="L29" i="11"/>
  <c r="C30" i="11"/>
  <c r="D30" i="11"/>
  <c r="E30" i="11"/>
  <c r="F30" i="11"/>
  <c r="G30" i="11"/>
  <c r="H30" i="11"/>
  <c r="I30" i="11"/>
  <c r="J30" i="11"/>
  <c r="K30" i="11"/>
  <c r="L30" i="11"/>
  <c r="C31" i="11"/>
  <c r="D31" i="11"/>
  <c r="E31" i="11"/>
  <c r="F31" i="11"/>
  <c r="G31" i="11"/>
  <c r="H31" i="11"/>
  <c r="I31" i="11"/>
  <c r="J31" i="11"/>
  <c r="K31" i="11"/>
  <c r="L31" i="11"/>
  <c r="D27" i="11"/>
  <c r="E27" i="11"/>
  <c r="F27" i="11"/>
  <c r="G27" i="11"/>
  <c r="H27" i="11"/>
  <c r="I27" i="11"/>
  <c r="J27" i="11"/>
  <c r="K27" i="11"/>
  <c r="L27" i="11"/>
  <c r="C27" i="11"/>
  <c r="B39" i="11"/>
  <c r="B40" i="11"/>
  <c r="B38" i="11"/>
  <c r="B35" i="11"/>
  <c r="B36" i="11"/>
  <c r="B37" i="11"/>
  <c r="B34" i="11"/>
  <c r="B33" i="11"/>
  <c r="B29" i="11"/>
  <c r="B30" i="11"/>
  <c r="B31" i="11"/>
  <c r="B28" i="11"/>
  <c r="B27" i="11"/>
  <c r="C8" i="11"/>
  <c r="D8" i="11"/>
  <c r="E8" i="11"/>
  <c r="F8" i="11"/>
  <c r="G8" i="11"/>
  <c r="H8" i="11"/>
  <c r="I8" i="11"/>
  <c r="J8" i="11"/>
  <c r="K8" i="11"/>
  <c r="L8" i="11"/>
  <c r="C9" i="11"/>
  <c r="D9" i="11"/>
  <c r="E9" i="11"/>
  <c r="F9" i="11"/>
  <c r="G9" i="11"/>
  <c r="H9" i="11"/>
  <c r="I9" i="11"/>
  <c r="J9" i="11"/>
  <c r="K9" i="11"/>
  <c r="L9" i="11"/>
  <c r="C10" i="11"/>
  <c r="D10" i="11"/>
  <c r="E10" i="11"/>
  <c r="F10" i="11"/>
  <c r="G10" i="11"/>
  <c r="H10" i="11"/>
  <c r="I10" i="11"/>
  <c r="J10" i="11"/>
  <c r="K10" i="11"/>
  <c r="L10" i="11"/>
  <c r="C11" i="11"/>
  <c r="D11" i="11"/>
  <c r="E11" i="11"/>
  <c r="F11" i="11"/>
  <c r="G11" i="11"/>
  <c r="H11" i="11"/>
  <c r="I11" i="11"/>
  <c r="J11" i="11"/>
  <c r="K11" i="11"/>
  <c r="L11" i="11"/>
  <c r="C12" i="11"/>
  <c r="D12" i="11"/>
  <c r="E12" i="11"/>
  <c r="F12" i="11"/>
  <c r="G12" i="11"/>
  <c r="H12" i="11"/>
  <c r="I12" i="11"/>
  <c r="J12" i="11"/>
  <c r="K12" i="11"/>
  <c r="L12" i="11"/>
  <c r="C13" i="11"/>
  <c r="D13" i="11"/>
  <c r="E13" i="11"/>
  <c r="F13" i="11"/>
  <c r="G13" i="11"/>
  <c r="H13" i="11"/>
  <c r="I13" i="11"/>
  <c r="J13" i="11"/>
  <c r="K13" i="11"/>
  <c r="L13" i="11"/>
  <c r="C14" i="11"/>
  <c r="D14" i="11"/>
  <c r="E14" i="11"/>
  <c r="F14" i="11"/>
  <c r="G14" i="11"/>
  <c r="H14" i="11"/>
  <c r="I14" i="11"/>
  <c r="J14" i="11"/>
  <c r="K14" i="11"/>
  <c r="L14" i="11"/>
  <c r="C15" i="11"/>
  <c r="D15" i="11"/>
  <c r="E15" i="11"/>
  <c r="F15" i="11"/>
  <c r="G15" i="11"/>
  <c r="H15" i="11"/>
  <c r="I15" i="11"/>
  <c r="J15" i="11"/>
  <c r="K15" i="11"/>
  <c r="L15" i="11"/>
  <c r="C16" i="11"/>
  <c r="D16" i="11"/>
  <c r="E16" i="11"/>
  <c r="F16" i="11"/>
  <c r="G16" i="11"/>
  <c r="H16" i="11"/>
  <c r="I16" i="11"/>
  <c r="J16" i="11"/>
  <c r="K16" i="11"/>
  <c r="L16" i="11"/>
  <c r="C17" i="11"/>
  <c r="D17" i="11"/>
  <c r="E17" i="11"/>
  <c r="F17" i="11"/>
  <c r="G17" i="11"/>
  <c r="H17" i="11"/>
  <c r="I17" i="11"/>
  <c r="J17" i="11"/>
  <c r="K17" i="11"/>
  <c r="L17" i="11"/>
  <c r="C18" i="11"/>
  <c r="D18" i="11"/>
  <c r="E18" i="11"/>
  <c r="F18" i="11"/>
  <c r="G18" i="11"/>
  <c r="H18" i="11"/>
  <c r="I18" i="11"/>
  <c r="J18" i="11"/>
  <c r="K18" i="11"/>
  <c r="L18" i="11"/>
  <c r="C19" i="11"/>
  <c r="D19" i="11"/>
  <c r="E19" i="11"/>
  <c r="F19" i="11"/>
  <c r="G19" i="11"/>
  <c r="H19" i="11"/>
  <c r="I19" i="11"/>
  <c r="J19" i="11"/>
  <c r="K19" i="11"/>
  <c r="L19" i="11"/>
  <c r="C20" i="11"/>
  <c r="D20" i="11"/>
  <c r="E20" i="11"/>
  <c r="F20" i="11"/>
  <c r="G20" i="11"/>
  <c r="H20" i="11"/>
  <c r="I20" i="11"/>
  <c r="J20" i="11"/>
  <c r="K20" i="11"/>
  <c r="L20" i="11"/>
  <c r="C21" i="11"/>
  <c r="D21" i="11"/>
  <c r="E21" i="11"/>
  <c r="F21" i="11"/>
  <c r="G21" i="11"/>
  <c r="H21" i="11"/>
  <c r="I21" i="11"/>
  <c r="J21" i="11"/>
  <c r="K21" i="11"/>
  <c r="L21" i="11"/>
  <c r="D7" i="11"/>
  <c r="E7" i="11"/>
  <c r="F7" i="11"/>
  <c r="G7" i="11"/>
  <c r="H7" i="11"/>
  <c r="I7" i="11"/>
  <c r="J7" i="11"/>
  <c r="K7" i="11"/>
  <c r="L7" i="11"/>
  <c r="C7" i="11"/>
  <c r="B18" i="11"/>
  <c r="B19" i="11"/>
  <c r="B20" i="11"/>
  <c r="B21" i="11"/>
  <c r="B22" i="11"/>
  <c r="B23" i="11"/>
  <c r="B8" i="11"/>
  <c r="B9" i="11"/>
  <c r="B10" i="11"/>
  <c r="B11" i="11"/>
  <c r="B12" i="11"/>
  <c r="B13" i="11"/>
  <c r="B14" i="11"/>
  <c r="B15" i="11"/>
  <c r="B16" i="11"/>
  <c r="B17" i="11"/>
  <c r="B7" i="11"/>
  <c r="E2" i="11"/>
  <c r="D10" i="12" l="1"/>
  <c r="D14" i="12"/>
  <c r="C10" i="12"/>
  <c r="C14" i="12"/>
  <c r="I14" i="12"/>
  <c r="I10" i="12"/>
  <c r="H10" i="12"/>
  <c r="H14" i="12"/>
  <c r="G14" i="12"/>
  <c r="G10" i="12"/>
  <c r="F14" i="12"/>
  <c r="F10" i="12"/>
  <c r="E10" i="12"/>
  <c r="E14" i="12"/>
  <c r="H3" i="9"/>
  <c r="E3" i="9"/>
  <c r="L3" i="11"/>
  <c r="J3" i="11"/>
  <c r="I3" i="11"/>
  <c r="C3" i="9"/>
  <c r="G3" i="11"/>
  <c r="D3" i="11"/>
  <c r="C4" i="10" a="1"/>
  <c r="F3" i="9"/>
  <c r="K3" i="9"/>
  <c r="B5" i="10"/>
  <c r="B6" i="10" s="1"/>
  <c r="B7" i="10" s="1"/>
  <c r="B8" i="10" s="1"/>
  <c r="B9" i="10" s="1"/>
  <c r="B10" i="10" s="1"/>
  <c r="B11" i="10" s="1"/>
  <c r="B12" i="10" s="1"/>
  <c r="B13" i="10" s="1"/>
  <c r="B14" i="10" s="1"/>
  <c r="B15" i="10" s="1"/>
  <c r="B16" i="10" s="1"/>
  <c r="B17" i="10" s="1"/>
  <c r="B18" i="10" s="1"/>
  <c r="B2" i="10"/>
  <c r="H9" i="10" l="1"/>
  <c r="M9" i="10" s="1"/>
  <c r="H7" i="10"/>
  <c r="M7" i="10" s="1"/>
  <c r="H12" i="10"/>
  <c r="M12" i="10" s="1"/>
  <c r="H8" i="10"/>
  <c r="M8" i="10" s="1"/>
  <c r="H13" i="10"/>
  <c r="M13" i="10" s="1"/>
  <c r="H11" i="10"/>
  <c r="M11" i="10" s="1"/>
  <c r="H10" i="10"/>
  <c r="M10" i="10" s="1"/>
  <c r="H5" i="10"/>
  <c r="M5" i="10" s="1"/>
  <c r="H6" i="10"/>
  <c r="M6" i="10" s="1"/>
  <c r="H16" i="12"/>
  <c r="H26" i="12" s="1"/>
  <c r="H30" i="12"/>
  <c r="I16" i="12"/>
  <c r="I26" i="12" s="1"/>
  <c r="I30" i="12"/>
  <c r="F16" i="12"/>
  <c r="F26" i="12" s="1"/>
  <c r="F30" i="12"/>
  <c r="G16" i="12"/>
  <c r="G26" i="12" s="1"/>
  <c r="G30" i="12"/>
  <c r="E30" i="12"/>
  <c r="E16" i="12"/>
  <c r="E26" i="12" s="1"/>
  <c r="C30" i="12"/>
  <c r="C16" i="12"/>
  <c r="C26" i="12" s="1"/>
  <c r="D16" i="12"/>
  <c r="D26" i="12" s="1"/>
  <c r="D30" i="12"/>
  <c r="C14" i="10"/>
  <c r="H14" i="10" s="1"/>
  <c r="M14" i="10" s="1"/>
  <c r="C4" i="10"/>
  <c r="H4" i="10" s="1"/>
  <c r="M4" i="10" s="1"/>
  <c r="G32" i="12" l="1"/>
  <c r="G36" i="12"/>
  <c r="G38" i="12" s="1"/>
  <c r="G44" i="12" s="1"/>
  <c r="I32" i="12"/>
  <c r="I36" i="12"/>
  <c r="I38" i="12" s="1"/>
  <c r="I44" i="12" s="1"/>
  <c r="C36" i="12"/>
  <c r="C38" i="12" s="1"/>
  <c r="C44" i="12" s="1"/>
  <c r="C32" i="12"/>
  <c r="H32" i="12"/>
  <c r="H36" i="12"/>
  <c r="H38" i="12" s="1"/>
  <c r="H44" i="12" s="1"/>
  <c r="D32" i="12"/>
  <c r="D36" i="12"/>
  <c r="D38" i="12" s="1"/>
  <c r="D44" i="12" s="1"/>
  <c r="F32" i="12"/>
  <c r="F36" i="12"/>
  <c r="F38" i="12" s="1"/>
  <c r="F44" i="12" s="1"/>
  <c r="E32" i="12"/>
  <c r="E36" i="12"/>
  <c r="E38" i="12" s="1"/>
  <c r="E44" i="12" s="1"/>
  <c r="C15" i="10"/>
  <c r="H15" i="10" s="1"/>
  <c r="M15" i="10" s="1"/>
  <c r="C16" i="10" l="1"/>
  <c r="H16" i="10" s="1"/>
  <c r="M16" i="10" s="1"/>
  <c r="C17" i="10" l="1"/>
  <c r="H17" i="10" s="1"/>
  <c r="M17" i="10" s="1"/>
  <c r="C18" i="10" l="1"/>
  <c r="H18" i="10" s="1"/>
  <c r="M18" i="10" s="1"/>
  <c r="D75" i="7"/>
  <c r="C73" i="7"/>
  <c r="D73" i="7"/>
  <c r="E73" i="7"/>
  <c r="F73" i="7"/>
  <c r="G73" i="7"/>
  <c r="H73" i="7"/>
  <c r="I73" i="7"/>
  <c r="J73" i="7"/>
  <c r="K73" i="7"/>
  <c r="L73" i="7"/>
  <c r="C74" i="7"/>
  <c r="D74" i="7"/>
  <c r="E74" i="7"/>
  <c r="F74" i="7"/>
  <c r="G74" i="7"/>
  <c r="H74" i="7"/>
  <c r="I74" i="7"/>
  <c r="J74" i="7"/>
  <c r="K74" i="7"/>
  <c r="L74" i="7"/>
  <c r="D72" i="7"/>
  <c r="E72" i="7"/>
  <c r="F72" i="7"/>
  <c r="G72" i="7"/>
  <c r="H72" i="7"/>
  <c r="I72" i="7"/>
  <c r="J72" i="7"/>
  <c r="K72" i="7"/>
  <c r="L72" i="7"/>
  <c r="L75" i="7" s="1"/>
  <c r="C72" i="7"/>
  <c r="K75" i="7" l="1"/>
  <c r="H75" i="7"/>
  <c r="G75" i="7"/>
  <c r="F75" i="7"/>
  <c r="C75" i="7"/>
  <c r="E75" i="7"/>
  <c r="J75" i="7"/>
  <c r="I75" i="7"/>
  <c r="E2" i="9"/>
  <c r="D58" i="7" l="1"/>
  <c r="E58" i="7"/>
  <c r="F58" i="7"/>
  <c r="G58" i="7"/>
  <c r="H58" i="7"/>
  <c r="I58" i="7"/>
  <c r="J58" i="7"/>
  <c r="K58" i="7"/>
  <c r="L58" i="7"/>
  <c r="C58" i="7"/>
  <c r="L63" i="7"/>
  <c r="K63" i="7"/>
  <c r="J63" i="7"/>
  <c r="I63" i="7"/>
  <c r="H63" i="7"/>
  <c r="G63" i="7"/>
  <c r="F63" i="7"/>
  <c r="E63" i="7"/>
  <c r="D63" i="7"/>
  <c r="C63" i="7"/>
  <c r="L62" i="7"/>
  <c r="K62" i="7"/>
  <c r="J62" i="7"/>
  <c r="I62" i="7"/>
  <c r="H62" i="7"/>
  <c r="G62" i="7"/>
  <c r="F62" i="7"/>
  <c r="E62" i="7"/>
  <c r="D62" i="7"/>
  <c r="C62" i="7"/>
  <c r="L61" i="7"/>
  <c r="K61" i="7"/>
  <c r="J61" i="7"/>
  <c r="I61" i="7"/>
  <c r="H61" i="7"/>
  <c r="G61" i="7"/>
  <c r="F61" i="7"/>
  <c r="E61" i="7"/>
  <c r="D61" i="7"/>
  <c r="C61" i="7"/>
  <c r="C56" i="7"/>
  <c r="D56" i="7"/>
  <c r="E56" i="7"/>
  <c r="F56" i="7"/>
  <c r="G56" i="7"/>
  <c r="H56" i="7"/>
  <c r="I56" i="7"/>
  <c r="J56" i="7"/>
  <c r="K56" i="7"/>
  <c r="L56" i="7"/>
  <c r="C57" i="7"/>
  <c r="D57" i="7"/>
  <c r="E57" i="7"/>
  <c r="F57" i="7"/>
  <c r="G57" i="7"/>
  <c r="H57" i="7"/>
  <c r="I57" i="7"/>
  <c r="J57" i="7"/>
  <c r="K57" i="7"/>
  <c r="L57" i="7"/>
  <c r="D55" i="7"/>
  <c r="D59" i="7" s="1"/>
  <c r="E55" i="7"/>
  <c r="F55" i="7"/>
  <c r="G55" i="7"/>
  <c r="H55" i="7"/>
  <c r="I55" i="7"/>
  <c r="J55" i="7"/>
  <c r="K55" i="7"/>
  <c r="L55" i="7"/>
  <c r="L59" i="7" s="1"/>
  <c r="C55" i="7"/>
  <c r="C59" i="7" s="1"/>
  <c r="C50" i="7"/>
  <c r="D50" i="7"/>
  <c r="E50" i="7"/>
  <c r="F50" i="7"/>
  <c r="G50" i="7"/>
  <c r="H50" i="7"/>
  <c r="I50" i="7"/>
  <c r="J50" i="7"/>
  <c r="K50" i="7"/>
  <c r="L50" i="7"/>
  <c r="C51" i="7"/>
  <c r="C40" i="9" s="1"/>
  <c r="D51" i="7"/>
  <c r="D40" i="9" s="1"/>
  <c r="E51" i="7"/>
  <c r="E40" i="9" s="1"/>
  <c r="F51" i="7"/>
  <c r="F40" i="9" s="1"/>
  <c r="G51" i="7"/>
  <c r="G40" i="9" s="1"/>
  <c r="H51" i="7"/>
  <c r="H40" i="9" s="1"/>
  <c r="I51" i="7"/>
  <c r="I40" i="9" s="1"/>
  <c r="J51" i="7"/>
  <c r="J40" i="9" s="1"/>
  <c r="K51" i="7"/>
  <c r="K40" i="9" s="1"/>
  <c r="L51" i="7"/>
  <c r="L40" i="9" s="1"/>
  <c r="C52" i="7"/>
  <c r="D52" i="7"/>
  <c r="E52" i="7"/>
  <c r="F52" i="7"/>
  <c r="G52" i="7"/>
  <c r="H52" i="7"/>
  <c r="I52" i="7"/>
  <c r="J52" i="7"/>
  <c r="K52" i="7"/>
  <c r="L52" i="7"/>
  <c r="C53" i="7"/>
  <c r="D53" i="7"/>
  <c r="E53" i="7"/>
  <c r="F53" i="7"/>
  <c r="G53" i="7"/>
  <c r="H53" i="7"/>
  <c r="I53" i="7"/>
  <c r="J53" i="7"/>
  <c r="K53" i="7"/>
  <c r="L53" i="7"/>
  <c r="D49" i="7"/>
  <c r="E49" i="7"/>
  <c r="F49" i="7"/>
  <c r="G49" i="7"/>
  <c r="H49" i="7"/>
  <c r="I49" i="7"/>
  <c r="J49" i="7"/>
  <c r="K49" i="7"/>
  <c r="L49" i="7"/>
  <c r="C49" i="7"/>
  <c r="D36" i="7"/>
  <c r="D41" i="7" s="1"/>
  <c r="E36" i="7"/>
  <c r="E41" i="7" s="1"/>
  <c r="F36" i="7"/>
  <c r="F41" i="7" s="1"/>
  <c r="G36" i="7"/>
  <c r="G41" i="7" s="1"/>
  <c r="G9" i="9" s="1"/>
  <c r="H36" i="7"/>
  <c r="H41" i="7" s="1"/>
  <c r="I36" i="7"/>
  <c r="I41" i="7" s="1"/>
  <c r="J36" i="7"/>
  <c r="J41" i="7" s="1"/>
  <c r="K36" i="7"/>
  <c r="K41" i="7" s="1"/>
  <c r="K9" i="9" s="1"/>
  <c r="L36" i="7"/>
  <c r="C36" i="7"/>
  <c r="C41" i="7" s="1"/>
  <c r="K73" i="6"/>
  <c r="J73" i="6"/>
  <c r="I73" i="6"/>
  <c r="H73" i="6"/>
  <c r="K51" i="6"/>
  <c r="J51" i="6"/>
  <c r="I51" i="6"/>
  <c r="H51" i="6"/>
  <c r="G51" i="6"/>
  <c r="F51" i="6"/>
  <c r="E51" i="6"/>
  <c r="D51" i="6"/>
  <c r="C51" i="6"/>
  <c r="B51" i="6"/>
  <c r="K34" i="6"/>
  <c r="L23" i="11" s="1"/>
  <c r="J34" i="6"/>
  <c r="K23" i="11" s="1"/>
  <c r="I34" i="6"/>
  <c r="J23" i="11" s="1"/>
  <c r="H34" i="6"/>
  <c r="I23" i="11" s="1"/>
  <c r="G34" i="6"/>
  <c r="H23" i="11" s="1"/>
  <c r="F34" i="6"/>
  <c r="G23" i="11" s="1"/>
  <c r="E34" i="6"/>
  <c r="F23" i="11" s="1"/>
  <c r="D34" i="6"/>
  <c r="E23" i="11" s="1"/>
  <c r="C34" i="6"/>
  <c r="D23" i="11" s="1"/>
  <c r="B34" i="6"/>
  <c r="K32" i="6"/>
  <c r="L22" i="11" s="1"/>
  <c r="J32" i="6"/>
  <c r="K22" i="11" s="1"/>
  <c r="I32" i="6"/>
  <c r="J22" i="11" s="1"/>
  <c r="H32" i="6"/>
  <c r="I22" i="11" s="1"/>
  <c r="G32" i="6"/>
  <c r="H22" i="11" s="1"/>
  <c r="F32" i="6"/>
  <c r="G22" i="11" s="1"/>
  <c r="E32" i="6"/>
  <c r="F22" i="11" s="1"/>
  <c r="D32" i="6"/>
  <c r="E22" i="11" s="1"/>
  <c r="C32" i="6"/>
  <c r="D22" i="11" s="1"/>
  <c r="B32" i="6"/>
  <c r="C22" i="11" s="1"/>
  <c r="K15" i="6"/>
  <c r="B6" i="6"/>
  <c r="E1" i="6"/>
  <c r="D30" i="7"/>
  <c r="E30" i="7"/>
  <c r="F30" i="7"/>
  <c r="G30" i="7"/>
  <c r="H30" i="7"/>
  <c r="I30" i="7"/>
  <c r="J30" i="7"/>
  <c r="K30" i="7"/>
  <c r="L30" i="7"/>
  <c r="C30" i="7"/>
  <c r="D24" i="7"/>
  <c r="E24" i="7"/>
  <c r="F24" i="7"/>
  <c r="G24" i="7"/>
  <c r="H24" i="7"/>
  <c r="I24" i="7"/>
  <c r="J24" i="7"/>
  <c r="K24" i="7"/>
  <c r="L24" i="7"/>
  <c r="C24" i="7"/>
  <c r="D21" i="7"/>
  <c r="E21" i="7"/>
  <c r="F21" i="7"/>
  <c r="G21" i="7"/>
  <c r="H21" i="7"/>
  <c r="I21" i="7"/>
  <c r="J21" i="7"/>
  <c r="K21" i="7"/>
  <c r="L21" i="7"/>
  <c r="C21" i="7"/>
  <c r="D15" i="7"/>
  <c r="E15" i="7"/>
  <c r="F15" i="7"/>
  <c r="G15" i="7"/>
  <c r="H15" i="7"/>
  <c r="I15" i="7"/>
  <c r="J15" i="7"/>
  <c r="K15" i="7"/>
  <c r="L15" i="7"/>
  <c r="C15" i="7"/>
  <c r="D9" i="7"/>
  <c r="E9" i="7"/>
  <c r="F9" i="7"/>
  <c r="G9" i="7"/>
  <c r="H9" i="7"/>
  <c r="I9" i="7"/>
  <c r="J9" i="7"/>
  <c r="K9" i="7"/>
  <c r="L9" i="7"/>
  <c r="C9" i="7"/>
  <c r="K59" i="7" l="1"/>
  <c r="G64" i="7"/>
  <c r="E64" i="7"/>
  <c r="C64" i="7"/>
  <c r="F9" i="9"/>
  <c r="J59" i="7"/>
  <c r="H64" i="7"/>
  <c r="F64" i="7"/>
  <c r="E9" i="9"/>
  <c r="I59" i="7"/>
  <c r="I64" i="7"/>
  <c r="H59" i="7"/>
  <c r="H66" i="7" s="1"/>
  <c r="G59" i="7"/>
  <c r="K64" i="7"/>
  <c r="J9" i="9"/>
  <c r="F59" i="7"/>
  <c r="D64" i="7"/>
  <c r="D66" i="7" s="1"/>
  <c r="L64" i="7"/>
  <c r="L66" i="7" s="1"/>
  <c r="J64" i="7"/>
  <c r="E59" i="7"/>
  <c r="E66" i="7" s="1"/>
  <c r="E67" i="7" s="1"/>
  <c r="D9" i="9"/>
  <c r="N40" i="9"/>
  <c r="O40" i="9"/>
  <c r="B15" i="6"/>
  <c r="C23" i="11"/>
  <c r="I9" i="9"/>
  <c r="H9" i="9"/>
  <c r="K66" i="7"/>
  <c r="C66" i="7"/>
  <c r="L41" i="7"/>
  <c r="L9" i="9" s="1"/>
  <c r="F66" i="7" l="1"/>
  <c r="G66" i="7"/>
  <c r="G67" i="7" s="1"/>
  <c r="G39" i="9"/>
  <c r="E39" i="9"/>
  <c r="J66" i="7"/>
  <c r="I66" i="7"/>
  <c r="O9" i="9"/>
  <c r="N9" i="9"/>
  <c r="D67" i="7"/>
  <c r="D39" i="9"/>
  <c r="L67" i="7"/>
  <c r="L39" i="9"/>
  <c r="H67" i="7"/>
  <c r="H39" i="9"/>
  <c r="C67" i="7"/>
  <c r="C39" i="9"/>
  <c r="K67" i="7"/>
  <c r="K39" i="9"/>
  <c r="F67" i="7" l="1"/>
  <c r="F39" i="9"/>
  <c r="N39" i="9" s="1"/>
  <c r="I67" i="7"/>
  <c r="I39" i="9"/>
  <c r="J39" i="9"/>
  <c r="J67" i="7"/>
  <c r="O39" i="9"/>
  <c r="D6" i="7"/>
  <c r="E6" i="7"/>
  <c r="F6" i="7"/>
  <c r="G6" i="7"/>
  <c r="H6" i="7"/>
  <c r="I6" i="7"/>
  <c r="J6" i="7"/>
  <c r="K6" i="7"/>
  <c r="L6" i="7"/>
  <c r="C6" i="7"/>
  <c r="D4" i="10" s="1" a="1"/>
  <c r="E2" i="7"/>
  <c r="D4" i="10" l="1"/>
  <c r="E10" i="10"/>
  <c r="E11" i="10"/>
  <c r="E13" i="10"/>
  <c r="E6" i="10"/>
  <c r="E8" i="10"/>
  <c r="E7" i="10"/>
  <c r="E9" i="10"/>
  <c r="E12" i="10"/>
  <c r="E28" i="9"/>
  <c r="E34" i="9" s="1"/>
  <c r="E30" i="9"/>
  <c r="E38" i="9"/>
  <c r="E27" i="9"/>
  <c r="E33" i="9" s="1"/>
  <c r="E29" i="9"/>
  <c r="E35" i="9" s="1"/>
  <c r="E31" i="9"/>
  <c r="E5" i="9"/>
  <c r="E17" i="9"/>
  <c r="E18" i="9"/>
  <c r="F5" i="9"/>
  <c r="F27" i="9"/>
  <c r="F33" i="9" s="1"/>
  <c r="F28" i="9"/>
  <c r="F34" i="9" s="1"/>
  <c r="F29" i="9"/>
  <c r="F35" i="9" s="1"/>
  <c r="F30" i="9"/>
  <c r="F31" i="9"/>
  <c r="F38" i="9"/>
  <c r="F18" i="9"/>
  <c r="F17" i="9"/>
  <c r="D28" i="9"/>
  <c r="D34" i="9" s="1"/>
  <c r="D38" i="9"/>
  <c r="D30" i="9"/>
  <c r="D29" i="9"/>
  <c r="D35" i="9" s="1"/>
  <c r="D31" i="9"/>
  <c r="D5" i="9"/>
  <c r="D27" i="9"/>
  <c r="D33" i="9" s="1"/>
  <c r="D18" i="9"/>
  <c r="D17" i="9"/>
  <c r="J5" i="9"/>
  <c r="J27" i="9"/>
  <c r="J33" i="9" s="1"/>
  <c r="J28" i="9"/>
  <c r="J34" i="9" s="1"/>
  <c r="J29" i="9"/>
  <c r="J35" i="9" s="1"/>
  <c r="J30" i="9"/>
  <c r="J31" i="9"/>
  <c r="J38" i="9"/>
  <c r="J17" i="9"/>
  <c r="J18" i="9"/>
  <c r="C31" i="9"/>
  <c r="C29" i="9"/>
  <c r="C35" i="9" s="1"/>
  <c r="C28" i="9"/>
  <c r="C34" i="9" s="1"/>
  <c r="C30" i="9"/>
  <c r="C27" i="9"/>
  <c r="C33" i="9" s="1"/>
  <c r="C38" i="9"/>
  <c r="C18" i="9"/>
  <c r="C17" i="9"/>
  <c r="L27" i="9"/>
  <c r="L33" i="9" s="1"/>
  <c r="L28" i="9"/>
  <c r="L34" i="9" s="1"/>
  <c r="L29" i="9"/>
  <c r="L35" i="9" s="1"/>
  <c r="L31" i="9"/>
  <c r="L30" i="9"/>
  <c r="L38" i="9"/>
  <c r="L18" i="9"/>
  <c r="L17" i="9"/>
  <c r="I27" i="9"/>
  <c r="I33" i="9" s="1"/>
  <c r="I28" i="9"/>
  <c r="I34" i="9" s="1"/>
  <c r="I29" i="9"/>
  <c r="I35" i="9" s="1"/>
  <c r="I30" i="9"/>
  <c r="I31" i="9"/>
  <c r="I5" i="9"/>
  <c r="I38" i="9"/>
  <c r="I17" i="9"/>
  <c r="I18" i="9"/>
  <c r="H5" i="9"/>
  <c r="H27" i="9"/>
  <c r="H33" i="9" s="1"/>
  <c r="H28" i="9"/>
  <c r="H34" i="9" s="1"/>
  <c r="H29" i="9"/>
  <c r="H35" i="9" s="1"/>
  <c r="H30" i="9"/>
  <c r="H31" i="9"/>
  <c r="H38" i="9"/>
  <c r="H18" i="9"/>
  <c r="H17" i="9"/>
  <c r="G5" i="9"/>
  <c r="G27" i="9"/>
  <c r="G33" i="9" s="1"/>
  <c r="G28" i="9"/>
  <c r="G34" i="9" s="1"/>
  <c r="G29" i="9"/>
  <c r="G35" i="9" s="1"/>
  <c r="G30" i="9"/>
  <c r="G31" i="9"/>
  <c r="G38" i="9"/>
  <c r="G17" i="9"/>
  <c r="G18" i="9"/>
  <c r="K27" i="9"/>
  <c r="K18" i="9"/>
  <c r="K28" i="9"/>
  <c r="K31" i="9"/>
  <c r="K5" i="9"/>
  <c r="L5" i="9"/>
  <c r="K29" i="9"/>
  <c r="K17" i="9"/>
  <c r="K30" i="9"/>
  <c r="K38" i="9"/>
  <c r="K7" i="7"/>
  <c r="K10" i="7"/>
  <c r="K12" i="7"/>
  <c r="K11" i="9" s="1"/>
  <c r="K16" i="7"/>
  <c r="K22" i="7"/>
  <c r="K25" i="7"/>
  <c r="I12" i="7"/>
  <c r="I11" i="9" s="1"/>
  <c r="I22" i="7"/>
  <c r="I16" i="7"/>
  <c r="I25" i="7"/>
  <c r="I10" i="7"/>
  <c r="H7" i="7"/>
  <c r="H12" i="7"/>
  <c r="H11" i="9" s="1"/>
  <c r="H22" i="7"/>
  <c r="H16" i="7"/>
  <c r="H10" i="7"/>
  <c r="H25" i="7"/>
  <c r="G22" i="7"/>
  <c r="G12" i="7"/>
  <c r="G11" i="9" s="1"/>
  <c r="G10" i="7"/>
  <c r="G16" i="7"/>
  <c r="G25" i="7"/>
  <c r="C22" i="7"/>
  <c r="C12" i="7"/>
  <c r="C11" i="9" s="1"/>
  <c r="C25" i="7"/>
  <c r="C16" i="7"/>
  <c r="C10" i="7"/>
  <c r="E7" i="7"/>
  <c r="E25" i="7"/>
  <c r="E22" i="7"/>
  <c r="E12" i="7"/>
  <c r="E11" i="9" s="1"/>
  <c r="E16" i="7"/>
  <c r="E10" i="7"/>
  <c r="F22" i="7"/>
  <c r="F12" i="7"/>
  <c r="F11" i="9" s="1"/>
  <c r="F25" i="7"/>
  <c r="F16" i="7"/>
  <c r="F10" i="7"/>
  <c r="L7" i="7"/>
  <c r="L10" i="7"/>
  <c r="L12" i="7"/>
  <c r="L11" i="9" s="1"/>
  <c r="L25" i="7"/>
  <c r="L16" i="7"/>
  <c r="L22" i="7"/>
  <c r="D12" i="7"/>
  <c r="D11" i="9" s="1"/>
  <c r="D25" i="7"/>
  <c r="D16" i="7"/>
  <c r="D10" i="7"/>
  <c r="D22" i="7"/>
  <c r="J7" i="7"/>
  <c r="J12" i="7"/>
  <c r="J11" i="9" s="1"/>
  <c r="J22" i="7"/>
  <c r="J10" i="7"/>
  <c r="J25" i="7"/>
  <c r="J16" i="7"/>
  <c r="G7" i="7"/>
  <c r="I7" i="7"/>
  <c r="D7" i="7"/>
  <c r="F7" i="7"/>
  <c r="H36" i="9" l="1"/>
  <c r="I36" i="9"/>
  <c r="D15" i="10"/>
  <c r="D14" i="10"/>
  <c r="E14" i="10" s="1"/>
  <c r="D18" i="10"/>
  <c r="D17" i="10"/>
  <c r="E5" i="10"/>
  <c r="D16" i="10"/>
  <c r="J36" i="9"/>
  <c r="E36" i="9"/>
  <c r="F36" i="9"/>
  <c r="C36" i="9"/>
  <c r="L36" i="9"/>
  <c r="G36" i="9"/>
  <c r="D36" i="9"/>
  <c r="N5" i="9"/>
  <c r="O5" i="9"/>
  <c r="O17" i="9"/>
  <c r="N17" i="9"/>
  <c r="K35" i="9"/>
  <c r="O29" i="9"/>
  <c r="N29" i="9"/>
  <c r="N31" i="9"/>
  <c r="O31" i="9"/>
  <c r="O28" i="9"/>
  <c r="K34" i="9"/>
  <c r="N28" i="9"/>
  <c r="O18" i="9"/>
  <c r="N18" i="9"/>
  <c r="N11" i="9"/>
  <c r="O11" i="9"/>
  <c r="O38" i="9"/>
  <c r="N38" i="9"/>
  <c r="O30" i="9"/>
  <c r="N30" i="9"/>
  <c r="K33" i="9"/>
  <c r="O27" i="9"/>
  <c r="N27" i="9"/>
  <c r="C18" i="7"/>
  <c r="C13" i="7"/>
  <c r="E18" i="7"/>
  <c r="E13" i="7"/>
  <c r="I18" i="7"/>
  <c r="I13" i="7"/>
  <c r="H18" i="7"/>
  <c r="H13" i="7"/>
  <c r="D18" i="7"/>
  <c r="D13" i="7"/>
  <c r="F18" i="7"/>
  <c r="F13" i="7"/>
  <c r="G18" i="7"/>
  <c r="G13" i="7"/>
  <c r="K18" i="7"/>
  <c r="K13" i="7"/>
  <c r="J18" i="7"/>
  <c r="J13" i="7"/>
  <c r="L18" i="7"/>
  <c r="L13" i="7"/>
  <c r="E16" i="10" l="1"/>
  <c r="E18" i="10"/>
  <c r="E17" i="10"/>
  <c r="L13" i="9"/>
  <c r="L12" i="9"/>
  <c r="L19" i="9"/>
  <c r="L21" i="9"/>
  <c r="L25" i="9"/>
  <c r="F25" i="9"/>
  <c r="F13" i="9"/>
  <c r="F6" i="9"/>
  <c r="F21" i="9"/>
  <c r="F12" i="9"/>
  <c r="F19" i="9"/>
  <c r="E13" i="9"/>
  <c r="E25" i="9"/>
  <c r="E21" i="9"/>
  <c r="E12" i="9"/>
  <c r="E19" i="9"/>
  <c r="E6" i="9"/>
  <c r="J13" i="9"/>
  <c r="J6" i="9"/>
  <c r="J21" i="9"/>
  <c r="J12" i="9"/>
  <c r="J19" i="9"/>
  <c r="J25" i="9"/>
  <c r="D25" i="9"/>
  <c r="D13" i="9"/>
  <c r="D6" i="9"/>
  <c r="D19" i="9"/>
  <c r="D12" i="9"/>
  <c r="D21" i="9"/>
  <c r="C25" i="9"/>
  <c r="C21" i="9"/>
  <c r="C13" i="9"/>
  <c r="C19" i="9"/>
  <c r="C12" i="9"/>
  <c r="E15" i="10"/>
  <c r="H21" i="9"/>
  <c r="H12" i="9"/>
  <c r="H25" i="9"/>
  <c r="H19" i="9"/>
  <c r="H13" i="9"/>
  <c r="H6" i="9"/>
  <c r="G19" i="9"/>
  <c r="G25" i="9"/>
  <c r="G13" i="9"/>
  <c r="G6" i="9"/>
  <c r="G21" i="9"/>
  <c r="G12" i="9"/>
  <c r="I6" i="9"/>
  <c r="I21" i="9"/>
  <c r="I12" i="9"/>
  <c r="I19" i="9"/>
  <c r="I25" i="9"/>
  <c r="I13" i="9"/>
  <c r="O34" i="9"/>
  <c r="N34" i="9"/>
  <c r="K36" i="9"/>
  <c r="N33" i="9"/>
  <c r="O33" i="9"/>
  <c r="O35" i="9"/>
  <c r="N35" i="9"/>
  <c r="K13" i="9"/>
  <c r="K6" i="9"/>
  <c r="L6" i="9"/>
  <c r="K12" i="9"/>
  <c r="K25" i="9"/>
  <c r="K21" i="9"/>
  <c r="K19" i="9"/>
  <c r="L19" i="7"/>
  <c r="L27" i="7"/>
  <c r="D19" i="7"/>
  <c r="D27" i="7"/>
  <c r="K19" i="7"/>
  <c r="K27" i="7"/>
  <c r="H19" i="7"/>
  <c r="H27" i="7"/>
  <c r="E19" i="7"/>
  <c r="E27" i="7"/>
  <c r="J19" i="7"/>
  <c r="J27" i="7"/>
  <c r="G19" i="7"/>
  <c r="G27" i="7"/>
  <c r="I19" i="7"/>
  <c r="I27" i="7"/>
  <c r="F19" i="7"/>
  <c r="F27" i="7"/>
  <c r="C19" i="7"/>
  <c r="C27" i="7"/>
  <c r="E33" i="7" l="1"/>
  <c r="E7" i="9"/>
  <c r="E14" i="9"/>
  <c r="H33" i="7"/>
  <c r="H7" i="9"/>
  <c r="H14" i="9"/>
  <c r="C33" i="7"/>
  <c r="C34" i="7" s="1"/>
  <c r="C14" i="9"/>
  <c r="D33" i="7"/>
  <c r="D34" i="7" s="1"/>
  <c r="D7" i="9"/>
  <c r="D14" i="9"/>
  <c r="F33" i="7"/>
  <c r="F14" i="9"/>
  <c r="F7" i="9"/>
  <c r="I33" i="7"/>
  <c r="I7" i="9"/>
  <c r="I14" i="9"/>
  <c r="G33" i="7"/>
  <c r="G14" i="9"/>
  <c r="G7" i="9"/>
  <c r="J33" i="7"/>
  <c r="J14" i="9"/>
  <c r="J7" i="9"/>
  <c r="L33" i="7"/>
  <c r="L38" i="7" s="1"/>
  <c r="L14" i="9"/>
  <c r="N13" i="9"/>
  <c r="O13" i="9"/>
  <c r="O19" i="9"/>
  <c r="N19" i="9"/>
  <c r="N12" i="9"/>
  <c r="O12" i="9"/>
  <c r="O36" i="9"/>
  <c r="N36" i="9"/>
  <c r="K33" i="7"/>
  <c r="K34" i="7" s="1"/>
  <c r="K14" i="9"/>
  <c r="L7" i="9"/>
  <c r="K7" i="9"/>
  <c r="O21" i="9"/>
  <c r="N21" i="9"/>
  <c r="O25" i="9"/>
  <c r="N25" i="9"/>
  <c r="O6" i="9"/>
  <c r="N6" i="9"/>
  <c r="H38" i="7"/>
  <c r="H34" i="7"/>
  <c r="C38" i="7"/>
  <c r="J38" i="7"/>
  <c r="J34" i="7"/>
  <c r="F34" i="7"/>
  <c r="F38" i="7"/>
  <c r="E34" i="7"/>
  <c r="E38" i="7"/>
  <c r="L28" i="7"/>
  <c r="I28" i="7"/>
  <c r="H28" i="7"/>
  <c r="G28" i="7"/>
  <c r="E28" i="7"/>
  <c r="K28" i="7"/>
  <c r="F28" i="7"/>
  <c r="C28" i="7"/>
  <c r="J28" i="7"/>
  <c r="D28" i="7"/>
  <c r="D38" i="7" l="1"/>
  <c r="D23" i="9"/>
  <c r="D15" i="9"/>
  <c r="D8" i="9"/>
  <c r="G8" i="9"/>
  <c r="G15" i="9"/>
  <c r="G23" i="9"/>
  <c r="I8" i="9"/>
  <c r="I15" i="9"/>
  <c r="I23" i="9"/>
  <c r="C23" i="9"/>
  <c r="C15" i="9"/>
  <c r="I34" i="7"/>
  <c r="K38" i="7"/>
  <c r="K39" i="7" s="1"/>
  <c r="H8" i="9"/>
  <c r="H15" i="9"/>
  <c r="H23" i="9"/>
  <c r="G34" i="7"/>
  <c r="L15" i="9"/>
  <c r="L23" i="9"/>
  <c r="L34" i="7"/>
  <c r="I38" i="7"/>
  <c r="J39" i="7" s="1"/>
  <c r="J23" i="9"/>
  <c r="J15" i="9"/>
  <c r="J8" i="9"/>
  <c r="F23" i="9"/>
  <c r="F15" i="9"/>
  <c r="F8" i="9"/>
  <c r="G38" i="7"/>
  <c r="G39" i="7" s="1"/>
  <c r="E15" i="9"/>
  <c r="E23" i="9"/>
  <c r="E8" i="9"/>
  <c r="N7" i="9"/>
  <c r="O7" i="9"/>
  <c r="O14" i="9"/>
  <c r="N14" i="9"/>
  <c r="K23" i="9"/>
  <c r="K15" i="9"/>
  <c r="K8" i="9"/>
  <c r="L8" i="9"/>
  <c r="J42" i="7"/>
  <c r="J44" i="7" s="1"/>
  <c r="J22" i="9" s="1"/>
  <c r="J24" i="9" s="1"/>
  <c r="F39" i="7"/>
  <c r="F42" i="7"/>
  <c r="F44" i="7" s="1"/>
  <c r="F22" i="9" s="1"/>
  <c r="F24" i="9" s="1"/>
  <c r="C42" i="7"/>
  <c r="C44" i="7" s="1"/>
  <c r="C22" i="9" s="1"/>
  <c r="L42" i="7"/>
  <c r="L44" i="7" s="1"/>
  <c r="L22" i="9" s="1"/>
  <c r="H42" i="7"/>
  <c r="H44" i="7" s="1"/>
  <c r="H22" i="9" s="1"/>
  <c r="E42" i="7"/>
  <c r="E44" i="7" s="1"/>
  <c r="E22" i="9" s="1"/>
  <c r="E24" i="9" s="1"/>
  <c r="E39" i="7"/>
  <c r="D39" i="7"/>
  <c r="D42" i="7"/>
  <c r="D44" i="7" s="1"/>
  <c r="D22" i="9" s="1"/>
  <c r="D24" i="9" s="1"/>
  <c r="L24" i="9" l="1"/>
  <c r="I42" i="7"/>
  <c r="I44" i="7" s="1"/>
  <c r="I22" i="9" s="1"/>
  <c r="I24" i="9" s="1"/>
  <c r="C24" i="9"/>
  <c r="I39" i="7"/>
  <c r="L39" i="7"/>
  <c r="H24" i="9"/>
  <c r="H39" i="7"/>
  <c r="G42" i="7"/>
  <c r="G44" i="7" s="1"/>
  <c r="G22" i="9" s="1"/>
  <c r="G24" i="9" s="1"/>
  <c r="K42" i="7"/>
  <c r="K44" i="7" s="1"/>
  <c r="K22" i="9" s="1"/>
  <c r="K24" i="9" s="1"/>
  <c r="N23" i="9"/>
  <c r="O23" i="9"/>
  <c r="O15" i="9"/>
  <c r="N15" i="9"/>
  <c r="N8" i="9"/>
  <c r="O8" i="9"/>
  <c r="O22" i="9" l="1"/>
  <c r="N22" i="9"/>
  <c r="O24" i="9"/>
  <c r="N24"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<sst xmlns="http://schemas.openxmlformats.org/spreadsheetml/2006/main" count="381" uniqueCount="271">
  <si>
    <t>COMPANY NAME</t>
  </si>
  <si>
    <t>Sales</t>
  </si>
  <si>
    <t>Expenses</t>
  </si>
  <si>
    <t>Operating Profit</t>
  </si>
  <si>
    <t>Other Income</t>
  </si>
  <si>
    <t>Depreciation</t>
  </si>
  <si>
    <t>Interest</t>
  </si>
  <si>
    <t>Profit before tax</t>
  </si>
  <si>
    <t>Tax</t>
  </si>
  <si>
    <t>Net profit</t>
  </si>
  <si>
    <t>Sales Growth</t>
  </si>
  <si>
    <t>Equity Share Capital</t>
  </si>
  <si>
    <t>Reserves</t>
  </si>
  <si>
    <t>Total</t>
  </si>
  <si>
    <t>Net Block</t>
  </si>
  <si>
    <t>Capital Work in Progress</t>
  </si>
  <si>
    <t>Investments</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</si>
  <si>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</si>
  <si>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</si>
  <si>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</si>
  <si>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</si>
  <si>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</si>
  <si>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</si>
  <si>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</si>
  <si>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</si>
  <si>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</si>
  <si>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</si>
  <si>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</si>
  <si>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</si>
  <si>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</si>
  <si>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Inventory</t>
  </si>
  <si>
    <t>EPS</t>
  </si>
  <si>
    <t>LATEST VERSION</t>
  </si>
  <si>
    <t>CURRENT VERSION</t>
  </si>
  <si>
    <t>CARBORUNDUM UNIVERSAL LTD</t>
  </si>
  <si>
    <t>META</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</si>
  <si>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</si>
  <si>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</si>
  <si>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</si>
  <si>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</si>
  <si>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</si>
  <si>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</si>
  <si>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</si>
  <si>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</si>
  <si>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</si>
  <si>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</si>
  <si>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</si>
  <si>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</si>
  <si>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</si>
  <si>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</si>
  <si>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</si>
  <si>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</si>
  <si>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</si>
  <si>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</si>
  <si>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</si>
  <si>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</si>
  <si>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Years</t>
  </si>
  <si>
    <t>#</t>
  </si>
  <si>
    <t>Income statement</t>
  </si>
  <si>
    <t>-</t>
  </si>
  <si>
    <t>COGS</t>
  </si>
  <si>
    <t>COGS % Sales</t>
  </si>
  <si>
    <t>Gross profit</t>
  </si>
  <si>
    <t>Selling and General expenses</t>
  </si>
  <si>
    <t>S&amp;G expenses % sales</t>
  </si>
  <si>
    <t>EBITDA</t>
  </si>
  <si>
    <t>EBITDA % Sales</t>
  </si>
  <si>
    <t>Interest % sales</t>
  </si>
  <si>
    <t>Depreciation % Sales</t>
  </si>
  <si>
    <t>Gross profit % sales</t>
  </si>
  <si>
    <t>Earnings before tax</t>
  </si>
  <si>
    <t>EBT % Sales</t>
  </si>
  <si>
    <t>Effective Tax Rate</t>
  </si>
  <si>
    <t>Net Margin</t>
  </si>
  <si>
    <t xml:space="preserve">No of equity shares </t>
  </si>
  <si>
    <t>DPS</t>
  </si>
  <si>
    <t>EPS growth</t>
  </si>
  <si>
    <t>Divident payout ratio</t>
  </si>
  <si>
    <t>Retained Earnings</t>
  </si>
  <si>
    <t>Balance sheet</t>
  </si>
  <si>
    <t>Total Liabilities</t>
  </si>
  <si>
    <t>Total fixed assets</t>
  </si>
  <si>
    <t>Fixed Assets net block</t>
  </si>
  <si>
    <t>Total current assets</t>
  </si>
  <si>
    <t>Total Assets</t>
  </si>
  <si>
    <t>Check</t>
  </si>
  <si>
    <t>Cashflow statement</t>
  </si>
  <si>
    <t>SalesGrowth</t>
  </si>
  <si>
    <t>EBITDA Growth</t>
  </si>
  <si>
    <t>EBIT Growth</t>
  </si>
  <si>
    <t>Net Profit Growth</t>
  </si>
  <si>
    <t>Dividend Growth</t>
  </si>
  <si>
    <t>Gross Margin</t>
  </si>
  <si>
    <t>EBITDA Margin</t>
  </si>
  <si>
    <t>EBIT Margin</t>
  </si>
  <si>
    <t>EBT Margin</t>
  </si>
  <si>
    <t>Net Profit Margin</t>
  </si>
  <si>
    <t>SalesExpenses%Sales</t>
  </si>
  <si>
    <t>Depreciation%Sales</t>
  </si>
  <si>
    <t>OperatingIncome%Sales</t>
  </si>
  <si>
    <t>Return on Capital Employed</t>
  </si>
  <si>
    <t>Retained Earnings%</t>
  </si>
  <si>
    <t>Return on Equity%</t>
  </si>
  <si>
    <t>Self Sustained Growth Rate</t>
  </si>
  <si>
    <t>Interest Coverage Ratio</t>
  </si>
  <si>
    <t>Debtor Turnover Ratio</t>
  </si>
  <si>
    <t>Creditor Turnover Ratio</t>
  </si>
  <si>
    <t>Inventory Turnover</t>
  </si>
  <si>
    <t>Fixed Asset Turnover</t>
  </si>
  <si>
    <t>Capital Turnover Ratio</t>
  </si>
  <si>
    <t>Debtor Days</t>
  </si>
  <si>
    <t>Payable Days</t>
  </si>
  <si>
    <t>Inventory Days</t>
  </si>
  <si>
    <t>Cash Conversion Cycle (in days)</t>
  </si>
  <si>
    <t>CFO/Sales</t>
  </si>
  <si>
    <t>CFO/Total Assets</t>
  </si>
  <si>
    <t>CFO/Total Debt</t>
  </si>
  <si>
    <t>Trend</t>
  </si>
  <si>
    <t>Mean</t>
  </si>
  <si>
    <t>Median</t>
  </si>
  <si>
    <t>Year weight</t>
  </si>
  <si>
    <t>Year</t>
  </si>
  <si>
    <t xml:space="preserve">Sales </t>
  </si>
  <si>
    <t>EPS Growth</t>
  </si>
  <si>
    <t>Particulars</t>
  </si>
  <si>
    <t>Return on Equity (ROE)</t>
  </si>
  <si>
    <t>Net Profit</t>
  </si>
  <si>
    <t>Average Shareholder Equity</t>
  </si>
  <si>
    <t>Return on Equity</t>
  </si>
  <si>
    <t>ROE - Dupont Equation</t>
  </si>
  <si>
    <t>Revenue</t>
  </si>
  <si>
    <t>Net Profit Margin (A)</t>
  </si>
  <si>
    <t>Average Total Asset</t>
  </si>
  <si>
    <t>Asset Turnover Ratio (B)</t>
  </si>
  <si>
    <t>Equity Multiplier (C)</t>
  </si>
  <si>
    <t>Return on Equity (A*B*C)</t>
  </si>
  <si>
    <t>Return on Asset (ROA)</t>
  </si>
  <si>
    <t>Return on Asset</t>
  </si>
  <si>
    <t>ROA - Dupont Equation</t>
  </si>
  <si>
    <t>Return on Asset (A*B)</t>
  </si>
  <si>
    <t>Working Capital / Total Assets</t>
  </si>
  <si>
    <t>Working Capital</t>
  </si>
  <si>
    <t>Working Capital / Total Assets (A)</t>
  </si>
  <si>
    <t>Retained Earnings / Total Assets</t>
  </si>
  <si>
    <t>Retained Earnings / Total Assets (B)</t>
  </si>
  <si>
    <t>EBIT / Total Assets</t>
  </si>
  <si>
    <t>EBIT</t>
  </si>
  <si>
    <t>EBIT/Total Assets (C)</t>
  </si>
  <si>
    <t>Market Cap / Long term Liabilities</t>
  </si>
  <si>
    <t>Market Cap</t>
  </si>
  <si>
    <t>Long term Liabilities</t>
  </si>
  <si>
    <t>Market Cap / Long term Liabilities (D)</t>
  </si>
  <si>
    <t>Sales / Total Assets</t>
  </si>
  <si>
    <t>Total Sales</t>
  </si>
  <si>
    <t>Return on Asset (E)</t>
  </si>
  <si>
    <t>Altman's Z Score</t>
  </si>
  <si>
    <t>Final Score</t>
  </si>
  <si>
    <t>Financial Stability</t>
  </si>
  <si>
    <t>Weight</t>
  </si>
  <si>
    <t>Equity Capital</t>
  </si>
  <si>
    <t>Borrowings -</t>
  </si>
  <si>
    <t>Long term Borrowings</t>
  </si>
  <si>
    <t>Short term Borrowings</t>
  </si>
  <si>
    <t>Lease Liabilities</t>
  </si>
  <si>
    <t>Preference Capital</t>
  </si>
  <si>
    <t>Other Borrowings</t>
  </si>
  <si>
    <t>Other Liabilities -</t>
  </si>
  <si>
    <t>Non controlling int</t>
  </si>
  <si>
    <t>Trade Payables</t>
  </si>
  <si>
    <t>Advance from Customers</t>
  </si>
  <si>
    <t>Other liability items</t>
  </si>
  <si>
    <t>Fixed Assets -</t>
  </si>
  <si>
    <t>Land</t>
  </si>
  <si>
    <t>Building</t>
  </si>
  <si>
    <t>Plant Machinery</t>
  </si>
  <si>
    <t>Furniture n fittings</t>
  </si>
  <si>
    <t>Vehicles</t>
  </si>
  <si>
    <t>Intangible Assets</t>
  </si>
  <si>
    <t>Other fixed assets</t>
  </si>
  <si>
    <t>Gross Block</t>
  </si>
  <si>
    <t>Accumulated Depreciation</t>
  </si>
  <si>
    <t>CWIP</t>
  </si>
  <si>
    <t>Other Assets -</t>
  </si>
  <si>
    <t>Inventories</t>
  </si>
  <si>
    <t>Trade receivables</t>
  </si>
  <si>
    <t>Cash Equivalents</t>
  </si>
  <si>
    <t>Short term loans</t>
  </si>
  <si>
    <t>Other asset items</t>
  </si>
  <si>
    <t>S.No.</t>
  </si>
  <si>
    <t>Name</t>
  </si>
  <si>
    <t>CMP Rs.</t>
  </si>
  <si>
    <t>No. Eq. Shares Cr.</t>
  </si>
  <si>
    <t>Mar Cap Rs.Cr.</t>
  </si>
  <si>
    <t>Debt Rs.Cr.</t>
  </si>
  <si>
    <t>Cash End Rs.Cr.</t>
  </si>
  <si>
    <t>Sales Rs.Cr.</t>
  </si>
  <si>
    <t>EBIDT Ann Rs.Cr.</t>
  </si>
  <si>
    <t>NP Ann Rs.Cr.</t>
  </si>
  <si>
    <t>Carborundum Uni.</t>
  </si>
  <si>
    <t>Grindwell Norton</t>
  </si>
  <si>
    <t>Wendt India</t>
  </si>
  <si>
    <t>Welcast Steels</t>
  </si>
  <si>
    <t>Market Data</t>
  </si>
  <si>
    <t>Financials</t>
  </si>
  <si>
    <t>Valuation</t>
  </si>
  <si>
    <t>Company</t>
  </si>
  <si>
    <t>Share price ₹</t>
  </si>
  <si>
    <t>Shares outstanding</t>
  </si>
  <si>
    <t>Equity value</t>
  </si>
  <si>
    <t>Net Debt</t>
  </si>
  <si>
    <t>Enterprise Value</t>
  </si>
  <si>
    <t>Net Income</t>
  </si>
  <si>
    <t>EV/Revenue</t>
  </si>
  <si>
    <t>EV/EBITDA</t>
  </si>
  <si>
    <t>P/E</t>
  </si>
  <si>
    <t>High</t>
  </si>
  <si>
    <r>
      <t>75</t>
    </r>
    <r>
      <rPr>
        <vertAlign val="superscript"/>
        <sz val="11"/>
        <color theme="1"/>
        <rFont val="Calibri"/>
        <family val="2"/>
        <scheme val="minor"/>
      </rPr>
      <t>th</t>
    </r>
    <r>
      <rPr>
        <sz val="11"/>
        <color theme="1"/>
        <rFont val="Calibri"/>
        <family val="2"/>
        <scheme val="minor"/>
      </rPr>
      <t xml:space="preserve"> Percentile</t>
    </r>
  </si>
  <si>
    <t>Average</t>
  </si>
  <si>
    <r>
      <t>25</t>
    </r>
    <r>
      <rPr>
        <vertAlign val="superscript"/>
        <sz val="11"/>
        <color theme="1"/>
        <rFont val="Calibri"/>
        <family val="2"/>
        <scheme val="minor"/>
      </rPr>
      <t>th</t>
    </r>
    <r>
      <rPr>
        <sz val="11"/>
        <color theme="1"/>
        <rFont val="Calibri"/>
        <family val="2"/>
        <scheme val="minor"/>
      </rPr>
      <t xml:space="preserve"> percetile</t>
    </r>
  </si>
  <si>
    <t>Low</t>
  </si>
  <si>
    <t>Implied Enterprise Value</t>
  </si>
  <si>
    <t>Implied Market Value</t>
  </si>
  <si>
    <t>Implied Value per share</t>
  </si>
  <si>
    <t>Amount and figures in crores (INR)</t>
  </si>
  <si>
    <t>Current Assets</t>
  </si>
  <si>
    <t>Total current Assets</t>
  </si>
  <si>
    <t>Current Liabilities</t>
  </si>
  <si>
    <t>Total Current Liabilities</t>
  </si>
  <si>
    <t>Net Working Capital</t>
  </si>
  <si>
    <t>Non current Assets</t>
  </si>
  <si>
    <t>Gross block</t>
  </si>
  <si>
    <t>Net Non current Assets</t>
  </si>
  <si>
    <t>Invested Capital</t>
  </si>
  <si>
    <t>ROIC</t>
  </si>
  <si>
    <t>Net capex</t>
  </si>
  <si>
    <t>Change in working capital</t>
  </si>
  <si>
    <t>Marginal Tax Rate</t>
  </si>
  <si>
    <t>EBIT * (1-Tax Rate)</t>
  </si>
  <si>
    <t>Reinvestment</t>
  </si>
  <si>
    <t>Reinvestment Rate</t>
  </si>
  <si>
    <t>4 year Average</t>
  </si>
  <si>
    <t>4 year Median</t>
  </si>
  <si>
    <t>Reinvestment rate</t>
  </si>
  <si>
    <t>Intrinsic Growth Rate</t>
  </si>
  <si>
    <t>Profit from operations</t>
  </si>
  <si>
    <t>Payables</t>
  </si>
  <si>
    <t>Other WC items</t>
  </si>
  <si>
    <t>Working capital changes</t>
  </si>
  <si>
    <t>Direct taxes</t>
  </si>
  <si>
    <t>Fixed assets purchased</t>
  </si>
  <si>
    <t>Fixed assets sold</t>
  </si>
  <si>
    <t>Investments purchased</t>
  </si>
  <si>
    <t>Investments sold</t>
  </si>
  <si>
    <t>Interest received</t>
  </si>
  <si>
    <t>Dividends received</t>
  </si>
  <si>
    <t>Acquisition of companies</t>
  </si>
  <si>
    <t>Other investing items</t>
  </si>
  <si>
    <t>Proceeds from borrowings</t>
  </si>
  <si>
    <t>Repayment of borrowings</t>
  </si>
  <si>
    <t>Interest paid fin</t>
  </si>
  <si>
    <t>Dividends paid</t>
  </si>
  <si>
    <t>Financial liabilities</t>
  </si>
  <si>
    <t>Other financing items</t>
  </si>
  <si>
    <t>Cash from Operating Activity -</t>
  </si>
  <si>
    <t>Loans Advances</t>
  </si>
  <si>
    <t>Cash from Investing Activity -</t>
  </si>
  <si>
    <t>Cash from Financing Activity -</t>
  </si>
  <si>
    <t>Proceeds from shares</t>
  </si>
  <si>
    <t>Share application money</t>
  </si>
  <si>
    <t>Loans n Advances</t>
  </si>
  <si>
    <t>Carborundum Uni Relative pricing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</si>
</sst>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8">
    <numFmt numFmtId="43" formatCode="_ * #,##0.00_ ;_ * \-#,##0.00_ ;_ * &quot;-&quot;??_ ;_ @_ "/>
    <numFmt numFmtId="164" formatCode="_(* #,##0.00_);_(* \(#,##0.00\);_(* &quot;-&quot;??_);_(@_)"/>
    <numFmt numFmtId="165" formatCode="[$-409]mmm\-yy;@"/>
    <numFmt numFmtId="166" formatCode="&quot;₹&quot;\ #,##0.0;&quot;₹&quot;\ \(#,##0.0\);\-"/>
    <numFmt numFmtId="167" formatCode="&quot;₹&quot;\ #,##0.00"/>
    <numFmt numFmtId="168" formatCode="0.00%;\-0.00%;0"/>
    <numFmt numFmtId="169" formatCode="#,##0.00\X;\-#,##0.00\X"/>
    <numFmt numFmtId="170" formatCode="0&quot; days&quot;"/>
    <numFmt numFmtId="171" formatCode="mmm/yy&quot;A&quot;"/>
    <numFmt numFmtId="172" formatCode="mmm/yy&quot;F&quot;"/>
    <numFmt numFmtId="173" formatCode="&quot;₹&quot;\ #,##0.0"/>
    <numFmt numFmtId="174" formatCode="#,##0.0"/>
    <numFmt numFmtId="175" formatCode="0.0\x"/>
    <numFmt numFmtId="176" formatCode="0.00\x"/>
    <numFmt numFmtId="177" formatCode="0.0"/>
    <numFmt numFmtId="178" formatCode="0.0&quot;X&quot;"/>
    <numFmt numFmtId="179" formatCode="\(0.0\)"/>
    <numFmt numFmtId="180" formatCode="#,##0.0;\(#,##0.0\);\-"/>
  </numFmts>
  <fonts count="25" x14ac:knownFonts="1">
    <font>
      <sz val="11"/>
      <color theme="1"/>
      <name val="Calibri"/>
      <family val="2"/>
      <scheme val="minor"/>
    </font>
    <font>
      <b/>
      <sz val="11"/>
      <color theme="0"/>
      <name val="Calibri"/>
      <family val="2"/>
      <scheme val="minor"/>
    </font>
    <font>
      <sz val="11"/>
      <color theme="1"/>
      <name val="Calibri"/>
      <family val="2"/>
      <scheme val="minor"/>
    </font>
    <font>
      <u/>
      <sz val="11"/>
      <color theme="10"/>
      <name val="Calibri"/>
      <family val="2"/>
    </font>
    <font>
      <sz val="11"/>
      <color theme="0"/>
      <name val="Calibri"/>
      <family val="2"/>
      <scheme val="minor"/>
    </font>
    <font>
      <i/>
      <sz val="11"/>
      <color theme="0" tint="-0.499984740745262"/>
      <name val="Calibri"/>
      <family val="2"/>
      <scheme val="minor"/>
    </font>
    <font>
      <b/>
      <sz val="10"/>
      <color theme="1"/>
      <name val="Arial"/>
      <family val="2"/>
    </font>
    <font>
      <u/>
      <sz val="10"/>
      <color theme="10"/>
      <name val="Arial"/>
      <family val="2"/>
    </font>
    <font>
      <sz val="10"/>
      <color theme="1"/>
      <name val="Arial"/>
      <family val="2"/>
    </font>
    <font>
      <b/>
      <sz val="10"/>
      <color theme="0"/>
      <name val="Arial"/>
      <family val="2"/>
    </font>
    <font>
      <sz val="10"/>
      <name val="Arial"/>
      <family val="2"/>
    </font>
    <font>
      <sz val="11"/>
      <color theme="1"/>
      <name val="Arial Narrow"/>
      <family val="2"/>
    </font>
    <font>
      <b/>
      <sz val="11"/>
      <color theme="1"/>
      <name val="Calibri"/>
      <family val="2"/>
      <scheme val="minor"/>
    </font>
    <font>
      <sz val="11"/>
      <color theme="1" tint="4.9989318521683403E-2"/>
      <name val="Calibri"/>
      <family val="2"/>
      <scheme val="minor"/>
    </font>
    <font>
      <sz val="11"/>
      <color theme="0" tint="-0.499984740745262"/>
      <name val="Calibri"/>
      <family val="2"/>
      <scheme val="minor"/>
    </font>
    <font>
      <b/>
      <sz val="11"/>
      <color theme="1"/>
      <name val="Calibri"/>
      <family val="2"/>
    </font>
    <font>
      <b/>
      <sz val="12"/>
      <color theme="0"/>
      <name val="calibri"/>
      <family val="2"/>
    </font>
    <font>
      <b/>
      <i/>
      <sz val="11"/>
      <color rgb="FF002060"/>
      <name val="calibri"/>
      <family val="2"/>
    </font>
    <font>
      <b/>
      <sz val="18"/>
      <color rgb="FF002060"/>
      <name val="Calibri"/>
      <family val="2"/>
      <scheme val="minor"/>
    </font>
    <font>
      <b/>
      <sz val="16"/>
      <color rgb="FF0275D8"/>
      <name val="Calibri"/>
      <family val="2"/>
      <scheme val="minor"/>
    </font>
    <font>
      <b/>
      <sz val="11"/>
      <color theme="0"/>
      <name val="Calibri"/>
      <family val="2"/>
    </font>
    <font>
      <b/>
      <sz val="11"/>
      <color rgb="FF002060"/>
      <name val="Calibri"/>
      <family val="2"/>
      <scheme val="minor"/>
    </font>
    <font>
      <i/>
      <sz val="11"/>
      <color theme="1"/>
      <name val="Calibri"/>
      <family val="2"/>
      <scheme val="minor"/>
    </font>
    <font>
      <vertAlign val="superscript"/>
      <sz val="11"/>
      <color theme="1"/>
      <name val="Calibri"/>
      <family val="2"/>
      <scheme val="minor"/>
    </font>
    <font>
      <sz val="11"/>
      <color rgb="FF0000FF"/>
      <name val="Calibri"/>
      <family val="2"/>
    </font>
  </fonts>
  <fills count="9">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7" tint="-0.249977111117893"/>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002060"/>
        <bgColor indexed="64"/>
      </patternFill>
    </fill>
    <fill>
      <patternFill patternType="solid">
        <fgColor theme="0" tint="-0.14999847407452621"/>
        <bgColor indexed="64"/>
      </patternFill>
    </fill>
  </fills>
  <borders count="18">
    <border>
      <left/>
      <right/>
      <top/>
      <bottom/>
      <diagonal/>
    </border>
    <border>
      <left/>
      <right/>
      <top style="dotted">
        <color rgb="FF002060"/>
      </top>
      <bottom style="dotted">
        <color rgb="FF002060"/>
      </bottom>
      <diagonal/>
    </border>
    <border>
      <left/>
      <right/>
      <top style="dotted">
        <color auto="1"/>
      </top>
      <bottom/>
      <diagonal/>
    </border>
    <border>
      <left/>
      <right/>
      <top/>
      <bottom style="dotted">
        <color auto="1"/>
      </bottom>
      <diagonal/>
    </border>
    <border>
      <left/>
      <right/>
      <top style="dotted">
        <color rgb="FF002060"/>
      </top>
      <bottom/>
      <diagonal/>
    </border>
    <border>
      <left/>
      <right/>
      <top/>
      <bottom style="dotted">
        <color rgb="FF002060"/>
      </bottom>
      <diagonal/>
    </border>
    <border>
      <left/>
      <right/>
      <top/>
      <bottom style="thin">
        <color auto="1"/>
      </bottom>
      <diagonal/>
    </border>
    <border>
      <left/>
      <right/>
      <top/>
      <bottom style="thin">
        <color theme="0" tint="-4.9989318521683403E-2"/>
      </bottom>
      <diagonal/>
    </border>
    <border>
      <left/>
      <right/>
      <top style="hair">
        <color rgb="FF002060"/>
      </top>
      <bottom style="hair">
        <color rgb="FF002060"/>
      </bottom>
      <diagonal/>
    </border>
    <border>
      <left/>
      <right/>
      <top style="thin">
        <color rgb="FF002060"/>
      </top>
      <bottom style="thin">
        <color rgb="FF002060"/>
      </bottom>
      <diagonal/>
    </border>
    <border>
      <left/>
      <right/>
      <top style="dotted">
        <color auto="1"/>
      </top>
      <bottom style="dotted">
        <color auto="1"/>
      </bottom>
      <diagonal/>
    </border>
    <border>
      <left/>
      <right/>
      <top style="thin">
        <color auto="1"/>
      </top>
      <bottom/>
      <diagonal/>
    </border>
    <border>
      <left/>
      <right/>
      <top style="thin">
        <color auto="1"/>
      </top>
      <bottom style="medium">
        <color auto="1"/>
      </bottom>
      <diagonal/>
    </border>
    <border>
      <left/>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0" fontId="2" fillId="0" borderId="0"/>
    <xf numFmtId="9" fontId="2" fillId="0" borderId="0" applyFont="0" applyFill="0" applyBorder="0" applyAlignment="0" applyProtection="0"/>
    <xf numFmtId="0" fontId="11" fillId="0" borderId="0"/>
    <xf numFmtId="9" fontId="2" fillId="0" borderId="0" applyFont="0" applyFill="0" applyBorder="0" applyAlignment="0" applyProtection="0"/>
  </cellStyleXfs>
  <cellXfs count="124">
    <xf numFmtId="0" fontId="0" fillId="0" borderId="0" xfId="0"/>
    <xf numFmtId="10" fontId="0" fillId="0" borderId="0" xfId="0" applyNumberFormat="1"/>
    <xf numFmtId="0" fontId="1" fillId="4" borderId="0" xfId="0" applyFont="1" applyFill="1"/>
    <xf numFmtId="17" fontId="1" fillId="4" borderId="0" xfId="0" applyNumberFormat="1" applyFont="1" applyFill="1"/>
    <xf numFmtId="166" fontId="0" fillId="0" borderId="0" xfId="0" applyNumberFormat="1"/>
    <xf numFmtId="0" fontId="5" fillId="0" borderId="0" xfId="0" applyFont="1" applyAlignment="1">
      <alignment horizontal="right"/>
    </xf>
    <xf numFmtId="10" fontId="5" fillId="0" borderId="0" xfId="0" applyNumberFormat="1" applyFont="1"/>
    <xf numFmtId="167" fontId="0" fillId="0" borderId="0" xfId="0" applyNumberFormat="1"/>
    <xf numFmtId="0" fontId="0" fillId="5" borderId="0" xfId="0" applyFill="1"/>
    <xf numFmtId="43" fontId="6" fillId="0" borderId="0" xfId="1" applyFont="1" applyBorder="1"/>
    <xf numFmtId="43" fontId="8" fillId="0" borderId="0" xfId="1" applyFont="1" applyBorder="1"/>
    <xf numFmtId="0" fontId="8" fillId="0" borderId="0" xfId="4" applyFont="1"/>
    <xf numFmtId="165" fontId="9" fillId="3" borderId="0" xfId="1" applyNumberFormat="1" applyFont="1" applyFill="1" applyBorder="1"/>
    <xf numFmtId="165" fontId="9" fillId="3" borderId="0" xfId="4" applyNumberFormat="1" applyFont="1" applyFill="1" applyAlignment="1">
      <alignment horizontal="center"/>
    </xf>
    <xf numFmtId="165" fontId="10" fillId="0" borderId="0" xfId="1" applyNumberFormat="1" applyFont="1" applyFill="1" applyBorder="1"/>
    <xf numFmtId="0" fontId="2" fillId="0" borderId="0" xfId="4"/>
    <xf numFmtId="9" fontId="8" fillId="0" borderId="0" xfId="5" applyFont="1" applyBorder="1"/>
    <xf numFmtId="0" fontId="11" fillId="0" borderId="0" xfId="6"/>
    <xf numFmtId="164" fontId="8" fillId="0" borderId="0" xfId="1" applyNumberFormat="1" applyFont="1" applyBorder="1"/>
    <xf numFmtId="0" fontId="12" fillId="0" borderId="0" xfId="0" applyFont="1"/>
    <xf numFmtId="166" fontId="12" fillId="0" borderId="0" xfId="0" applyNumberFormat="1" applyFont="1"/>
    <xf numFmtId="0" fontId="5" fillId="0" borderId="0" xfId="0" applyFont="1"/>
    <xf numFmtId="0" fontId="12" fillId="5" borderId="0" xfId="0" applyFont="1" applyFill="1"/>
    <xf numFmtId="0" fontId="12" fillId="0" borderId="1" xfId="0" applyFont="1" applyBorder="1"/>
    <xf numFmtId="167" fontId="12" fillId="0" borderId="1" xfId="0" applyNumberFormat="1" applyFont="1" applyBorder="1"/>
    <xf numFmtId="166" fontId="12" fillId="0" borderId="1" xfId="0" applyNumberFormat="1" applyFont="1" applyBorder="1"/>
    <xf numFmtId="0" fontId="0" fillId="0" borderId="2" xfId="0" applyBorder="1"/>
    <xf numFmtId="168" fontId="13" fillId="0" borderId="2" xfId="0" applyNumberFormat="1" applyFont="1" applyBorder="1" applyAlignment="1">
      <alignment horizontal="right"/>
    </xf>
    <xf numFmtId="168" fontId="13" fillId="0" borderId="0" xfId="0" applyNumberFormat="1" applyFont="1" applyAlignment="1">
      <alignment horizontal="right"/>
    </xf>
    <xf numFmtId="0" fontId="0" fillId="0" borderId="3" xfId="0" applyBorder="1"/>
    <xf numFmtId="168" fontId="13" fillId="0" borderId="3" xfId="0" applyNumberFormat="1" applyFont="1" applyBorder="1" applyAlignment="1">
      <alignment horizontal="right"/>
    </xf>
    <xf numFmtId="169" fontId="13" fillId="0" borderId="3" xfId="0" applyNumberFormat="1" applyFont="1" applyBorder="1" applyAlignment="1">
      <alignment horizontal="right"/>
    </xf>
    <xf numFmtId="169" fontId="13" fillId="0" borderId="2" xfId="0" applyNumberFormat="1" applyFont="1" applyBorder="1" applyAlignment="1">
      <alignment horizontal="right"/>
    </xf>
    <xf numFmtId="169" fontId="13" fillId="0" borderId="0" xfId="0" applyNumberFormat="1" applyFont="1" applyAlignment="1">
      <alignment horizontal="right"/>
    </xf>
    <xf numFmtId="170" fontId="0" fillId="0" borderId="2" xfId="0" applyNumberFormat="1" applyBorder="1"/>
    <xf numFmtId="170" fontId="0" fillId="0" borderId="0" xfId="0" applyNumberFormat="1"/>
    <xf numFmtId="170" fontId="0" fillId="0" borderId="3" xfId="0" applyNumberFormat="1" applyBorder="1"/>
    <xf numFmtId="17" fontId="1" fillId="4" borderId="0" xfId="0" applyNumberFormat="1" applyFont="1" applyFill="1" applyAlignment="1">
      <alignment horizontal="center"/>
    </xf>
    <xf numFmtId="0" fontId="0" fillId="0" borderId="4" xfId="0" applyBorder="1"/>
    <xf numFmtId="168" fontId="13" fillId="0" borderId="4" xfId="0" applyNumberFormat="1" applyFont="1" applyBorder="1" applyAlignment="1">
      <alignment horizontal="right"/>
    </xf>
    <xf numFmtId="0" fontId="0" fillId="0" borderId="5" xfId="0" applyBorder="1"/>
    <xf numFmtId="168" fontId="13" fillId="0" borderId="5" xfId="0" applyNumberFormat="1" applyFont="1" applyBorder="1" applyAlignment="1">
      <alignment horizontal="right"/>
    </xf>
    <xf numFmtId="169" fontId="13" fillId="0" borderId="5" xfId="0" applyNumberFormat="1" applyFont="1" applyBorder="1" applyAlignment="1">
      <alignment horizontal="right"/>
    </xf>
    <xf numFmtId="169" fontId="13" fillId="0" borderId="4" xfId="0" applyNumberFormat="1" applyFont="1" applyBorder="1" applyAlignment="1">
      <alignment horizontal="right"/>
    </xf>
    <xf numFmtId="170" fontId="0" fillId="0" borderId="4" xfId="0" applyNumberFormat="1" applyBorder="1"/>
    <xf numFmtId="170" fontId="0" fillId="0" borderId="5" xfId="0" applyNumberFormat="1" applyBorder="1"/>
    <xf numFmtId="0" fontId="0" fillId="0" borderId="0" xfId="0" applyAlignment="1">
      <alignment horizontal="left"/>
    </xf>
    <xf numFmtId="0" fontId="14" fillId="0" borderId="0" xfId="0" applyFont="1" applyAlignment="1">
      <alignment horizontal="left"/>
    </xf>
    <xf numFmtId="0" fontId="0" fillId="0" borderId="0" xfId="0" applyAlignment="1">
      <alignment horizontal="right"/>
    </xf>
    <xf numFmtId="171" fontId="0" fillId="0" borderId="0" xfId="0" applyNumberFormat="1" applyAlignment="1">
      <alignment horizontal="right"/>
    </xf>
    <xf numFmtId="173" fontId="0" fillId="0" borderId="0" xfId="0" applyNumberFormat="1" applyAlignment="1">
      <alignment horizontal="right"/>
    </xf>
    <xf numFmtId="10" fontId="0" fillId="0" borderId="0" xfId="0" applyNumberFormat="1" applyAlignment="1">
      <alignment horizontal="right"/>
    </xf>
    <xf numFmtId="172" fontId="14" fillId="0" borderId="0" xfId="0" applyNumberFormat="1" applyFont="1" applyAlignment="1">
      <alignment horizontal="right"/>
    </xf>
    <xf numFmtId="173" fontId="14" fillId="0" borderId="0" xfId="0" applyNumberFormat="1" applyFont="1" applyAlignment="1">
      <alignment horizontal="right"/>
    </xf>
    <xf numFmtId="10" fontId="14" fillId="0" borderId="0" xfId="0" applyNumberFormat="1" applyFont="1" applyAlignment="1">
      <alignment horizontal="right"/>
    </xf>
    <xf numFmtId="0" fontId="1" fillId="4" borderId="0" xfId="0" applyFont="1" applyFill="1" applyAlignment="1">
      <alignment horizontal="right"/>
    </xf>
    <xf numFmtId="43" fontId="0" fillId="0" borderId="0" xfId="0" applyNumberFormat="1"/>
    <xf numFmtId="43" fontId="12" fillId="0" borderId="0" xfId="0" applyNumberFormat="1" applyFont="1"/>
    <xf numFmtId="10" fontId="12" fillId="0" borderId="0" xfId="0" applyNumberFormat="1" applyFont="1"/>
    <xf numFmtId="10" fontId="0" fillId="0" borderId="0" xfId="7" applyNumberFormat="1" applyFont="1"/>
    <xf numFmtId="17" fontId="15" fillId="0" borderId="0" xfId="0" applyNumberFormat="1" applyFont="1"/>
    <xf numFmtId="174" fontId="0" fillId="0" borderId="0" xfId="0" applyNumberFormat="1"/>
    <xf numFmtId="0" fontId="15" fillId="6" borderId="0" xfId="0" applyFont="1" applyFill="1"/>
    <xf numFmtId="10" fontId="15" fillId="6" borderId="0" xfId="7" applyNumberFormat="1" applyFont="1" applyFill="1"/>
    <xf numFmtId="175" fontId="15" fillId="6" borderId="0" xfId="7" applyNumberFormat="1" applyFont="1" applyFill="1"/>
    <xf numFmtId="176" fontId="15" fillId="6" borderId="0" xfId="7" applyNumberFormat="1" applyFont="1" applyFill="1"/>
    <xf numFmtId="177" fontId="15" fillId="6" borderId="0" xfId="0" applyNumberFormat="1" applyFont="1" applyFill="1"/>
    <xf numFmtId="0" fontId="15" fillId="0" borderId="0" xfId="0" applyFont="1"/>
    <xf numFmtId="0" fontId="0" fillId="7" borderId="0" xfId="0" applyFill="1"/>
    <xf numFmtId="17" fontId="12" fillId="0" borderId="0" xfId="0" applyNumberFormat="1" applyFont="1"/>
    <xf numFmtId="177" fontId="17" fillId="0" borderId="0" xfId="0" applyNumberFormat="1" applyFont="1" applyAlignment="1">
      <alignment horizontal="right"/>
    </xf>
    <xf numFmtId="43" fontId="1" fillId="4" borderId="0" xfId="0" applyNumberFormat="1" applyFont="1" applyFill="1"/>
    <xf numFmtId="17" fontId="0" fillId="0" borderId="0" xfId="0" applyNumberFormat="1"/>
    <xf numFmtId="3" fontId="0" fillId="0" borderId="0" xfId="0" applyNumberFormat="1"/>
    <xf numFmtId="0" fontId="21" fillId="0" borderId="6" xfId="0" applyFont="1" applyBorder="1"/>
    <xf numFmtId="0" fontId="22" fillId="0" borderId="0" xfId="0" applyFont="1"/>
    <xf numFmtId="0" fontId="0" fillId="0" borderId="6" xfId="0" applyBorder="1"/>
    <xf numFmtId="0" fontId="1" fillId="7" borderId="0" xfId="0" applyFont="1" applyFill="1"/>
    <xf numFmtId="0" fontId="1" fillId="7" borderId="0" xfId="0" applyFont="1" applyFill="1" applyAlignment="1">
      <alignment horizontal="right" wrapText="1"/>
    </xf>
    <xf numFmtId="0" fontId="1" fillId="7" borderId="0" xfId="0" applyFont="1" applyFill="1" applyAlignment="1">
      <alignment horizontal="right"/>
    </xf>
    <xf numFmtId="0" fontId="0" fillId="8" borderId="8" xfId="0" applyFill="1" applyBorder="1"/>
    <xf numFmtId="177" fontId="0" fillId="8" borderId="8" xfId="0" applyNumberFormat="1" applyFill="1" applyBorder="1" applyAlignment="1">
      <alignment horizontal="right"/>
    </xf>
    <xf numFmtId="178" fontId="0" fillId="8" borderId="8" xfId="0" applyNumberFormat="1" applyFill="1" applyBorder="1"/>
    <xf numFmtId="0" fontId="0" fillId="0" borderId="8" xfId="0" applyBorder="1"/>
    <xf numFmtId="177" fontId="0" fillId="0" borderId="8" xfId="0" applyNumberFormat="1" applyBorder="1" applyAlignment="1">
      <alignment horizontal="right"/>
    </xf>
    <xf numFmtId="0" fontId="12" fillId="8" borderId="8" xfId="0" applyFont="1" applyFill="1" applyBorder="1"/>
    <xf numFmtId="178" fontId="12" fillId="8" borderId="8" xfId="0" applyNumberFormat="1" applyFont="1" applyFill="1" applyBorder="1"/>
    <xf numFmtId="4" fontId="0" fillId="0" borderId="0" xfId="0" applyNumberFormat="1"/>
    <xf numFmtId="0" fontId="12" fillId="8" borderId="9" xfId="0" applyFont="1" applyFill="1" applyBorder="1"/>
    <xf numFmtId="174" fontId="12" fillId="8" borderId="9" xfId="0" applyNumberFormat="1" applyFont="1" applyFill="1" applyBorder="1"/>
    <xf numFmtId="0" fontId="20" fillId="7" borderId="0" xfId="0" applyFont="1" applyFill="1"/>
    <xf numFmtId="17" fontId="20" fillId="7" borderId="0" xfId="0" applyNumberFormat="1" applyFont="1" applyFill="1"/>
    <xf numFmtId="0" fontId="0" fillId="0" borderId="10" xfId="0" applyBorder="1"/>
    <xf numFmtId="177" fontId="0" fillId="0" borderId="10" xfId="0" applyNumberFormat="1" applyBorder="1"/>
    <xf numFmtId="0" fontId="15" fillId="0" borderId="11" xfId="0" applyFont="1" applyBorder="1"/>
    <xf numFmtId="0" fontId="0" fillId="0" borderId="11" xfId="0" applyBorder="1"/>
    <xf numFmtId="177" fontId="15" fillId="0" borderId="11" xfId="0" applyNumberFormat="1" applyFont="1" applyBorder="1"/>
    <xf numFmtId="0" fontId="15" fillId="0" borderId="12" xfId="0" applyFont="1" applyBorder="1"/>
    <xf numFmtId="0" fontId="0" fillId="0" borderId="12" xfId="0" applyBorder="1"/>
    <xf numFmtId="177" fontId="15" fillId="0" borderId="12" xfId="0" applyNumberFormat="1" applyFont="1" applyBorder="1"/>
    <xf numFmtId="179" fontId="0" fillId="0" borderId="6" xfId="0" applyNumberFormat="1" applyBorder="1"/>
    <xf numFmtId="177" fontId="15" fillId="0" borderId="0" xfId="0" applyNumberFormat="1" applyFont="1"/>
    <xf numFmtId="10" fontId="15" fillId="0" borderId="12" xfId="0" applyNumberFormat="1" applyFont="1" applyBorder="1"/>
    <xf numFmtId="174" fontId="0" fillId="0" borderId="10" xfId="0" applyNumberFormat="1" applyBorder="1"/>
    <xf numFmtId="180" fontId="0" fillId="0" borderId="10" xfId="0" applyNumberFormat="1" applyBorder="1"/>
    <xf numFmtId="10" fontId="24" fillId="0" borderId="10" xfId="0" applyNumberFormat="1" applyFont="1" applyBorder="1"/>
    <xf numFmtId="174" fontId="0" fillId="0" borderId="2" xfId="0" applyNumberFormat="1" applyBorder="1"/>
    <xf numFmtId="0" fontId="15" fillId="0" borderId="13" xfId="0" applyFont="1" applyBorder="1"/>
    <xf numFmtId="10" fontId="15" fillId="0" borderId="13" xfId="7" applyNumberFormat="1" applyFont="1" applyBorder="1"/>
    <xf numFmtId="0" fontId="15" fillId="0" borderId="14" xfId="0" applyFont="1" applyBorder="1"/>
    <xf numFmtId="10" fontId="15" fillId="0" borderId="15" xfId="0" applyNumberFormat="1" applyFont="1" applyBorder="1"/>
    <xf numFmtId="0" fontId="15" fillId="0" borderId="16" xfId="0" applyFont="1" applyBorder="1"/>
    <xf numFmtId="0" fontId="15" fillId="0" borderId="6" xfId="0" applyFont="1" applyBorder="1"/>
    <xf numFmtId="10" fontId="15" fillId="0" borderId="17" xfId="0" applyNumberFormat="1" applyFont="1" applyBorder="1"/>
    <xf numFmtId="10" fontId="0" fillId="0" borderId="10" xfId="0" applyNumberFormat="1" applyBorder="1"/>
    <xf numFmtId="10" fontId="0" fillId="0" borderId="2" xfId="0" applyNumberFormat="1" applyBorder="1"/>
    <xf numFmtId="0" fontId="1" fillId="4" borderId="0" xfId="0" applyFont="1" applyFill="1" applyAlignment="1">
      <alignment horizontal="center"/>
    </xf>
    <xf numFmtId="0" fontId="19" fillId="0" borderId="0" xfId="0" applyFont="1" applyAlignment="1">
      <alignment horizontal="center"/>
    </xf>
    <xf numFmtId="0" fontId="1" fillId="7" borderId="0" xfId="0" applyFont="1" applyFill="1" applyAlignment="1">
      <alignment horizontal="center"/>
    </xf>
    <xf numFmtId="0" fontId="18" fillId="0" borderId="0" xfId="0" applyFont="1" applyAlignment="1">
      <alignment horizontal="center"/>
    </xf>
    <xf numFmtId="0" fontId="16" fillId="7" borderId="0" xfId="0" applyFont="1" applyFill="1" applyAlignment="1">
      <alignment horizontal="center"/>
    </xf>
    <xf numFmtId="0" fontId="1" fillId="7" borderId="7" xfId="0" applyFont="1" applyFill="1" applyBorder="1" applyAlignment="1">
      <alignment horizontal="center"/>
    </xf>
    <xf numFmtId="43" fontId="9" fillId="2" borderId="0" xfId="3" applyNumberFormat="1" applyFont="1" applyBorder="1" applyAlignment="1">
      <alignment horizontal="center"/>
    </xf>
    <xf numFmtId="43" fontId="7" fillId="0" borderId="0" xfId="2" applyNumberFormat="1" applyFont="1" applyBorder="1" applyAlignment="1" applyProtection="1">
      <alignment horizontal="center"/>
    </xf>
  </cellXfs>
  <cellStyles count="8">
    <cellStyle name="Accent6 2" xfId="3" xr:uid="{879196E2-DE25-4D0A-B896-55A768BF60D4}"/>
    <cellStyle name="Comma 2" xfId="1" xr:uid="{3A2D7576-BCE6-43C2-BDB6-7DC6024EF259}"/>
    <cellStyle name="Hyperlink 2" xfId="2" xr:uid="{1FF4284C-0A50-46B3-B3FA-BC8A6ECF2170}"/>
    <cellStyle name="Normal" xfId="0" builtinId="0"/>
    <cellStyle name="Normal 2" xfId="6" xr:uid="{F0466748-3281-43F0-AE01-3C0C5BB556B9}"/>
    <cellStyle name="Normal 3" xfId="4" xr:uid="{138F37D8-97B5-47D4-8178-2A825323A986}"/>
    <cellStyle name="Percent" xfId="7" builtinId="5"/>
    <cellStyle name="Percent 3" xfId="5" xr:uid="{57DE7076-A00D-4666-9039-700DAB0D8CAE}"/>
  </cellStyles>
  <dxfs count="1">
    <dxf>
      <font>
        <b/>
        <i val="0"/>
        <color theme="0"/>
      </font>
      <fill>
        <patternFill>
          <bgColor theme="5"/>
        </patternFill>
      </fill>
    </dxf>
  </dxfs>
  <tableStyles count="0" defaultTableStyle="TableStyleMedium9" defaultPivotStyle="PivotStyleLight16"/>
  <colors>
    <mruColors>
      <color rgb="FF0275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000" b="1"/>
              <a:t>Sales Forecast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Forecast!$C$13</c:f>
              <c:strCache>
                <c:ptCount val="1"/>
                <c:pt idx="0">
                  <c:v>Mar-24A</c:v>
                </c:pt>
              </c:strCache>
            </c:strRef>
          </c:tx>
          <c:spPr>
            <a:solidFill>
              <a:srgbClr val="0070C0"/>
            </a:solidFill>
            <a:ln>
              <a:noFill/>
            </a:ln>
            <a:effectLst/>
          </c:spPr>
          <c:invertIfNegative val="0"/>
          <c:val>
            <c:numRef>
              <c:f>Forecast!$D$13</c:f>
              <c:numCache>
                <c:formatCode>"₹"\ #,##0.0</c:formatCode>
                <c:ptCount val="1"/>
                <c:pt idx="0">
                  <c:v>4702.1899999999996</c:v>
                </c:pt>
              </c:numCache>
            </c:numRef>
          </c:val>
          <c:extLst>
            <c:ext xmlns:c16="http://schemas.microsoft.com/office/drawing/2014/chart" uri="{C3380CC4-5D6E-409C-BE32-E72D297353CC}">
              <c16:uniqueId val="{00000000-4FE8-43F6-B4E4-96006AD8417B}"/>
            </c:ext>
          </c:extLst>
        </c:ser>
        <c:ser>
          <c:idx val="1"/>
          <c:order val="1"/>
          <c:tx>
            <c:strRef>
              <c:f>Forecast!$C$14</c:f>
              <c:strCache>
                <c:ptCount val="1"/>
                <c:pt idx="0">
                  <c:v>Mar-25F</c:v>
                </c:pt>
              </c:strCache>
            </c:strRef>
          </c:tx>
          <c:spPr>
            <a:solidFill>
              <a:schemeClr val="accent1">
                <a:lumMod val="40000"/>
                <a:lumOff val="60000"/>
              </a:schemeClr>
            </a:solidFill>
            <a:ln>
              <a:noFill/>
            </a:ln>
            <a:effectLst/>
          </c:spPr>
          <c:invertIfNegative val="0"/>
          <c:val>
            <c:numRef>
              <c:f>Forecast!$D$14</c:f>
              <c:numCache>
                <c:formatCode>"₹"\ #,##0.0</c:formatCode>
                <c:ptCount val="1"/>
                <c:pt idx="0">
                  <c:v>4562.5453333333326</c:v>
                </c:pt>
              </c:numCache>
            </c:numRef>
          </c:val>
          <c:extLst>
            <c:ext xmlns:c16="http://schemas.microsoft.com/office/drawing/2014/chart" uri="{C3380CC4-5D6E-409C-BE32-E72D297353CC}">
              <c16:uniqueId val="{00000001-4FE8-43F6-B4E4-96006AD8417B}"/>
            </c:ext>
          </c:extLst>
        </c:ser>
        <c:ser>
          <c:idx val="2"/>
          <c:order val="2"/>
          <c:tx>
            <c:strRef>
              <c:f>Forecast!$C$15</c:f>
              <c:strCache>
                <c:ptCount val="1"/>
                <c:pt idx="0">
                  <c:v>Mar-26F</c:v>
                </c:pt>
              </c:strCache>
            </c:strRef>
          </c:tx>
          <c:spPr>
            <a:solidFill>
              <a:schemeClr val="accent1">
                <a:lumMod val="40000"/>
                <a:lumOff val="60000"/>
              </a:schemeClr>
            </a:solidFill>
            <a:ln>
              <a:noFill/>
            </a:ln>
            <a:effectLst/>
          </c:spPr>
          <c:invertIfNegative val="0"/>
          <c:val>
            <c:numRef>
              <c:f>Forecast!$D$15</c:f>
              <c:numCache>
                <c:formatCode>"₹"\ #,##0.0</c:formatCode>
                <c:ptCount val="1"/>
                <c:pt idx="0">
                  <c:v>4863.4792121212113</c:v>
                </c:pt>
              </c:numCache>
            </c:numRef>
          </c:val>
          <c:extLst>
            <c:ext xmlns:c16="http://schemas.microsoft.com/office/drawing/2014/chart" uri="{C3380CC4-5D6E-409C-BE32-E72D297353CC}">
              <c16:uniqueId val="{00000002-4FE8-43F6-B4E4-96006AD8417B}"/>
            </c:ext>
          </c:extLst>
        </c:ser>
        <c:ser>
          <c:idx val="3"/>
          <c:order val="3"/>
          <c:tx>
            <c:strRef>
              <c:f>Forecast!$C$16</c:f>
              <c:strCache>
                <c:ptCount val="1"/>
                <c:pt idx="0">
                  <c:v>Mar-27F</c:v>
                </c:pt>
              </c:strCache>
            </c:strRef>
          </c:tx>
          <c:spPr>
            <a:solidFill>
              <a:schemeClr val="accent1">
                <a:lumMod val="40000"/>
                <a:lumOff val="60000"/>
              </a:schemeClr>
            </a:solidFill>
            <a:ln>
              <a:noFill/>
            </a:ln>
            <a:effectLst/>
          </c:spPr>
          <c:invertIfNegative val="0"/>
          <c:val>
            <c:numRef>
              <c:f>Forecast!$D$16</c:f>
              <c:numCache>
                <c:formatCode>"₹"\ #,##0.0</c:formatCode>
                <c:ptCount val="1"/>
                <c:pt idx="0">
                  <c:v>5164.41309090909</c:v>
                </c:pt>
              </c:numCache>
            </c:numRef>
          </c:val>
          <c:extLst>
            <c:ext xmlns:c16="http://schemas.microsoft.com/office/drawing/2014/chart" uri="{C3380CC4-5D6E-409C-BE32-E72D297353CC}">
              <c16:uniqueId val="{00000003-4FE8-43F6-B4E4-96006AD8417B}"/>
            </c:ext>
          </c:extLst>
        </c:ser>
        <c:ser>
          <c:idx val="4"/>
          <c:order val="4"/>
          <c:tx>
            <c:strRef>
              <c:f>Forecast!$C$17</c:f>
              <c:strCache>
                <c:ptCount val="1"/>
                <c:pt idx="0">
                  <c:v>Mar-28F</c:v>
                </c:pt>
              </c:strCache>
            </c:strRef>
          </c:tx>
          <c:spPr>
            <a:solidFill>
              <a:schemeClr val="accent1">
                <a:lumMod val="40000"/>
                <a:lumOff val="60000"/>
              </a:schemeClr>
            </a:solidFill>
            <a:ln>
              <a:noFill/>
            </a:ln>
            <a:effectLst/>
          </c:spPr>
          <c:invertIfNegative val="0"/>
          <c:val>
            <c:numRef>
              <c:f>Forecast!$D$17</c:f>
              <c:numCache>
                <c:formatCode>"₹"\ #,##0.0</c:formatCode>
                <c:ptCount val="1"/>
                <c:pt idx="0">
                  <c:v>5465.3469696969687</c:v>
                </c:pt>
              </c:numCache>
            </c:numRef>
          </c:val>
          <c:extLst>
            <c:ext xmlns:c16="http://schemas.microsoft.com/office/drawing/2014/chart" uri="{C3380CC4-5D6E-409C-BE32-E72D297353CC}">
              <c16:uniqueId val="{00000004-4FE8-43F6-B4E4-96006AD8417B}"/>
            </c:ext>
          </c:extLst>
        </c:ser>
        <c:ser>
          <c:idx val="5"/>
          <c:order val="5"/>
          <c:tx>
            <c:strRef>
              <c:f>Forecast!$C$18</c:f>
              <c:strCache>
                <c:ptCount val="1"/>
                <c:pt idx="0">
                  <c:v>Mar-29F</c:v>
                </c:pt>
              </c:strCache>
            </c:strRef>
          </c:tx>
          <c:spPr>
            <a:solidFill>
              <a:schemeClr val="accent1">
                <a:lumMod val="40000"/>
                <a:lumOff val="60000"/>
              </a:schemeClr>
            </a:solidFill>
            <a:ln>
              <a:noFill/>
            </a:ln>
            <a:effectLst/>
          </c:spPr>
          <c:invertIfNegative val="0"/>
          <c:val>
            <c:numRef>
              <c:f>Forecast!$D$18</c:f>
              <c:numCache>
                <c:formatCode>"₹"\ #,##0.0</c:formatCode>
                <c:ptCount val="1"/>
                <c:pt idx="0">
                  <c:v>5766.2808484848474</c:v>
                </c:pt>
              </c:numCache>
            </c:numRef>
          </c:val>
          <c:extLst>
            <c:ext xmlns:c16="http://schemas.microsoft.com/office/drawing/2014/chart" uri="{C3380CC4-5D6E-409C-BE32-E72D297353CC}">
              <c16:uniqueId val="{0000000F-4FE8-43F6-B4E4-96006AD8417B}"/>
            </c:ext>
          </c:extLst>
        </c:ser>
        <c:dLbls>
          <c:showLegendKey val="0"/>
          <c:showVal val="0"/>
          <c:showCatName val="0"/>
          <c:showSerName val="0"/>
          <c:showPercent val="0"/>
          <c:showBubbleSize val="0"/>
        </c:dLbls>
        <c:gapWidth val="219"/>
        <c:overlap val="-27"/>
        <c:axId val="1470937551"/>
        <c:axId val="1470938991"/>
      </c:barChart>
      <c:catAx>
        <c:axId val="1470937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0938991"/>
        <c:crosses val="autoZero"/>
        <c:auto val="1"/>
        <c:lblAlgn val="ctr"/>
        <c:lblOffset val="100"/>
        <c:noMultiLvlLbl val="0"/>
      </c:catAx>
      <c:valAx>
        <c:axId val="1470938991"/>
        <c:scaling>
          <c:orientation val="minMax"/>
        </c:scaling>
        <c:delete val="0"/>
        <c:axPos val="l"/>
        <c:numFmt formatCode="&quot;₹&quot;\ #,##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70937551"/>
        <c:crosses val="autoZero"/>
        <c:crossBetween val="between"/>
      </c:valAx>
      <c:spPr>
        <a:noFill/>
        <a:ln w="25400">
          <a:noFill/>
        </a:ln>
        <a:effectLst/>
      </c:spPr>
    </c:plotArea>
    <c:legend>
      <c:legendPos val="b"/>
      <c:layout>
        <c:manualLayout>
          <c:xMode val="edge"/>
          <c:yMode val="edge"/>
          <c:x val="0.11415938626332964"/>
          <c:y val="0.88208942035111848"/>
          <c:w val="0.82915240310985472"/>
          <c:h val="9.971221750147472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000" b="1"/>
              <a:t>EBITDA Forecast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Forecast!$H$13</c:f>
              <c:strCache>
                <c:ptCount val="1"/>
                <c:pt idx="0">
                  <c:v>Mar-24A</c:v>
                </c:pt>
              </c:strCache>
            </c:strRef>
          </c:tx>
          <c:spPr>
            <a:solidFill>
              <a:srgbClr val="0070C0"/>
            </a:solidFill>
            <a:ln>
              <a:noFill/>
            </a:ln>
            <a:effectLst/>
          </c:spPr>
          <c:invertIfNegative val="0"/>
          <c:val>
            <c:numRef>
              <c:f>Forecast!$I$13</c:f>
              <c:numCache>
                <c:formatCode>"₹"\ #,##0.0</c:formatCode>
                <c:ptCount val="1"/>
                <c:pt idx="0">
                  <c:v>741.06999999999948</c:v>
                </c:pt>
              </c:numCache>
            </c:numRef>
          </c:val>
          <c:extLst>
            <c:ext xmlns:c16="http://schemas.microsoft.com/office/drawing/2014/chart" uri="{C3380CC4-5D6E-409C-BE32-E72D297353CC}">
              <c16:uniqueId val="{00000000-7FB1-494A-AB04-159A1C4B2842}"/>
            </c:ext>
          </c:extLst>
        </c:ser>
        <c:ser>
          <c:idx val="1"/>
          <c:order val="1"/>
          <c:tx>
            <c:strRef>
              <c:f>Forecast!$H$14</c:f>
              <c:strCache>
                <c:ptCount val="1"/>
                <c:pt idx="0">
                  <c:v>Mar-25F</c:v>
                </c:pt>
              </c:strCache>
            </c:strRef>
          </c:tx>
          <c:spPr>
            <a:solidFill>
              <a:schemeClr val="accent1">
                <a:lumMod val="40000"/>
                <a:lumOff val="60000"/>
              </a:schemeClr>
            </a:solidFill>
            <a:ln>
              <a:noFill/>
            </a:ln>
            <a:effectLst/>
          </c:spPr>
          <c:invertIfNegative val="0"/>
          <c:val>
            <c:numRef>
              <c:f>Forecast!$I$14</c:f>
              <c:numCache>
                <c:formatCode>"₹"\ #,##0.0</c:formatCode>
                <c:ptCount val="1"/>
                <c:pt idx="0">
                  <c:v>724.42666666666628</c:v>
                </c:pt>
              </c:numCache>
            </c:numRef>
          </c:val>
          <c:extLst>
            <c:ext xmlns:c16="http://schemas.microsoft.com/office/drawing/2014/chart" uri="{C3380CC4-5D6E-409C-BE32-E72D297353CC}">
              <c16:uniqueId val="{00000001-7FB1-494A-AB04-159A1C4B2842}"/>
            </c:ext>
          </c:extLst>
        </c:ser>
        <c:ser>
          <c:idx val="2"/>
          <c:order val="2"/>
          <c:tx>
            <c:strRef>
              <c:f>Forecast!$H$15</c:f>
              <c:strCache>
                <c:ptCount val="1"/>
                <c:pt idx="0">
                  <c:v>Mar-26F</c:v>
                </c:pt>
              </c:strCache>
            </c:strRef>
          </c:tx>
          <c:spPr>
            <a:solidFill>
              <a:schemeClr val="accent1">
                <a:lumMod val="40000"/>
                <a:lumOff val="60000"/>
              </a:schemeClr>
            </a:solidFill>
            <a:ln>
              <a:noFill/>
            </a:ln>
            <a:effectLst/>
          </c:spPr>
          <c:invertIfNegative val="0"/>
          <c:val>
            <c:numRef>
              <c:f>Forecast!$I$15</c:f>
              <c:numCache>
                <c:formatCode>"₹"\ #,##0.0</c:formatCode>
                <c:ptCount val="1"/>
                <c:pt idx="0">
                  <c:v>773.97642424242372</c:v>
                </c:pt>
              </c:numCache>
            </c:numRef>
          </c:val>
          <c:extLst>
            <c:ext xmlns:c16="http://schemas.microsoft.com/office/drawing/2014/chart" uri="{C3380CC4-5D6E-409C-BE32-E72D297353CC}">
              <c16:uniqueId val="{00000002-7FB1-494A-AB04-159A1C4B2842}"/>
            </c:ext>
          </c:extLst>
        </c:ser>
        <c:ser>
          <c:idx val="3"/>
          <c:order val="3"/>
          <c:tx>
            <c:strRef>
              <c:f>Forecast!$H$16</c:f>
              <c:strCache>
                <c:ptCount val="1"/>
                <c:pt idx="0">
                  <c:v>Mar-27F</c:v>
                </c:pt>
              </c:strCache>
            </c:strRef>
          </c:tx>
          <c:spPr>
            <a:solidFill>
              <a:schemeClr val="accent1">
                <a:lumMod val="40000"/>
                <a:lumOff val="60000"/>
              </a:schemeClr>
            </a:solidFill>
            <a:ln>
              <a:noFill/>
            </a:ln>
            <a:effectLst/>
          </c:spPr>
          <c:invertIfNegative val="0"/>
          <c:val>
            <c:numRef>
              <c:f>Forecast!$I$16</c:f>
              <c:numCache>
                <c:formatCode>"₹"\ #,##0.0</c:formatCode>
                <c:ptCount val="1"/>
                <c:pt idx="0">
                  <c:v>823.52618181818127</c:v>
                </c:pt>
              </c:numCache>
            </c:numRef>
          </c:val>
          <c:extLst>
            <c:ext xmlns:c16="http://schemas.microsoft.com/office/drawing/2014/chart" uri="{C3380CC4-5D6E-409C-BE32-E72D297353CC}">
              <c16:uniqueId val="{00000003-7FB1-494A-AB04-159A1C4B2842}"/>
            </c:ext>
          </c:extLst>
        </c:ser>
        <c:ser>
          <c:idx val="4"/>
          <c:order val="4"/>
          <c:tx>
            <c:strRef>
              <c:f>Forecast!$H$17</c:f>
              <c:strCache>
                <c:ptCount val="1"/>
                <c:pt idx="0">
                  <c:v>Mar-28F</c:v>
                </c:pt>
              </c:strCache>
            </c:strRef>
          </c:tx>
          <c:spPr>
            <a:solidFill>
              <a:schemeClr val="accent1">
                <a:lumMod val="40000"/>
                <a:lumOff val="60000"/>
              </a:schemeClr>
            </a:solidFill>
            <a:ln>
              <a:noFill/>
            </a:ln>
            <a:effectLst/>
          </c:spPr>
          <c:invertIfNegative val="0"/>
          <c:val>
            <c:numRef>
              <c:f>Forecast!$I$17</c:f>
              <c:numCache>
                <c:formatCode>"₹"\ #,##0.0</c:formatCode>
                <c:ptCount val="1"/>
                <c:pt idx="0">
                  <c:v>873.07593939393882</c:v>
                </c:pt>
              </c:numCache>
            </c:numRef>
          </c:val>
          <c:extLst>
            <c:ext xmlns:c16="http://schemas.microsoft.com/office/drawing/2014/chart" uri="{C3380CC4-5D6E-409C-BE32-E72D297353CC}">
              <c16:uniqueId val="{00000004-7FB1-494A-AB04-159A1C4B2842}"/>
            </c:ext>
          </c:extLst>
        </c:ser>
        <c:ser>
          <c:idx val="5"/>
          <c:order val="5"/>
          <c:tx>
            <c:strRef>
              <c:f>Forecast!$H$18</c:f>
              <c:strCache>
                <c:ptCount val="1"/>
                <c:pt idx="0">
                  <c:v>Mar-29F</c:v>
                </c:pt>
              </c:strCache>
            </c:strRef>
          </c:tx>
          <c:spPr>
            <a:solidFill>
              <a:schemeClr val="accent1">
                <a:lumMod val="40000"/>
                <a:lumOff val="60000"/>
              </a:schemeClr>
            </a:solidFill>
            <a:ln>
              <a:noFill/>
            </a:ln>
            <a:effectLst/>
          </c:spPr>
          <c:invertIfNegative val="0"/>
          <c:val>
            <c:numRef>
              <c:f>Forecast!$I$18</c:f>
              <c:numCache>
                <c:formatCode>"₹"\ #,##0.0</c:formatCode>
                <c:ptCount val="1"/>
                <c:pt idx="0">
                  <c:v>922.62569696969626</c:v>
                </c:pt>
              </c:numCache>
            </c:numRef>
          </c:val>
          <c:extLst>
            <c:ext xmlns:c16="http://schemas.microsoft.com/office/drawing/2014/chart" uri="{C3380CC4-5D6E-409C-BE32-E72D297353CC}">
              <c16:uniqueId val="{00000005-7FB1-494A-AB04-159A1C4B2842}"/>
            </c:ext>
          </c:extLst>
        </c:ser>
        <c:dLbls>
          <c:showLegendKey val="0"/>
          <c:showVal val="0"/>
          <c:showCatName val="0"/>
          <c:showSerName val="0"/>
          <c:showPercent val="0"/>
          <c:showBubbleSize val="0"/>
        </c:dLbls>
        <c:gapWidth val="219"/>
        <c:overlap val="-27"/>
        <c:axId val="1413518399"/>
        <c:axId val="1413522719"/>
      </c:barChart>
      <c:catAx>
        <c:axId val="1413518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3522719"/>
        <c:crosses val="autoZero"/>
        <c:auto val="1"/>
        <c:lblAlgn val="ctr"/>
        <c:lblOffset val="100"/>
        <c:noMultiLvlLbl val="0"/>
      </c:catAx>
      <c:valAx>
        <c:axId val="1413522719"/>
        <c:scaling>
          <c:orientation val="minMax"/>
        </c:scaling>
        <c:delete val="0"/>
        <c:axPos val="l"/>
        <c:numFmt formatCode="&quot;₹&quot;\ #,##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3518399"/>
        <c:crosses val="autoZero"/>
        <c:crossBetween val="between"/>
      </c:valAx>
      <c:spPr>
        <a:noFill/>
        <a:ln>
          <a:noFill/>
        </a:ln>
        <a:effectLst/>
      </c:spPr>
    </c:plotArea>
    <c:legend>
      <c:legendPos val="b"/>
      <c:layout>
        <c:manualLayout>
          <c:xMode val="edge"/>
          <c:yMode val="edge"/>
          <c:x val="0.13557024945918272"/>
          <c:y val="0.89470073034348951"/>
          <c:w val="0.78745756425477242"/>
          <c:h val="8.718332762752481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000" b="1"/>
              <a:t>EPS Forecast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Forecast!$M$13</c:f>
              <c:strCache>
                <c:ptCount val="1"/>
                <c:pt idx="0">
                  <c:v>Mar-24A</c:v>
                </c:pt>
              </c:strCache>
            </c:strRef>
          </c:tx>
          <c:spPr>
            <a:solidFill>
              <a:srgbClr val="0070C0"/>
            </a:solidFill>
            <a:ln>
              <a:noFill/>
            </a:ln>
            <a:effectLst/>
          </c:spPr>
          <c:invertIfNegative val="0"/>
          <c:val>
            <c:numRef>
              <c:f>Forecast!$N$13</c:f>
              <c:numCache>
                <c:formatCode>"₹"\ #,##0.0</c:formatCode>
                <c:ptCount val="1"/>
                <c:pt idx="0">
                  <c:v>18.807672096689409</c:v>
                </c:pt>
              </c:numCache>
            </c:numRef>
          </c:val>
          <c:extLst>
            <c:ext xmlns:c16="http://schemas.microsoft.com/office/drawing/2014/chart" uri="{C3380CC4-5D6E-409C-BE32-E72D297353CC}">
              <c16:uniqueId val="{00000000-A0D9-4687-B8E9-5B9A5C20722F}"/>
            </c:ext>
          </c:extLst>
        </c:ser>
        <c:ser>
          <c:idx val="1"/>
          <c:order val="1"/>
          <c:tx>
            <c:strRef>
              <c:f>Forecast!$M$14</c:f>
              <c:strCache>
                <c:ptCount val="1"/>
                <c:pt idx="0">
                  <c:v>Mar-25F</c:v>
                </c:pt>
              </c:strCache>
            </c:strRef>
          </c:tx>
          <c:spPr>
            <a:solidFill>
              <a:schemeClr val="accent1">
                <a:lumMod val="50000"/>
              </a:schemeClr>
            </a:solidFill>
            <a:ln>
              <a:noFill/>
            </a:ln>
            <a:effectLst/>
          </c:spPr>
          <c:invertIfNegative val="0"/>
          <c:dPt>
            <c:idx val="0"/>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0-7122-4C12-8B5D-A89039FC65B5}"/>
              </c:ext>
            </c:extLst>
          </c:dPt>
          <c:val>
            <c:numRef>
              <c:f>Forecast!$N$14</c:f>
              <c:numCache>
                <c:formatCode>"₹"\ #,##0.0</c:formatCode>
                <c:ptCount val="1"/>
                <c:pt idx="0">
                  <c:v>20.376564333510515</c:v>
                </c:pt>
              </c:numCache>
            </c:numRef>
          </c:val>
          <c:extLst>
            <c:ext xmlns:c16="http://schemas.microsoft.com/office/drawing/2014/chart" uri="{C3380CC4-5D6E-409C-BE32-E72D297353CC}">
              <c16:uniqueId val="{00000001-A0D9-4687-B8E9-5B9A5C20722F}"/>
            </c:ext>
          </c:extLst>
        </c:ser>
        <c:ser>
          <c:idx val="2"/>
          <c:order val="2"/>
          <c:tx>
            <c:strRef>
              <c:f>Forecast!$M$15</c:f>
              <c:strCache>
                <c:ptCount val="1"/>
                <c:pt idx="0">
                  <c:v>Mar-26F</c:v>
                </c:pt>
              </c:strCache>
            </c:strRef>
          </c:tx>
          <c:spPr>
            <a:solidFill>
              <a:schemeClr val="accent1">
                <a:lumMod val="40000"/>
                <a:lumOff val="60000"/>
              </a:schemeClr>
            </a:solidFill>
            <a:ln>
              <a:noFill/>
            </a:ln>
            <a:effectLst/>
          </c:spPr>
          <c:invertIfNegative val="0"/>
          <c:val>
            <c:numRef>
              <c:f>Forecast!$N$15</c:f>
              <c:numCache>
                <c:formatCode>"₹"\ #,##0.0</c:formatCode>
                <c:ptCount val="1"/>
                <c:pt idx="0">
                  <c:v>22.064325261455672</c:v>
                </c:pt>
              </c:numCache>
            </c:numRef>
          </c:val>
          <c:extLst>
            <c:ext xmlns:c16="http://schemas.microsoft.com/office/drawing/2014/chart" uri="{C3380CC4-5D6E-409C-BE32-E72D297353CC}">
              <c16:uniqueId val="{00000002-A0D9-4687-B8E9-5B9A5C20722F}"/>
            </c:ext>
          </c:extLst>
        </c:ser>
        <c:ser>
          <c:idx val="3"/>
          <c:order val="3"/>
          <c:tx>
            <c:strRef>
              <c:f>Forecast!$M$16</c:f>
              <c:strCache>
                <c:ptCount val="1"/>
                <c:pt idx="0">
                  <c:v>Mar-27F</c:v>
                </c:pt>
              </c:strCache>
            </c:strRef>
          </c:tx>
          <c:spPr>
            <a:solidFill>
              <a:schemeClr val="accent1">
                <a:lumMod val="40000"/>
                <a:lumOff val="60000"/>
              </a:schemeClr>
            </a:solidFill>
            <a:ln>
              <a:noFill/>
            </a:ln>
            <a:effectLst/>
          </c:spPr>
          <c:invertIfNegative val="0"/>
          <c:val>
            <c:numRef>
              <c:f>Forecast!$N$16</c:f>
              <c:numCache>
                <c:formatCode>"₹"\ #,##0.0</c:formatCode>
                <c:ptCount val="1"/>
                <c:pt idx="0">
                  <c:v>23.752086189400828</c:v>
                </c:pt>
              </c:numCache>
            </c:numRef>
          </c:val>
          <c:extLst>
            <c:ext xmlns:c16="http://schemas.microsoft.com/office/drawing/2014/chart" uri="{C3380CC4-5D6E-409C-BE32-E72D297353CC}">
              <c16:uniqueId val="{00000003-A0D9-4687-B8E9-5B9A5C20722F}"/>
            </c:ext>
          </c:extLst>
        </c:ser>
        <c:ser>
          <c:idx val="4"/>
          <c:order val="4"/>
          <c:tx>
            <c:strRef>
              <c:f>Forecast!$M$17</c:f>
              <c:strCache>
                <c:ptCount val="1"/>
                <c:pt idx="0">
                  <c:v>Mar-28F</c:v>
                </c:pt>
              </c:strCache>
            </c:strRef>
          </c:tx>
          <c:spPr>
            <a:solidFill>
              <a:schemeClr val="accent1">
                <a:lumMod val="40000"/>
                <a:lumOff val="60000"/>
              </a:schemeClr>
            </a:solidFill>
            <a:ln>
              <a:noFill/>
            </a:ln>
            <a:effectLst/>
          </c:spPr>
          <c:invertIfNegative val="0"/>
          <c:val>
            <c:numRef>
              <c:f>Forecast!$N$17</c:f>
              <c:numCache>
                <c:formatCode>"₹"\ #,##0.0</c:formatCode>
                <c:ptCount val="1"/>
                <c:pt idx="0">
                  <c:v>25.43984711734598</c:v>
                </c:pt>
              </c:numCache>
            </c:numRef>
          </c:val>
          <c:extLst>
            <c:ext xmlns:c16="http://schemas.microsoft.com/office/drawing/2014/chart" uri="{C3380CC4-5D6E-409C-BE32-E72D297353CC}">
              <c16:uniqueId val="{00000004-A0D9-4687-B8E9-5B9A5C20722F}"/>
            </c:ext>
          </c:extLst>
        </c:ser>
        <c:ser>
          <c:idx val="5"/>
          <c:order val="5"/>
          <c:tx>
            <c:strRef>
              <c:f>Forecast!$M$18</c:f>
              <c:strCache>
                <c:ptCount val="1"/>
                <c:pt idx="0">
                  <c:v>Mar-29F</c:v>
                </c:pt>
              </c:strCache>
            </c:strRef>
          </c:tx>
          <c:spPr>
            <a:solidFill>
              <a:schemeClr val="accent1">
                <a:lumMod val="40000"/>
                <a:lumOff val="60000"/>
              </a:schemeClr>
            </a:solidFill>
            <a:ln>
              <a:noFill/>
            </a:ln>
            <a:effectLst/>
          </c:spPr>
          <c:invertIfNegative val="0"/>
          <c:val>
            <c:numRef>
              <c:f>Forecast!$N$18</c:f>
              <c:numCache>
                <c:formatCode>"₹"\ #,##0.0</c:formatCode>
                <c:ptCount val="1"/>
                <c:pt idx="0">
                  <c:v>27.127608045291137</c:v>
                </c:pt>
              </c:numCache>
            </c:numRef>
          </c:val>
          <c:extLst>
            <c:ext xmlns:c16="http://schemas.microsoft.com/office/drawing/2014/chart" uri="{C3380CC4-5D6E-409C-BE32-E72D297353CC}">
              <c16:uniqueId val="{00000005-A0D9-4687-B8E9-5B9A5C20722F}"/>
            </c:ext>
          </c:extLst>
        </c:ser>
        <c:dLbls>
          <c:showLegendKey val="0"/>
          <c:showVal val="0"/>
          <c:showCatName val="0"/>
          <c:showSerName val="0"/>
          <c:showPercent val="0"/>
          <c:showBubbleSize val="0"/>
        </c:dLbls>
        <c:gapWidth val="219"/>
        <c:overlap val="-27"/>
        <c:axId val="1481276943"/>
        <c:axId val="1481287503"/>
      </c:barChart>
      <c:catAx>
        <c:axId val="14812769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287503"/>
        <c:crosses val="autoZero"/>
        <c:auto val="1"/>
        <c:lblAlgn val="ctr"/>
        <c:lblOffset val="100"/>
        <c:noMultiLvlLbl val="0"/>
      </c:catAx>
      <c:valAx>
        <c:axId val="1481287503"/>
        <c:scaling>
          <c:orientation val="minMax"/>
        </c:scaling>
        <c:delete val="0"/>
        <c:axPos val="l"/>
        <c:numFmt formatCode="&quot;₹&quot;\ #,##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1276943"/>
        <c:crosses val="autoZero"/>
        <c:crossBetween val="between"/>
      </c:valAx>
      <c:spPr>
        <a:noFill/>
        <a:ln>
          <a:noFill/>
        </a:ln>
        <a:effectLst/>
      </c:spPr>
    </c:plotArea>
    <c:legend>
      <c:legendPos val="b"/>
      <c:layout>
        <c:manualLayout>
          <c:xMode val="edge"/>
          <c:yMode val="edge"/>
          <c:x val="7.9225872627990482E-2"/>
          <c:y val="0.82142805543802433"/>
          <c:w val="0.8426750535493408"/>
          <c:h val="0.152359624771674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028655"/>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0731-401B-9248-0E179B10428E}"/>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0731-401B-9248-0E179B10428E}"/>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0731-401B-9248-0E179B10428E}"/>
              </c:ext>
            </c:extLst>
          </c:dPt>
          <c:dPt>
            <c:idx val="3"/>
            <c:invertIfNegative val="0"/>
            <c:bubble3D val="0"/>
            <c:spPr>
              <a:solidFill>
                <a:srgbClr val="0070C0"/>
              </a:solidFill>
              <a:ln>
                <a:noFill/>
              </a:ln>
              <a:effectLst/>
            </c:spPr>
            <c:extLst>
              <c:ext xmlns:c16="http://schemas.microsoft.com/office/drawing/2014/chart" uri="{C3380CC4-5D6E-409C-BE32-E72D297353CC}">
                <c16:uniqueId val="{00000007-0731-401B-9248-0E179B10428E}"/>
              </c:ext>
            </c:extLst>
          </c:dPt>
          <c:dPt>
            <c:idx val="4"/>
            <c:invertIfNegative val="0"/>
            <c:bubble3D val="0"/>
            <c:spPr>
              <a:solidFill>
                <a:srgbClr val="0275D8"/>
              </a:solidFill>
              <a:ln>
                <a:noFill/>
              </a:ln>
              <a:effectLst/>
            </c:spPr>
            <c:extLst>
              <c:ext xmlns:c16="http://schemas.microsoft.com/office/drawing/2014/chart" uri="{C3380CC4-5D6E-409C-BE32-E72D297353CC}">
                <c16:uniqueId val="{00000009-0731-401B-9248-0E179B10428E}"/>
              </c:ext>
            </c:extLst>
          </c:dPt>
          <c:dPt>
            <c:idx val="5"/>
            <c:invertIfNegative val="0"/>
            <c:bubble3D val="0"/>
            <c:spPr>
              <a:solidFill>
                <a:srgbClr val="0275D8"/>
              </a:solidFill>
              <a:ln>
                <a:noFill/>
              </a:ln>
              <a:effectLst/>
            </c:spPr>
            <c:extLst>
              <c:ext xmlns:c16="http://schemas.microsoft.com/office/drawing/2014/chart" uri="{C3380CC4-5D6E-409C-BE32-E72D297353CC}">
                <c16:uniqueId val="{0000000B-0731-401B-9248-0E179B10428E}"/>
              </c:ext>
            </c:extLst>
          </c:dPt>
          <c:dPt>
            <c:idx val="6"/>
            <c:invertIfNegative val="0"/>
            <c:bubble3D val="0"/>
            <c:spPr>
              <a:solidFill>
                <a:srgbClr val="0275D8"/>
              </a:solidFill>
              <a:ln>
                <a:noFill/>
              </a:ln>
              <a:effectLst/>
            </c:spPr>
            <c:extLst>
              <c:ext xmlns:c16="http://schemas.microsoft.com/office/drawing/2014/chart" uri="{C3380CC4-5D6E-409C-BE32-E72D297353CC}">
                <c16:uniqueId val="{0000000D-0731-401B-9248-0E179B10428E}"/>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Analysis'!$C$13:$I$13</c:f>
              <c:numCache>
                <c:formatCode>mmm\-yy</c:formatCode>
                <c:ptCount val="7"/>
                <c:pt idx="0">
                  <c:v>43190</c:v>
                </c:pt>
                <c:pt idx="1">
                  <c:v>43555</c:v>
                </c:pt>
                <c:pt idx="2">
                  <c:v>43921</c:v>
                </c:pt>
                <c:pt idx="3">
                  <c:v>44286</c:v>
                </c:pt>
                <c:pt idx="4">
                  <c:v>44651</c:v>
                </c:pt>
                <c:pt idx="5">
                  <c:v>45016</c:v>
                </c:pt>
                <c:pt idx="6">
                  <c:v>45382</c:v>
                </c:pt>
              </c:numCache>
            </c:numRef>
          </c:cat>
          <c:val>
            <c:numRef>
              <c:f>'Dupont Analysis'!$C$15:$I$15</c:f>
              <c:numCache>
                <c:formatCode>#,##0.0</c:formatCode>
                <c:ptCount val="7"/>
                <c:pt idx="0">
                  <c:v>2374.5</c:v>
                </c:pt>
                <c:pt idx="1">
                  <c:v>2688.9</c:v>
                </c:pt>
                <c:pt idx="2">
                  <c:v>2598.9699999999998</c:v>
                </c:pt>
                <c:pt idx="3">
                  <c:v>2631.71</c:v>
                </c:pt>
                <c:pt idx="4">
                  <c:v>3324.76</c:v>
                </c:pt>
                <c:pt idx="5">
                  <c:v>4654.28</c:v>
                </c:pt>
                <c:pt idx="6">
                  <c:v>4702.1899999999996</c:v>
                </c:pt>
              </c:numCache>
            </c:numRef>
          </c:val>
          <c:extLst>
            <c:ext xmlns:c16="http://schemas.microsoft.com/office/drawing/2014/chart" uri="{C3380CC4-5D6E-409C-BE32-E72D297353CC}">
              <c16:uniqueId val="{0000000E-0731-401B-9248-0E179B10428E}"/>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028655"/>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E45B-41CA-A1F4-4C7143F6479E}"/>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E45B-41CA-A1F4-4C7143F6479E}"/>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E45B-41CA-A1F4-4C7143F6479E}"/>
              </c:ext>
            </c:extLst>
          </c:dPt>
          <c:dPt>
            <c:idx val="3"/>
            <c:invertIfNegative val="0"/>
            <c:bubble3D val="0"/>
            <c:spPr>
              <a:solidFill>
                <a:srgbClr val="0070C0"/>
              </a:solidFill>
              <a:ln>
                <a:noFill/>
              </a:ln>
              <a:effectLst/>
            </c:spPr>
            <c:extLst>
              <c:ext xmlns:c16="http://schemas.microsoft.com/office/drawing/2014/chart" uri="{C3380CC4-5D6E-409C-BE32-E72D297353CC}">
                <c16:uniqueId val="{00000007-E45B-41CA-A1F4-4C7143F6479E}"/>
              </c:ext>
            </c:extLst>
          </c:dPt>
          <c:dPt>
            <c:idx val="4"/>
            <c:invertIfNegative val="0"/>
            <c:bubble3D val="0"/>
            <c:spPr>
              <a:solidFill>
                <a:srgbClr val="0275D8"/>
              </a:solidFill>
              <a:ln>
                <a:noFill/>
              </a:ln>
              <a:effectLst/>
            </c:spPr>
            <c:extLst>
              <c:ext xmlns:c16="http://schemas.microsoft.com/office/drawing/2014/chart" uri="{C3380CC4-5D6E-409C-BE32-E72D297353CC}">
                <c16:uniqueId val="{00000009-E45B-41CA-A1F4-4C7143F6479E}"/>
              </c:ext>
            </c:extLst>
          </c:dPt>
          <c:dPt>
            <c:idx val="5"/>
            <c:invertIfNegative val="0"/>
            <c:bubble3D val="0"/>
            <c:spPr>
              <a:solidFill>
                <a:srgbClr val="0275D8"/>
              </a:solidFill>
              <a:ln>
                <a:noFill/>
              </a:ln>
              <a:effectLst/>
            </c:spPr>
            <c:extLst>
              <c:ext xmlns:c16="http://schemas.microsoft.com/office/drawing/2014/chart" uri="{C3380CC4-5D6E-409C-BE32-E72D297353CC}">
                <c16:uniqueId val="{0000000B-E45B-41CA-A1F4-4C7143F6479E}"/>
              </c:ext>
            </c:extLst>
          </c:dPt>
          <c:dPt>
            <c:idx val="6"/>
            <c:invertIfNegative val="0"/>
            <c:bubble3D val="0"/>
            <c:spPr>
              <a:solidFill>
                <a:srgbClr val="0275D8"/>
              </a:solidFill>
              <a:ln>
                <a:noFill/>
              </a:ln>
              <a:effectLst/>
            </c:spPr>
            <c:extLst>
              <c:ext xmlns:c16="http://schemas.microsoft.com/office/drawing/2014/chart" uri="{C3380CC4-5D6E-409C-BE32-E72D297353CC}">
                <c16:uniqueId val="{0000000D-E45B-41CA-A1F4-4C7143F6479E}"/>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Analysis'!$C$13:$I$13</c:f>
              <c:numCache>
                <c:formatCode>mmm\-yy</c:formatCode>
                <c:ptCount val="7"/>
                <c:pt idx="0">
                  <c:v>43190</c:v>
                </c:pt>
                <c:pt idx="1">
                  <c:v>43555</c:v>
                </c:pt>
                <c:pt idx="2">
                  <c:v>43921</c:v>
                </c:pt>
                <c:pt idx="3">
                  <c:v>44286</c:v>
                </c:pt>
                <c:pt idx="4">
                  <c:v>44651</c:v>
                </c:pt>
                <c:pt idx="5">
                  <c:v>45016</c:v>
                </c:pt>
                <c:pt idx="6">
                  <c:v>45382</c:v>
                </c:pt>
              </c:numCache>
            </c:numRef>
          </c:cat>
          <c:val>
            <c:numRef>
              <c:f>'Dupont Analysis'!$C$14:$I$14</c:f>
              <c:numCache>
                <c:formatCode>#,##0.0</c:formatCode>
                <c:ptCount val="7"/>
                <c:pt idx="0">
                  <c:v>132.6</c:v>
                </c:pt>
                <c:pt idx="1">
                  <c:v>144.1</c:v>
                </c:pt>
                <c:pt idx="2">
                  <c:v>174.87</c:v>
                </c:pt>
                <c:pt idx="3">
                  <c:v>215.6</c:v>
                </c:pt>
                <c:pt idx="4">
                  <c:v>247.68</c:v>
                </c:pt>
                <c:pt idx="5">
                  <c:v>272.42</c:v>
                </c:pt>
                <c:pt idx="6">
                  <c:v>284.31</c:v>
                </c:pt>
              </c:numCache>
            </c:numRef>
          </c:val>
          <c:extLst>
            <c:ext xmlns:c16="http://schemas.microsoft.com/office/drawing/2014/chart" uri="{C3380CC4-5D6E-409C-BE32-E72D297353CC}">
              <c16:uniqueId val="{0000000E-E45B-41CA-A1F4-4C7143F6479E}"/>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48CD-4289-B99C-6F083833ABCC}"/>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48CD-4289-B99C-6F083833ABCC}"/>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48CD-4289-B99C-6F083833ABCC}"/>
              </c:ext>
            </c:extLst>
          </c:dPt>
          <c:dPt>
            <c:idx val="3"/>
            <c:invertIfNegative val="0"/>
            <c:bubble3D val="0"/>
            <c:spPr>
              <a:solidFill>
                <a:srgbClr val="0275D8"/>
              </a:solidFill>
              <a:ln>
                <a:noFill/>
              </a:ln>
              <a:effectLst/>
            </c:spPr>
            <c:extLst>
              <c:ext xmlns:c16="http://schemas.microsoft.com/office/drawing/2014/chart" uri="{C3380CC4-5D6E-409C-BE32-E72D297353CC}">
                <c16:uniqueId val="{00000007-48CD-4289-B99C-6F083833ABCC}"/>
              </c:ext>
            </c:extLst>
          </c:dPt>
          <c:dPt>
            <c:idx val="4"/>
            <c:invertIfNegative val="0"/>
            <c:bubble3D val="0"/>
            <c:spPr>
              <a:solidFill>
                <a:srgbClr val="0275D8"/>
              </a:solidFill>
              <a:ln>
                <a:noFill/>
              </a:ln>
              <a:effectLst/>
            </c:spPr>
            <c:extLst>
              <c:ext xmlns:c16="http://schemas.microsoft.com/office/drawing/2014/chart" uri="{C3380CC4-5D6E-409C-BE32-E72D297353CC}">
                <c16:uniqueId val="{00000009-48CD-4289-B99C-6F083833ABCC}"/>
              </c:ext>
            </c:extLst>
          </c:dPt>
          <c:dPt>
            <c:idx val="5"/>
            <c:invertIfNegative val="0"/>
            <c:bubble3D val="0"/>
            <c:spPr>
              <a:solidFill>
                <a:srgbClr val="0275D8"/>
              </a:solidFill>
              <a:ln>
                <a:noFill/>
              </a:ln>
              <a:effectLst/>
            </c:spPr>
            <c:extLst>
              <c:ext xmlns:c16="http://schemas.microsoft.com/office/drawing/2014/chart" uri="{C3380CC4-5D6E-409C-BE32-E72D297353CC}">
                <c16:uniqueId val="{0000000A-48CD-4289-B99C-6F083833ABCC}"/>
              </c:ext>
            </c:extLst>
          </c:dPt>
          <c:dPt>
            <c:idx val="6"/>
            <c:invertIfNegative val="0"/>
            <c:bubble3D val="0"/>
            <c:spPr>
              <a:solidFill>
                <a:srgbClr val="0275D8"/>
              </a:solidFill>
              <a:ln>
                <a:noFill/>
              </a:ln>
              <a:effectLst/>
            </c:spPr>
            <c:extLst>
              <c:ext xmlns:c16="http://schemas.microsoft.com/office/drawing/2014/chart" uri="{C3380CC4-5D6E-409C-BE32-E72D297353CC}">
                <c16:uniqueId val="{0000000B-48CD-4289-B99C-6F083833ABCC}"/>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Analysis'!$C$13:$I$13</c:f>
              <c:numCache>
                <c:formatCode>mmm\-yy</c:formatCode>
                <c:ptCount val="7"/>
                <c:pt idx="0">
                  <c:v>43190</c:v>
                </c:pt>
                <c:pt idx="1">
                  <c:v>43555</c:v>
                </c:pt>
                <c:pt idx="2">
                  <c:v>43921</c:v>
                </c:pt>
                <c:pt idx="3">
                  <c:v>44286</c:v>
                </c:pt>
                <c:pt idx="4">
                  <c:v>44651</c:v>
                </c:pt>
                <c:pt idx="5">
                  <c:v>45016</c:v>
                </c:pt>
                <c:pt idx="6">
                  <c:v>45382</c:v>
                </c:pt>
              </c:numCache>
            </c:numRef>
          </c:cat>
          <c:val>
            <c:numRef>
              <c:f>'Dupont Analysis'!$C$26:$I$26</c:f>
              <c:numCache>
                <c:formatCode>0.00%</c:formatCode>
                <c:ptCount val="7"/>
                <c:pt idx="0">
                  <c:v>8.9985545308332804E-2</c:v>
                </c:pt>
                <c:pt idx="1">
                  <c:v>8.7639807082950674E-2</c:v>
                </c:pt>
                <c:pt idx="2">
                  <c:v>9.7625653880294525E-2</c:v>
                </c:pt>
                <c:pt idx="3">
                  <c:v>0.10807505100480722</c:v>
                </c:pt>
                <c:pt idx="4">
                  <c:v>0.11019631833602135</c:v>
                </c:pt>
                <c:pt idx="5">
                  <c:v>0.10509341594108412</c:v>
                </c:pt>
                <c:pt idx="6">
                  <c:v>9.5626333819352302E-2</c:v>
                </c:pt>
              </c:numCache>
            </c:numRef>
          </c:val>
          <c:extLst>
            <c:ext xmlns:c16="http://schemas.microsoft.com/office/drawing/2014/chart" uri="{C3380CC4-5D6E-409C-BE32-E72D297353CC}">
              <c16:uniqueId val="{00000008-48CD-4289-B99C-6F083833ABCC}"/>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6128-40CE-A89E-4F55F271F229}"/>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6128-40CE-A89E-4F55F271F229}"/>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6128-40CE-A89E-4F55F271F229}"/>
              </c:ext>
            </c:extLst>
          </c:dPt>
          <c:dPt>
            <c:idx val="3"/>
            <c:invertIfNegative val="0"/>
            <c:bubble3D val="0"/>
            <c:spPr>
              <a:solidFill>
                <a:srgbClr val="0275D8"/>
              </a:solidFill>
              <a:ln>
                <a:noFill/>
              </a:ln>
              <a:effectLst/>
            </c:spPr>
            <c:extLst>
              <c:ext xmlns:c16="http://schemas.microsoft.com/office/drawing/2014/chart" uri="{C3380CC4-5D6E-409C-BE32-E72D297353CC}">
                <c16:uniqueId val="{00000007-6128-40CE-A89E-4F55F271F229}"/>
              </c:ext>
            </c:extLst>
          </c:dPt>
          <c:dPt>
            <c:idx val="4"/>
            <c:invertIfNegative val="0"/>
            <c:bubble3D val="0"/>
            <c:spPr>
              <a:solidFill>
                <a:srgbClr val="0275D8"/>
              </a:solidFill>
              <a:ln>
                <a:noFill/>
              </a:ln>
              <a:effectLst/>
            </c:spPr>
            <c:extLst>
              <c:ext xmlns:c16="http://schemas.microsoft.com/office/drawing/2014/chart" uri="{C3380CC4-5D6E-409C-BE32-E72D297353CC}">
                <c16:uniqueId val="{00000009-6128-40CE-A89E-4F55F271F229}"/>
              </c:ext>
            </c:extLst>
          </c:dPt>
          <c:dPt>
            <c:idx val="5"/>
            <c:invertIfNegative val="0"/>
            <c:bubble3D val="0"/>
            <c:spPr>
              <a:solidFill>
                <a:srgbClr val="0275D8"/>
              </a:solidFill>
              <a:ln>
                <a:noFill/>
              </a:ln>
              <a:effectLst/>
            </c:spPr>
            <c:extLst>
              <c:ext xmlns:c16="http://schemas.microsoft.com/office/drawing/2014/chart" uri="{C3380CC4-5D6E-409C-BE32-E72D297353CC}">
                <c16:uniqueId val="{0000000B-6128-40CE-A89E-4F55F271F229}"/>
              </c:ext>
            </c:extLst>
          </c:dPt>
          <c:dPt>
            <c:idx val="6"/>
            <c:invertIfNegative val="0"/>
            <c:bubble3D val="0"/>
            <c:spPr>
              <a:solidFill>
                <a:srgbClr val="0275D8"/>
              </a:solidFill>
              <a:ln>
                <a:noFill/>
              </a:ln>
              <a:effectLst/>
            </c:spPr>
            <c:extLst>
              <c:ext xmlns:c16="http://schemas.microsoft.com/office/drawing/2014/chart" uri="{C3380CC4-5D6E-409C-BE32-E72D297353CC}">
                <c16:uniqueId val="{0000000D-6128-40CE-A89E-4F55F271F229}"/>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Analysis'!$C$29:$I$29</c:f>
              <c:numCache>
                <c:formatCode>mmm\-yy</c:formatCode>
                <c:ptCount val="7"/>
                <c:pt idx="0">
                  <c:v>43190</c:v>
                </c:pt>
                <c:pt idx="1">
                  <c:v>43555</c:v>
                </c:pt>
                <c:pt idx="2">
                  <c:v>43921</c:v>
                </c:pt>
                <c:pt idx="3">
                  <c:v>44286</c:v>
                </c:pt>
                <c:pt idx="4">
                  <c:v>44651</c:v>
                </c:pt>
                <c:pt idx="5">
                  <c:v>45016</c:v>
                </c:pt>
                <c:pt idx="6">
                  <c:v>45382</c:v>
                </c:pt>
              </c:numCache>
            </c:numRef>
          </c:cat>
          <c:val>
            <c:numRef>
              <c:f>'Dupont Analysis'!$C$32:$I$32</c:f>
              <c:numCache>
                <c:formatCode>0.00%</c:formatCode>
                <c:ptCount val="7"/>
                <c:pt idx="0">
                  <c:v>6.6286908335603717E-2</c:v>
                </c:pt>
                <c:pt idx="1">
                  <c:v>6.6875662781442816E-2</c:v>
                </c:pt>
                <c:pt idx="2">
                  <c:v>7.7643391853371338E-2</c:v>
                </c:pt>
                <c:pt idx="3">
                  <c:v>8.6911478079643306E-2</c:v>
                </c:pt>
                <c:pt idx="4">
                  <c:v>8.2908630792482382E-2</c:v>
                </c:pt>
                <c:pt idx="5">
                  <c:v>7.6011953425169726E-2</c:v>
                </c:pt>
                <c:pt idx="6">
                  <c:v>7.1407940243476686E-2</c:v>
                </c:pt>
              </c:numCache>
            </c:numRef>
          </c:val>
          <c:extLst>
            <c:ext xmlns:c16="http://schemas.microsoft.com/office/drawing/2014/chart" uri="{C3380CC4-5D6E-409C-BE32-E72D297353CC}">
              <c16:uniqueId val="{0000000E-6128-40CE-A89E-4F55F271F229}"/>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028655"/>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77EF-42B7-8C7B-CE2FC14CD49D}"/>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77EF-42B7-8C7B-CE2FC14CD49D}"/>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77EF-42B7-8C7B-CE2FC14CD49D}"/>
              </c:ext>
            </c:extLst>
          </c:dPt>
          <c:dPt>
            <c:idx val="3"/>
            <c:invertIfNegative val="0"/>
            <c:bubble3D val="0"/>
            <c:spPr>
              <a:solidFill>
                <a:srgbClr val="0070C0"/>
              </a:solidFill>
              <a:ln>
                <a:noFill/>
              </a:ln>
              <a:effectLst/>
            </c:spPr>
            <c:extLst>
              <c:ext xmlns:c16="http://schemas.microsoft.com/office/drawing/2014/chart" uri="{C3380CC4-5D6E-409C-BE32-E72D297353CC}">
                <c16:uniqueId val="{00000007-77EF-42B7-8C7B-CE2FC14CD49D}"/>
              </c:ext>
            </c:extLst>
          </c:dPt>
          <c:dPt>
            <c:idx val="4"/>
            <c:invertIfNegative val="0"/>
            <c:bubble3D val="0"/>
            <c:spPr>
              <a:solidFill>
                <a:srgbClr val="0275D8"/>
              </a:solidFill>
              <a:ln>
                <a:noFill/>
              </a:ln>
              <a:effectLst/>
            </c:spPr>
            <c:extLst>
              <c:ext xmlns:c16="http://schemas.microsoft.com/office/drawing/2014/chart" uri="{C3380CC4-5D6E-409C-BE32-E72D297353CC}">
                <c16:uniqueId val="{00000009-77EF-42B7-8C7B-CE2FC14CD49D}"/>
              </c:ext>
            </c:extLst>
          </c:dPt>
          <c:dPt>
            <c:idx val="5"/>
            <c:invertIfNegative val="0"/>
            <c:bubble3D val="0"/>
            <c:spPr>
              <a:solidFill>
                <a:srgbClr val="0275D8"/>
              </a:solidFill>
              <a:ln>
                <a:noFill/>
              </a:ln>
              <a:effectLst/>
            </c:spPr>
            <c:extLst>
              <c:ext xmlns:c16="http://schemas.microsoft.com/office/drawing/2014/chart" uri="{C3380CC4-5D6E-409C-BE32-E72D297353CC}">
                <c16:uniqueId val="{0000000B-77EF-42B7-8C7B-CE2FC14CD49D}"/>
              </c:ext>
            </c:extLst>
          </c:dPt>
          <c:dPt>
            <c:idx val="6"/>
            <c:invertIfNegative val="0"/>
            <c:bubble3D val="0"/>
            <c:spPr>
              <a:solidFill>
                <a:srgbClr val="0275D8"/>
              </a:solidFill>
              <a:ln>
                <a:noFill/>
              </a:ln>
              <a:effectLst/>
            </c:spPr>
            <c:extLst>
              <c:ext xmlns:c16="http://schemas.microsoft.com/office/drawing/2014/chart" uri="{C3380CC4-5D6E-409C-BE32-E72D297353CC}">
                <c16:uniqueId val="{0000000D-77EF-42B7-8C7B-CE2FC14CD49D}"/>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Analysis'!$C$13:$I$13</c:f>
              <c:numCache>
                <c:formatCode>mmm\-yy</c:formatCode>
                <c:ptCount val="7"/>
                <c:pt idx="0">
                  <c:v>43190</c:v>
                </c:pt>
                <c:pt idx="1">
                  <c:v>43555</c:v>
                </c:pt>
                <c:pt idx="2">
                  <c:v>43921</c:v>
                </c:pt>
                <c:pt idx="3">
                  <c:v>44286</c:v>
                </c:pt>
                <c:pt idx="4">
                  <c:v>44651</c:v>
                </c:pt>
                <c:pt idx="5">
                  <c:v>45016</c:v>
                </c:pt>
                <c:pt idx="6">
                  <c:v>45382</c:v>
                </c:pt>
              </c:numCache>
            </c:numRef>
          </c:cat>
          <c:val>
            <c:numRef>
              <c:f>'Dupont Analysis'!$C$19:$I$19</c:f>
              <c:numCache>
                <c:formatCode>#,##0.0</c:formatCode>
                <c:ptCount val="7"/>
                <c:pt idx="0">
                  <c:v>2000.395</c:v>
                </c:pt>
                <c:pt idx="1">
                  <c:v>2154.7449999999999</c:v>
                </c:pt>
                <c:pt idx="2">
                  <c:v>2252.2200000000003</c:v>
                </c:pt>
                <c:pt idx="3">
                  <c:v>2480.6850000000004</c:v>
                </c:pt>
                <c:pt idx="4">
                  <c:v>2987.3850000000002</c:v>
                </c:pt>
                <c:pt idx="5">
                  <c:v>3583.91</c:v>
                </c:pt>
                <c:pt idx="6">
                  <c:v>3981.49</c:v>
                </c:pt>
              </c:numCache>
            </c:numRef>
          </c:val>
          <c:extLst>
            <c:ext xmlns:c16="http://schemas.microsoft.com/office/drawing/2014/chart" uri="{C3380CC4-5D6E-409C-BE32-E72D297353CC}">
              <c16:uniqueId val="{0000000E-77EF-42B7-8C7B-CE2FC14CD49D}"/>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rgbClr val="028655"/>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1600-4F62-AFD3-18D5E1B0602E}"/>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1600-4F62-AFD3-18D5E1B0602E}"/>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1600-4F62-AFD3-18D5E1B0602E}"/>
              </c:ext>
            </c:extLst>
          </c:dPt>
          <c:dPt>
            <c:idx val="3"/>
            <c:invertIfNegative val="0"/>
            <c:bubble3D val="0"/>
            <c:spPr>
              <a:solidFill>
                <a:srgbClr val="0070C0"/>
              </a:solidFill>
              <a:ln>
                <a:noFill/>
              </a:ln>
              <a:effectLst/>
            </c:spPr>
            <c:extLst>
              <c:ext xmlns:c16="http://schemas.microsoft.com/office/drawing/2014/chart" uri="{C3380CC4-5D6E-409C-BE32-E72D297353CC}">
                <c16:uniqueId val="{00000007-1600-4F62-AFD3-18D5E1B0602E}"/>
              </c:ext>
            </c:extLst>
          </c:dPt>
          <c:dPt>
            <c:idx val="4"/>
            <c:invertIfNegative val="0"/>
            <c:bubble3D val="0"/>
            <c:spPr>
              <a:solidFill>
                <a:srgbClr val="0275D8"/>
              </a:solidFill>
              <a:ln>
                <a:noFill/>
              </a:ln>
              <a:effectLst/>
            </c:spPr>
            <c:extLst>
              <c:ext xmlns:c16="http://schemas.microsoft.com/office/drawing/2014/chart" uri="{C3380CC4-5D6E-409C-BE32-E72D297353CC}">
                <c16:uniqueId val="{00000009-1600-4F62-AFD3-18D5E1B0602E}"/>
              </c:ext>
            </c:extLst>
          </c:dPt>
          <c:dPt>
            <c:idx val="5"/>
            <c:invertIfNegative val="0"/>
            <c:bubble3D val="0"/>
            <c:spPr>
              <a:solidFill>
                <a:srgbClr val="0275D8"/>
              </a:solidFill>
              <a:ln>
                <a:noFill/>
              </a:ln>
              <a:effectLst/>
            </c:spPr>
            <c:extLst>
              <c:ext xmlns:c16="http://schemas.microsoft.com/office/drawing/2014/chart" uri="{C3380CC4-5D6E-409C-BE32-E72D297353CC}">
                <c16:uniqueId val="{0000000B-1600-4F62-AFD3-18D5E1B0602E}"/>
              </c:ext>
            </c:extLst>
          </c:dPt>
          <c:dPt>
            <c:idx val="6"/>
            <c:invertIfNegative val="0"/>
            <c:bubble3D val="0"/>
            <c:spPr>
              <a:solidFill>
                <a:srgbClr val="0275D8"/>
              </a:solidFill>
              <a:ln>
                <a:noFill/>
              </a:ln>
              <a:effectLst/>
            </c:spPr>
            <c:extLst>
              <c:ext xmlns:c16="http://schemas.microsoft.com/office/drawing/2014/chart" uri="{C3380CC4-5D6E-409C-BE32-E72D297353CC}">
                <c16:uniqueId val="{0000000D-1600-4F62-AFD3-18D5E1B0602E}"/>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Analysis'!$C$13:$I$13</c:f>
              <c:numCache>
                <c:formatCode>mmm\-yy</c:formatCode>
                <c:ptCount val="7"/>
                <c:pt idx="0">
                  <c:v>43190</c:v>
                </c:pt>
                <c:pt idx="1">
                  <c:v>43555</c:v>
                </c:pt>
                <c:pt idx="2">
                  <c:v>43921</c:v>
                </c:pt>
                <c:pt idx="3">
                  <c:v>44286</c:v>
                </c:pt>
                <c:pt idx="4">
                  <c:v>44651</c:v>
                </c:pt>
                <c:pt idx="5">
                  <c:v>45016</c:v>
                </c:pt>
                <c:pt idx="6">
                  <c:v>45382</c:v>
                </c:pt>
              </c:numCache>
            </c:numRef>
          </c:cat>
          <c:val>
            <c:numRef>
              <c:f>'Dupont Analysis'!$C$23:$I$23</c:f>
              <c:numCache>
                <c:formatCode>#,##0.0</c:formatCode>
                <c:ptCount val="7"/>
                <c:pt idx="0">
                  <c:v>1473.5700000000002</c:v>
                </c:pt>
                <c:pt idx="1">
                  <c:v>1644.23</c:v>
                </c:pt>
                <c:pt idx="2">
                  <c:v>1791.23</c:v>
                </c:pt>
                <c:pt idx="3">
                  <c:v>1994.9100000000003</c:v>
                </c:pt>
                <c:pt idx="4">
                  <c:v>2247.625</c:v>
                </c:pt>
                <c:pt idx="5">
                  <c:v>2592.17</c:v>
                </c:pt>
                <c:pt idx="6">
                  <c:v>2973.1350000000002</c:v>
                </c:pt>
              </c:numCache>
            </c:numRef>
          </c:val>
          <c:extLst>
            <c:ext xmlns:c16="http://schemas.microsoft.com/office/drawing/2014/chart" uri="{C3380CC4-5D6E-409C-BE32-E72D297353CC}">
              <c16:uniqueId val="{0000000E-1600-4F62-AFD3-18D5E1B0602E}"/>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4CDF-43DF-8D96-7FBE9E3804C5}"/>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4CDF-43DF-8D96-7FBE9E3804C5}"/>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4CDF-43DF-8D96-7FBE9E3804C5}"/>
              </c:ext>
            </c:extLst>
          </c:dPt>
          <c:dPt>
            <c:idx val="3"/>
            <c:invertIfNegative val="0"/>
            <c:bubble3D val="0"/>
            <c:spPr>
              <a:solidFill>
                <a:srgbClr val="0275D8"/>
              </a:solidFill>
              <a:ln>
                <a:solidFill>
                  <a:srgbClr val="028655"/>
                </a:solidFill>
              </a:ln>
              <a:effectLst/>
            </c:spPr>
            <c:extLst>
              <c:ext xmlns:c16="http://schemas.microsoft.com/office/drawing/2014/chart" uri="{C3380CC4-5D6E-409C-BE32-E72D297353CC}">
                <c16:uniqueId val="{00000007-4CDF-43DF-8D96-7FBE9E3804C5}"/>
              </c:ext>
            </c:extLst>
          </c:dPt>
          <c:dPt>
            <c:idx val="4"/>
            <c:invertIfNegative val="0"/>
            <c:bubble3D val="0"/>
            <c:spPr>
              <a:solidFill>
                <a:srgbClr val="0275D8"/>
              </a:solidFill>
              <a:ln>
                <a:noFill/>
              </a:ln>
              <a:effectLst/>
            </c:spPr>
            <c:extLst>
              <c:ext xmlns:c16="http://schemas.microsoft.com/office/drawing/2014/chart" uri="{C3380CC4-5D6E-409C-BE32-E72D297353CC}">
                <c16:uniqueId val="{00000009-4CDF-43DF-8D96-7FBE9E3804C5}"/>
              </c:ext>
            </c:extLst>
          </c:dPt>
          <c:dPt>
            <c:idx val="5"/>
            <c:invertIfNegative val="0"/>
            <c:bubble3D val="0"/>
            <c:spPr>
              <a:solidFill>
                <a:srgbClr val="0275D8"/>
              </a:solidFill>
              <a:ln>
                <a:noFill/>
              </a:ln>
              <a:effectLst/>
            </c:spPr>
            <c:extLst>
              <c:ext xmlns:c16="http://schemas.microsoft.com/office/drawing/2014/chart" uri="{C3380CC4-5D6E-409C-BE32-E72D297353CC}">
                <c16:uniqueId val="{0000000A-4CDF-43DF-8D96-7FBE9E3804C5}"/>
              </c:ext>
            </c:extLst>
          </c:dPt>
          <c:dPt>
            <c:idx val="6"/>
            <c:invertIfNegative val="0"/>
            <c:bubble3D val="0"/>
            <c:spPr>
              <a:solidFill>
                <a:srgbClr val="0275D8"/>
              </a:solidFill>
              <a:ln>
                <a:noFill/>
              </a:ln>
              <a:effectLst/>
            </c:spPr>
            <c:extLst>
              <c:ext xmlns:c16="http://schemas.microsoft.com/office/drawing/2014/chart" uri="{C3380CC4-5D6E-409C-BE32-E72D297353CC}">
                <c16:uniqueId val="{0000000B-4CDF-43DF-8D96-7FBE9E3804C5}"/>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Analysis'!$C$13:$I$13</c:f>
              <c:numCache>
                <c:formatCode>mmm\-yy</c:formatCode>
                <c:ptCount val="7"/>
                <c:pt idx="0">
                  <c:v>43190</c:v>
                </c:pt>
                <c:pt idx="1">
                  <c:v>43555</c:v>
                </c:pt>
                <c:pt idx="2">
                  <c:v>43921</c:v>
                </c:pt>
                <c:pt idx="3">
                  <c:v>44286</c:v>
                </c:pt>
                <c:pt idx="4">
                  <c:v>44651</c:v>
                </c:pt>
                <c:pt idx="5">
                  <c:v>45016</c:v>
                </c:pt>
                <c:pt idx="6">
                  <c:v>45382</c:v>
                </c:pt>
              </c:numCache>
            </c:numRef>
          </c:cat>
          <c:val>
            <c:numRef>
              <c:f>'Dupont Analysis'!$C$24:$I$24</c:f>
              <c:numCache>
                <c:formatCode>0.00\x</c:formatCode>
                <c:ptCount val="7"/>
                <c:pt idx="0">
                  <c:v>1.3575161003549201</c:v>
                </c:pt>
                <c:pt idx="1">
                  <c:v>1.3104888002286783</c:v>
                </c:pt>
                <c:pt idx="2">
                  <c:v>1.25735946807501</c:v>
                </c:pt>
                <c:pt idx="3">
                  <c:v>1.2435072258898898</c:v>
                </c:pt>
                <c:pt idx="4">
                  <c:v>1.3291296368388856</c:v>
                </c:pt>
                <c:pt idx="5">
                  <c:v>1.3825906479899079</c:v>
                </c:pt>
                <c:pt idx="6">
                  <c:v>1.3391554705723081</c:v>
                </c:pt>
              </c:numCache>
            </c:numRef>
          </c:val>
          <c:extLst>
            <c:ext xmlns:c16="http://schemas.microsoft.com/office/drawing/2014/chart" uri="{C3380CC4-5D6E-409C-BE32-E72D297353CC}">
              <c16:uniqueId val="{00000008-4CDF-43DF-8D96-7FBE9E3804C5}"/>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0\x"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2489-4FAA-9997-8BCCA04FB8A9}"/>
              </c:ext>
            </c:extLst>
          </c:dPt>
          <c:dPt>
            <c:idx val="1"/>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3-2489-4FAA-9997-8BCCA04FB8A9}"/>
              </c:ext>
            </c:extLst>
          </c:dPt>
          <c:dPt>
            <c:idx val="2"/>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5-2489-4FAA-9997-8BCCA04FB8A9}"/>
              </c:ext>
            </c:extLst>
          </c:dPt>
          <c:dPt>
            <c:idx val="3"/>
            <c:invertIfNegative val="0"/>
            <c:bubble3D val="0"/>
            <c:spPr>
              <a:solidFill>
                <a:srgbClr val="0275D8"/>
              </a:solidFill>
              <a:ln>
                <a:solidFill>
                  <a:srgbClr val="028655"/>
                </a:solidFill>
              </a:ln>
              <a:effectLst/>
            </c:spPr>
            <c:extLst>
              <c:ext xmlns:c16="http://schemas.microsoft.com/office/drawing/2014/chart" uri="{C3380CC4-5D6E-409C-BE32-E72D297353CC}">
                <c16:uniqueId val="{00000007-2489-4FAA-9997-8BCCA04FB8A9}"/>
              </c:ext>
            </c:extLst>
          </c:dPt>
          <c:dPt>
            <c:idx val="4"/>
            <c:invertIfNegative val="0"/>
            <c:bubble3D val="0"/>
            <c:spPr>
              <a:solidFill>
                <a:srgbClr val="0275D8"/>
              </a:solidFill>
              <a:ln>
                <a:noFill/>
              </a:ln>
              <a:effectLst/>
            </c:spPr>
            <c:extLst>
              <c:ext xmlns:c16="http://schemas.microsoft.com/office/drawing/2014/chart" uri="{C3380CC4-5D6E-409C-BE32-E72D297353CC}">
                <c16:uniqueId val="{00000009-2489-4FAA-9997-8BCCA04FB8A9}"/>
              </c:ext>
            </c:extLst>
          </c:dPt>
          <c:dPt>
            <c:idx val="5"/>
            <c:invertIfNegative val="0"/>
            <c:bubble3D val="0"/>
            <c:spPr>
              <a:solidFill>
                <a:srgbClr val="0275D8"/>
              </a:solidFill>
              <a:ln>
                <a:noFill/>
              </a:ln>
              <a:effectLst/>
            </c:spPr>
            <c:extLst>
              <c:ext xmlns:c16="http://schemas.microsoft.com/office/drawing/2014/chart" uri="{C3380CC4-5D6E-409C-BE32-E72D297353CC}">
                <c16:uniqueId val="{0000000B-2489-4FAA-9997-8BCCA04FB8A9}"/>
              </c:ext>
            </c:extLst>
          </c:dPt>
          <c:dPt>
            <c:idx val="6"/>
            <c:invertIfNegative val="0"/>
            <c:bubble3D val="0"/>
            <c:spPr>
              <a:solidFill>
                <a:srgbClr val="0275D8"/>
              </a:solidFill>
              <a:ln>
                <a:noFill/>
              </a:ln>
              <a:effectLst/>
            </c:spPr>
            <c:extLst>
              <c:ext xmlns:c16="http://schemas.microsoft.com/office/drawing/2014/chart" uri="{C3380CC4-5D6E-409C-BE32-E72D297353CC}">
                <c16:uniqueId val="{0000000D-2489-4FAA-9997-8BCCA04FB8A9}"/>
              </c:ext>
            </c:extLst>
          </c:dPt>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'Dupont Analysis'!$C$13:$I$13</c:f>
              <c:numCache>
                <c:formatCode>mmm\-yy</c:formatCode>
                <c:ptCount val="7"/>
                <c:pt idx="0">
                  <c:v>43190</c:v>
                </c:pt>
                <c:pt idx="1">
                  <c:v>43555</c:v>
                </c:pt>
                <c:pt idx="2">
                  <c:v>43921</c:v>
                </c:pt>
                <c:pt idx="3">
                  <c:v>44286</c:v>
                </c:pt>
                <c:pt idx="4">
                  <c:v>44651</c:v>
                </c:pt>
                <c:pt idx="5">
                  <c:v>45016</c:v>
                </c:pt>
                <c:pt idx="6">
                  <c:v>45382</c:v>
                </c:pt>
              </c:numCache>
            </c:numRef>
          </c:cat>
          <c:val>
            <c:numRef>
              <c:f>'Dupont Analysis'!$C$20:$I$20</c:f>
              <c:numCache>
                <c:formatCode>0.0\x</c:formatCode>
                <c:ptCount val="7"/>
                <c:pt idx="0">
                  <c:v>1.1870155644260258</c:v>
                </c:pt>
                <c:pt idx="1">
                  <c:v>1.2478970829494906</c:v>
                </c:pt>
                <c:pt idx="2">
                  <c:v>1.1539592046958109</c:v>
                </c:pt>
                <c:pt idx="3">
                  <c:v>1.0608803616742954</c:v>
                </c:pt>
                <c:pt idx="4">
                  <c:v>1.1129332175129754</c:v>
                </c:pt>
                <c:pt idx="5">
                  <c:v>1.2986598435786614</c:v>
                </c:pt>
                <c:pt idx="6">
                  <c:v>1.1810126359729649</c:v>
                </c:pt>
              </c:numCache>
            </c:numRef>
          </c:val>
          <c:extLst>
            <c:ext xmlns:c16="http://schemas.microsoft.com/office/drawing/2014/chart" uri="{C3380CC4-5D6E-409C-BE32-E72D297353CC}">
              <c16:uniqueId val="{0000000E-2489-4FAA-9997-8BCCA04FB8A9}"/>
            </c:ext>
          </c:extLst>
        </c:ser>
        <c:dLbls>
          <c:showLegendKey val="0"/>
          <c:showVal val="0"/>
          <c:showCatName val="0"/>
          <c:showSerName val="0"/>
          <c:showPercent val="0"/>
          <c:showBubbleSize val="0"/>
        </c:dLbls>
        <c:gapWidth val="219"/>
        <c:overlap val="-27"/>
        <c:axId val="884029512"/>
        <c:axId val="884030232"/>
      </c:barChart>
      <c:catAx>
        <c:axId val="884029512"/>
        <c:scaling>
          <c:orientation val="minMax"/>
        </c:scaling>
        <c:delete val="0"/>
        <c:axPos val="b"/>
        <c:numFmt formatCode="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884030232"/>
        <c:crosses val="autoZero"/>
        <c:auto val="0"/>
        <c:lblAlgn val="ctr"/>
        <c:lblOffset val="100"/>
        <c:noMultiLvlLbl val="0"/>
      </c:catAx>
      <c:valAx>
        <c:axId val="884030232"/>
        <c:scaling>
          <c:orientation val="minMax"/>
        </c:scaling>
        <c:delete val="1"/>
        <c:axPos val="l"/>
        <c:numFmt formatCode="0.0\x" sourceLinked="1"/>
        <c:majorTickMark val="none"/>
        <c:minorTickMark val="none"/>
        <c:tickLblPos val="nextTo"/>
        <c:crossAx val="88402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2000" b="1"/>
              <a:t>Altman's Z score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'Altman''s Z score'!$B$37</c:f>
              <c:strCache>
                <c:ptCount val="1"/>
                <c:pt idx="0">
                  <c:v>Mar-15</c:v>
                </c:pt>
              </c:strCache>
            </c:strRef>
          </c:tx>
          <c:spPr>
            <a:solidFill>
              <a:schemeClr val="accent1"/>
            </a:solidFill>
            <a:ln>
              <a:noFill/>
            </a:ln>
            <a:effectLst/>
          </c:spPr>
          <c:invertIfNegative val="0"/>
          <c:val>
            <c:numRef>
              <c:f>'Altman''s Z score'!$B$38</c:f>
              <c:numCache>
                <c:formatCode>0.0</c:formatCode>
                <c:ptCount val="1"/>
                <c:pt idx="0">
                  <c:v>8.0483486431416313</c:v>
                </c:pt>
              </c:numCache>
            </c:numRef>
          </c:val>
          <c:extLst>
            <c:ext xmlns:c16="http://schemas.microsoft.com/office/drawing/2014/chart" uri="{C3380CC4-5D6E-409C-BE32-E72D297353CC}">
              <c16:uniqueId val="{00000000-972C-4900-A248-2B9626A7BFFA}"/>
            </c:ext>
          </c:extLst>
        </c:ser>
        <c:ser>
          <c:idx val="1"/>
          <c:order val="1"/>
          <c:tx>
            <c:strRef>
              <c:f>'Altman''s Z score'!$C$37</c:f>
              <c:strCache>
                <c:ptCount val="1"/>
                <c:pt idx="0">
                  <c:v>Mar-16</c:v>
                </c:pt>
              </c:strCache>
            </c:strRef>
          </c:tx>
          <c:spPr>
            <a:solidFill>
              <a:schemeClr val="accent2"/>
            </a:solidFill>
            <a:ln>
              <a:noFill/>
            </a:ln>
            <a:effectLst/>
          </c:spPr>
          <c:invertIfNegative val="0"/>
          <c:val>
            <c:numRef>
              <c:f>'Altman''s Z score'!$C$38</c:f>
              <c:numCache>
                <c:formatCode>0.0</c:formatCode>
                <c:ptCount val="1"/>
                <c:pt idx="0">
                  <c:v>8.1146231430877585</c:v>
                </c:pt>
              </c:numCache>
            </c:numRef>
          </c:val>
          <c:extLst>
            <c:ext xmlns:c16="http://schemas.microsoft.com/office/drawing/2014/chart" uri="{C3380CC4-5D6E-409C-BE32-E72D297353CC}">
              <c16:uniqueId val="{00000001-972C-4900-A248-2B9626A7BFFA}"/>
            </c:ext>
          </c:extLst>
        </c:ser>
        <c:ser>
          <c:idx val="2"/>
          <c:order val="2"/>
          <c:tx>
            <c:strRef>
              <c:f>'Altman''s Z score'!$D$37</c:f>
              <c:strCache>
                <c:ptCount val="1"/>
                <c:pt idx="0">
                  <c:v>Mar-17</c:v>
                </c:pt>
              </c:strCache>
            </c:strRef>
          </c:tx>
          <c:spPr>
            <a:solidFill>
              <a:schemeClr val="accent3"/>
            </a:solidFill>
            <a:ln>
              <a:noFill/>
            </a:ln>
            <a:effectLst/>
          </c:spPr>
          <c:invertIfNegative val="0"/>
          <c:val>
            <c:numRef>
              <c:f>'Altman''s Z score'!$D$38</c:f>
              <c:numCache>
                <c:formatCode>0.0</c:formatCode>
                <c:ptCount val="1"/>
                <c:pt idx="0">
                  <c:v>23.082133226800433</c:v>
                </c:pt>
              </c:numCache>
            </c:numRef>
          </c:val>
          <c:extLst>
            <c:ext xmlns:c16="http://schemas.microsoft.com/office/drawing/2014/chart" uri="{C3380CC4-5D6E-409C-BE32-E72D297353CC}">
              <c16:uniqueId val="{00000002-972C-4900-A248-2B9626A7BFFA}"/>
            </c:ext>
          </c:extLst>
        </c:ser>
        <c:ser>
          <c:idx val="3"/>
          <c:order val="3"/>
          <c:tx>
            <c:strRef>
              <c:f>'Altman''s Z score'!$E$37</c:f>
              <c:strCache>
                <c:ptCount val="1"/>
                <c:pt idx="0">
                  <c:v>Mar-18</c:v>
                </c:pt>
              </c:strCache>
            </c:strRef>
          </c:tx>
          <c:spPr>
            <a:solidFill>
              <a:schemeClr val="accent4"/>
            </a:solidFill>
            <a:ln>
              <a:noFill/>
            </a:ln>
            <a:effectLst/>
          </c:spPr>
          <c:invertIfNegative val="0"/>
          <c:val>
            <c:numRef>
              <c:f>'Altman''s Z score'!$E$38</c:f>
              <c:numCache>
                <c:formatCode>0.0</c:formatCode>
                <c:ptCount val="1"/>
                <c:pt idx="0">
                  <c:v>32.572438262669309</c:v>
                </c:pt>
              </c:numCache>
            </c:numRef>
          </c:val>
          <c:extLst>
            <c:ext xmlns:c16="http://schemas.microsoft.com/office/drawing/2014/chart" uri="{C3380CC4-5D6E-409C-BE32-E72D297353CC}">
              <c16:uniqueId val="{00000003-972C-4900-A248-2B9626A7BFFA}"/>
            </c:ext>
          </c:extLst>
        </c:ser>
        <c:ser>
          <c:idx val="4"/>
          <c:order val="4"/>
          <c:tx>
            <c:strRef>
              <c:f>'Altman''s Z score'!$F$37</c:f>
              <c:strCache>
                <c:ptCount val="1"/>
                <c:pt idx="0">
                  <c:v>Mar-19</c:v>
                </c:pt>
              </c:strCache>
            </c:strRef>
          </c:tx>
          <c:spPr>
            <a:solidFill>
              <a:schemeClr val="accent5"/>
            </a:solidFill>
            <a:ln>
              <a:noFill/>
            </a:ln>
            <a:effectLst/>
          </c:spPr>
          <c:invertIfNegative val="0"/>
          <c:val>
            <c:numRef>
              <c:f>'Altman''s Z score'!$F$38</c:f>
              <c:numCache>
                <c:formatCode>0.0</c:formatCode>
                <c:ptCount val="1"/>
                <c:pt idx="0">
                  <c:v>50.392217542085213</c:v>
                </c:pt>
              </c:numCache>
            </c:numRef>
          </c:val>
          <c:extLst>
            <c:ext xmlns:c16="http://schemas.microsoft.com/office/drawing/2014/chart" uri="{C3380CC4-5D6E-409C-BE32-E72D297353CC}">
              <c16:uniqueId val="{00000004-972C-4900-A248-2B9626A7BFFA}"/>
            </c:ext>
          </c:extLst>
        </c:ser>
        <c:ser>
          <c:idx val="5"/>
          <c:order val="5"/>
          <c:tx>
            <c:strRef>
              <c:f>'Altman''s Z score'!$G$37</c:f>
              <c:strCache>
                <c:ptCount val="1"/>
                <c:pt idx="0">
                  <c:v>Mar-20</c:v>
                </c:pt>
              </c:strCache>
            </c:strRef>
          </c:tx>
          <c:spPr>
            <a:solidFill>
              <a:schemeClr val="accent6"/>
            </a:solidFill>
            <a:ln>
              <a:noFill/>
            </a:ln>
            <a:effectLst/>
          </c:spPr>
          <c:invertIfNegative val="0"/>
          <c:val>
            <c:numRef>
              <c:f>'Altman''s Z score'!$G$38</c:f>
              <c:numCache>
                <c:formatCode>0.0</c:formatCode>
                <c:ptCount val="1"/>
                <c:pt idx="0">
                  <c:v>38.033777795869945</c:v>
                </c:pt>
              </c:numCache>
            </c:numRef>
          </c:val>
          <c:extLst>
            <c:ext xmlns:c16="http://schemas.microsoft.com/office/drawing/2014/chart" uri="{C3380CC4-5D6E-409C-BE32-E72D297353CC}">
              <c16:uniqueId val="{00000005-972C-4900-A248-2B9626A7BFFA}"/>
            </c:ext>
          </c:extLst>
        </c:ser>
        <c:ser>
          <c:idx val="6"/>
          <c:order val="6"/>
          <c:tx>
            <c:strRef>
              <c:f>'Altman''s Z score'!$H$37</c:f>
              <c:strCache>
                <c:ptCount val="1"/>
                <c:pt idx="0">
                  <c:v>Mar-21</c:v>
                </c:pt>
              </c:strCache>
            </c:strRef>
          </c:tx>
          <c:spPr>
            <a:solidFill>
              <a:schemeClr val="accent1">
                <a:lumMod val="60000"/>
              </a:schemeClr>
            </a:solidFill>
            <a:ln>
              <a:noFill/>
            </a:ln>
            <a:effectLst/>
          </c:spPr>
          <c:invertIfNegative val="0"/>
          <c:val>
            <c:numRef>
              <c:f>'Altman''s Z score'!$H$38</c:f>
              <c:numCache>
                <c:formatCode>0.0</c:formatCode>
                <c:ptCount val="1"/>
                <c:pt idx="0">
                  <c:v>96.010398202409419</c:v>
                </c:pt>
              </c:numCache>
            </c:numRef>
          </c:val>
          <c:extLst>
            <c:ext xmlns:c16="http://schemas.microsoft.com/office/drawing/2014/chart" uri="{C3380CC4-5D6E-409C-BE32-E72D297353CC}">
              <c16:uniqueId val="{00000006-972C-4900-A248-2B9626A7BFFA}"/>
            </c:ext>
          </c:extLst>
        </c:ser>
        <c:ser>
          <c:idx val="7"/>
          <c:order val="7"/>
          <c:tx>
            <c:strRef>
              <c:f>'Altman''s Z score'!$I$37</c:f>
              <c:strCache>
                <c:ptCount val="1"/>
                <c:pt idx="0">
                  <c:v>Mar-22</c:v>
                </c:pt>
              </c:strCache>
            </c:strRef>
          </c:tx>
          <c:spPr>
            <a:solidFill>
              <a:schemeClr val="accent2">
                <a:lumMod val="60000"/>
              </a:schemeClr>
            </a:solidFill>
            <a:ln>
              <a:noFill/>
            </a:ln>
            <a:effectLst/>
          </c:spPr>
          <c:invertIfNegative val="0"/>
          <c:val>
            <c:numRef>
              <c:f>'Altman''s Z score'!$I$38</c:f>
              <c:numCache>
                <c:formatCode>0.0</c:formatCode>
                <c:ptCount val="1"/>
                <c:pt idx="0">
                  <c:v>39.908251930454846</c:v>
                </c:pt>
              </c:numCache>
            </c:numRef>
          </c:val>
          <c:extLst>
            <c:ext xmlns:c16="http://schemas.microsoft.com/office/drawing/2014/chart" uri="{C3380CC4-5D6E-409C-BE32-E72D297353CC}">
              <c16:uniqueId val="{00000007-972C-4900-A248-2B9626A7BFFA}"/>
            </c:ext>
          </c:extLst>
        </c:ser>
        <c:ser>
          <c:idx val="8"/>
          <c:order val="8"/>
          <c:tx>
            <c:strRef>
              <c:f>'Altman''s Z score'!$J$37</c:f>
              <c:strCache>
                <c:ptCount val="1"/>
                <c:pt idx="0">
                  <c:v>Mar-23</c:v>
                </c:pt>
              </c:strCache>
            </c:strRef>
          </c:tx>
          <c:spPr>
            <a:solidFill>
              <a:schemeClr val="accent3">
                <a:lumMod val="60000"/>
              </a:schemeClr>
            </a:solidFill>
            <a:ln>
              <a:noFill/>
            </a:ln>
            <a:effectLst/>
          </c:spPr>
          <c:invertIfNegative val="0"/>
          <c:val>
            <c:numRef>
              <c:f>'Altman''s Z score'!$J$38</c:f>
              <c:numCache>
                <c:formatCode>0.0</c:formatCode>
                <c:ptCount val="1"/>
                <c:pt idx="0">
                  <c:v>42.613948266704462</c:v>
                </c:pt>
              </c:numCache>
            </c:numRef>
          </c:val>
          <c:extLst>
            <c:ext xmlns:c16="http://schemas.microsoft.com/office/drawing/2014/chart" uri="{C3380CC4-5D6E-409C-BE32-E72D297353CC}">
              <c16:uniqueId val="{00000008-972C-4900-A248-2B9626A7BFFA}"/>
            </c:ext>
          </c:extLst>
        </c:ser>
        <c:ser>
          <c:idx val="9"/>
          <c:order val="9"/>
          <c:tx>
            <c:strRef>
              <c:f>'Altman''s Z score'!$K$37</c:f>
              <c:strCache>
                <c:ptCount val="1"/>
                <c:pt idx="0">
                  <c:v>Mar-24</c:v>
                </c:pt>
              </c:strCache>
            </c:strRef>
          </c:tx>
          <c:spPr>
            <a:solidFill>
              <a:schemeClr val="accent4">
                <a:lumMod val="60000"/>
              </a:schemeClr>
            </a:solidFill>
            <a:ln>
              <a:noFill/>
            </a:ln>
            <a:effectLst/>
          </c:spPr>
          <c:invertIfNegative val="0"/>
          <c:val>
            <c:numRef>
              <c:f>'Altman''s Z score'!$K$38</c:f>
              <c:numCache>
                <c:formatCode>0.0</c:formatCode>
                <c:ptCount val="1"/>
                <c:pt idx="0">
                  <c:v>86.358772419989293</c:v>
                </c:pt>
              </c:numCache>
            </c:numRef>
          </c:val>
          <c:extLst>
            <c:ext xmlns:c16="http://schemas.microsoft.com/office/drawing/2014/chart" uri="{C3380CC4-5D6E-409C-BE32-E72D297353CC}">
              <c16:uniqueId val="{00000009-972C-4900-A248-2B9626A7BFFA}"/>
            </c:ext>
          </c:extLst>
        </c:ser>
        <c:dLbls>
          <c:showLegendKey val="0"/>
          <c:showVal val="0"/>
          <c:showCatName val="0"/>
          <c:showSerName val="0"/>
          <c:showPercent val="0"/>
          <c:showBubbleSize val="0"/>
        </c:dLbls>
        <c:gapWidth val="219"/>
        <c:overlap val="-27"/>
        <c:axId val="1841985744"/>
        <c:axId val="1841986224"/>
      </c:barChart>
      <c:catAx>
        <c:axId val="1841985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1986224"/>
        <c:crosses val="autoZero"/>
        <c:auto val="1"/>
        <c:lblAlgn val="ctr"/>
        <c:lblOffset val="100"/>
        <c:noMultiLvlLbl val="0"/>
      </c:catAx>
      <c:valAx>
        <c:axId val="1841986224"/>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1985744"/>
        <c:crosses val="autoZero"/>
        <c:crossBetween val="between"/>
      </c:valAx>
      <c:spPr>
        <a:noFill/>
        <a:ln>
          <a:noFill/>
        </a:ln>
        <a:effectLst/>
      </c:spPr>
    </c:plotArea>
    <c:legend>
      <c:legendPos val="b"/>
      <c:layout>
        <c:manualLayout>
          <c:xMode val="edge"/>
          <c:yMode val="edge"/>
          <c:x val="0.10407126100387895"/>
          <c:y val="0.91639211217018923"/>
          <c:w val="0.82430585557336311"/>
          <c:h val="6.167806326840723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Peer comparision - Equity</a:t>
            </a:r>
            <a:r>
              <a:rPr lang="en-IN" b="1" baseline="0"/>
              <a:t> Value</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rgbClr val="0070C0"/>
              </a:solidFill>
              <a:ln>
                <a:noFill/>
              </a:ln>
              <a:effectLst/>
            </c:spPr>
            <c:extLst>
              <c:ext xmlns:c16="http://schemas.microsoft.com/office/drawing/2014/chart" uri="{C3380CC4-5D6E-409C-BE32-E72D297353CC}">
                <c16:uniqueId val="{00000001-3D70-494D-8C95-5417A3FDA385}"/>
              </c:ext>
            </c:extLst>
          </c:dPt>
          <c:cat>
            <c:strRef>
              <c:f>'Relative Valuation'!$B$8:$B$11</c:f>
              <c:strCache>
                <c:ptCount val="4"/>
                <c:pt idx="0">
                  <c:v>Carborundum Uni.</c:v>
                </c:pt>
                <c:pt idx="1">
                  <c:v>Grindwell Norton</c:v>
                </c:pt>
                <c:pt idx="2">
                  <c:v>Wendt India</c:v>
                </c:pt>
                <c:pt idx="3">
                  <c:v>Welcast Steels</c:v>
                </c:pt>
              </c:strCache>
            </c:strRef>
          </c:cat>
          <c:val>
            <c:numRef>
              <c:f>'Relative Valuation'!$E$8:$E$11</c:f>
              <c:numCache>
                <c:formatCode>0.0</c:formatCode>
                <c:ptCount val="4"/>
                <c:pt idx="0">
                  <c:v>30481.22</c:v>
                </c:pt>
                <c:pt idx="1">
                  <c:v>26909.53</c:v>
                </c:pt>
                <c:pt idx="2">
                  <c:v>2973.16</c:v>
                </c:pt>
                <c:pt idx="3">
                  <c:v>102.4</c:v>
                </c:pt>
              </c:numCache>
            </c:numRef>
          </c:val>
          <c:extLst>
            <c:ext xmlns:c16="http://schemas.microsoft.com/office/drawing/2014/chart" uri="{C3380CC4-5D6E-409C-BE32-E72D297353CC}">
              <c16:uniqueId val="{00000000-3D70-494D-8C95-5417A3FDA385}"/>
            </c:ext>
          </c:extLst>
        </c:ser>
        <c:dLbls>
          <c:showLegendKey val="0"/>
          <c:showVal val="0"/>
          <c:showCatName val="0"/>
          <c:showSerName val="0"/>
          <c:showPercent val="0"/>
          <c:showBubbleSize val="0"/>
        </c:dLbls>
        <c:gapWidth val="219"/>
        <c:overlap val="-27"/>
        <c:axId val="1869486096"/>
        <c:axId val="1869488016"/>
      </c:barChart>
      <c:catAx>
        <c:axId val="1869486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9488016"/>
        <c:crosses val="autoZero"/>
        <c:auto val="1"/>
        <c:lblAlgn val="ctr"/>
        <c:lblOffset val="100"/>
        <c:noMultiLvlLbl val="0"/>
      </c:catAx>
      <c:valAx>
        <c:axId val="1869488016"/>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9486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Peer comparision - Enterprise</a:t>
            </a:r>
            <a:r>
              <a:rPr lang="en-IN" b="1" baseline="0"/>
              <a:t> Value</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rgbClr val="0070C0"/>
              </a:solidFill>
              <a:ln>
                <a:noFill/>
              </a:ln>
              <a:effectLst/>
            </c:spPr>
            <c:extLst>
              <c:ext xmlns:c16="http://schemas.microsoft.com/office/drawing/2014/chart" uri="{C3380CC4-5D6E-409C-BE32-E72D297353CC}">
                <c16:uniqueId val="{00000001-C51A-45E3-842E-0BD830C367D1}"/>
              </c:ext>
            </c:extLst>
          </c:dPt>
          <c:cat>
            <c:strRef>
              <c:f>'Relative Valuation'!$B$8:$B$11</c:f>
              <c:strCache>
                <c:ptCount val="4"/>
                <c:pt idx="0">
                  <c:v>Carborundum Uni.</c:v>
                </c:pt>
                <c:pt idx="1">
                  <c:v>Grindwell Norton</c:v>
                </c:pt>
                <c:pt idx="2">
                  <c:v>Wendt India</c:v>
                </c:pt>
                <c:pt idx="3">
                  <c:v>Welcast Steels</c:v>
                </c:pt>
              </c:strCache>
            </c:strRef>
          </c:cat>
          <c:val>
            <c:numRef>
              <c:f>'Relative Valuation'!$G$8:$G$11</c:f>
              <c:numCache>
                <c:formatCode>0.0</c:formatCode>
                <c:ptCount val="4"/>
                <c:pt idx="0">
                  <c:v>30095.190000000002</c:v>
                </c:pt>
                <c:pt idx="1">
                  <c:v>26779.07</c:v>
                </c:pt>
                <c:pt idx="2">
                  <c:v>2955.12</c:v>
                </c:pt>
                <c:pt idx="3">
                  <c:v>98.580000000000013</c:v>
                </c:pt>
              </c:numCache>
            </c:numRef>
          </c:val>
          <c:extLst>
            <c:ext xmlns:c16="http://schemas.microsoft.com/office/drawing/2014/chart" uri="{C3380CC4-5D6E-409C-BE32-E72D297353CC}">
              <c16:uniqueId val="{00000000-C51A-45E3-842E-0BD830C367D1}"/>
            </c:ext>
          </c:extLst>
        </c:ser>
        <c:dLbls>
          <c:showLegendKey val="0"/>
          <c:showVal val="0"/>
          <c:showCatName val="0"/>
          <c:showSerName val="0"/>
          <c:showPercent val="0"/>
          <c:showBubbleSize val="0"/>
        </c:dLbls>
        <c:gapWidth val="219"/>
        <c:overlap val="-27"/>
        <c:axId val="1869486096"/>
        <c:axId val="1869488016"/>
      </c:barChart>
      <c:catAx>
        <c:axId val="1869486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9488016"/>
        <c:crosses val="autoZero"/>
        <c:auto val="1"/>
        <c:lblAlgn val="ctr"/>
        <c:lblOffset val="100"/>
        <c:noMultiLvlLbl val="0"/>
      </c:catAx>
      <c:valAx>
        <c:axId val="1869488016"/>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9486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Peer comparision - Revenue</a:t>
            </a:r>
            <a:r>
              <a:rPr lang="en-IN" b="1" baseline="0"/>
              <a:t> </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rgbClr val="0070C0"/>
              </a:solidFill>
              <a:ln>
                <a:noFill/>
              </a:ln>
              <a:effectLst/>
            </c:spPr>
            <c:extLst>
              <c:ext xmlns:c16="http://schemas.microsoft.com/office/drawing/2014/chart" uri="{C3380CC4-5D6E-409C-BE32-E72D297353CC}">
                <c16:uniqueId val="{00000001-2F08-4866-BF30-50FDB8154A20}"/>
              </c:ext>
            </c:extLst>
          </c:dPt>
          <c:cat>
            <c:strRef>
              <c:f>'Relative Valuation'!$B$8:$B$11</c:f>
              <c:strCache>
                <c:ptCount val="4"/>
                <c:pt idx="0">
                  <c:v>Carborundum Uni.</c:v>
                </c:pt>
                <c:pt idx="1">
                  <c:v>Grindwell Norton</c:v>
                </c:pt>
                <c:pt idx="2">
                  <c:v>Wendt India</c:v>
                </c:pt>
                <c:pt idx="3">
                  <c:v>Welcast Steels</c:v>
                </c:pt>
              </c:strCache>
            </c:strRef>
          </c:cat>
          <c:val>
            <c:numRef>
              <c:f>'Relative Valuation'!$I$8:$I$11</c:f>
              <c:numCache>
                <c:formatCode>0.0</c:formatCode>
                <c:ptCount val="4"/>
                <c:pt idx="0">
                  <c:v>4696.51</c:v>
                </c:pt>
                <c:pt idx="1">
                  <c:v>2724.02</c:v>
                </c:pt>
                <c:pt idx="2">
                  <c:v>224.63</c:v>
                </c:pt>
                <c:pt idx="3">
                  <c:v>91.07</c:v>
                </c:pt>
              </c:numCache>
            </c:numRef>
          </c:val>
          <c:extLst>
            <c:ext xmlns:c16="http://schemas.microsoft.com/office/drawing/2014/chart" uri="{C3380CC4-5D6E-409C-BE32-E72D297353CC}">
              <c16:uniqueId val="{00000002-2F08-4866-BF30-50FDB8154A20}"/>
            </c:ext>
          </c:extLst>
        </c:ser>
        <c:dLbls>
          <c:showLegendKey val="0"/>
          <c:showVal val="0"/>
          <c:showCatName val="0"/>
          <c:showSerName val="0"/>
          <c:showPercent val="0"/>
          <c:showBubbleSize val="0"/>
        </c:dLbls>
        <c:gapWidth val="219"/>
        <c:overlap val="-27"/>
        <c:axId val="1869486096"/>
        <c:axId val="1869488016"/>
      </c:barChart>
      <c:catAx>
        <c:axId val="1869486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9488016"/>
        <c:crosses val="autoZero"/>
        <c:auto val="1"/>
        <c:lblAlgn val="ctr"/>
        <c:lblOffset val="100"/>
        <c:noMultiLvlLbl val="0"/>
      </c:catAx>
      <c:valAx>
        <c:axId val="1869488016"/>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9486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Peer comparision - EBITDA</a:t>
            </a:r>
            <a:r>
              <a:rPr lang="en-IN" b="1" baseline="0"/>
              <a:t> </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rgbClr val="0070C0"/>
              </a:solidFill>
              <a:ln>
                <a:noFill/>
              </a:ln>
              <a:effectLst/>
            </c:spPr>
            <c:extLst>
              <c:ext xmlns:c16="http://schemas.microsoft.com/office/drawing/2014/chart" uri="{C3380CC4-5D6E-409C-BE32-E72D297353CC}">
                <c16:uniqueId val="{00000001-0D4A-4E5C-B76D-D2A3756704A2}"/>
              </c:ext>
            </c:extLst>
          </c:dPt>
          <c:cat>
            <c:strRef>
              <c:f>'Relative Valuation'!$B$8:$B$11</c:f>
              <c:strCache>
                <c:ptCount val="4"/>
                <c:pt idx="0">
                  <c:v>Carborundum Uni.</c:v>
                </c:pt>
                <c:pt idx="1">
                  <c:v>Grindwell Norton</c:v>
                </c:pt>
                <c:pt idx="2">
                  <c:v>Wendt India</c:v>
                </c:pt>
                <c:pt idx="3">
                  <c:v>Welcast Steels</c:v>
                </c:pt>
              </c:strCache>
            </c:strRef>
          </c:cat>
          <c:val>
            <c:numRef>
              <c:f>'Relative Valuation'!$J$8:$J$11</c:f>
              <c:numCache>
                <c:formatCode>0.0</c:formatCode>
                <c:ptCount val="4"/>
                <c:pt idx="0">
                  <c:v>861.4</c:v>
                </c:pt>
                <c:pt idx="1">
                  <c:v>564.85</c:v>
                </c:pt>
                <c:pt idx="2">
                  <c:v>58</c:v>
                </c:pt>
                <c:pt idx="3">
                  <c:v>7.86</c:v>
                </c:pt>
              </c:numCache>
            </c:numRef>
          </c:val>
          <c:extLst>
            <c:ext xmlns:c16="http://schemas.microsoft.com/office/drawing/2014/chart" uri="{C3380CC4-5D6E-409C-BE32-E72D297353CC}">
              <c16:uniqueId val="{00000002-0D4A-4E5C-B76D-D2A3756704A2}"/>
            </c:ext>
          </c:extLst>
        </c:ser>
        <c:dLbls>
          <c:showLegendKey val="0"/>
          <c:showVal val="0"/>
          <c:showCatName val="0"/>
          <c:showSerName val="0"/>
          <c:showPercent val="0"/>
          <c:showBubbleSize val="0"/>
        </c:dLbls>
        <c:gapWidth val="219"/>
        <c:overlap val="-27"/>
        <c:axId val="1869486096"/>
        <c:axId val="1869488016"/>
      </c:barChart>
      <c:catAx>
        <c:axId val="1869486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9488016"/>
        <c:crosses val="autoZero"/>
        <c:auto val="1"/>
        <c:lblAlgn val="ctr"/>
        <c:lblOffset val="100"/>
        <c:noMultiLvlLbl val="0"/>
      </c:catAx>
      <c:valAx>
        <c:axId val="1869488016"/>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9486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Peer comparision - Share Price</a:t>
            </a:r>
            <a:r>
              <a:rPr lang="en-IN" b="1" baseline="0"/>
              <a:t> </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rgbClr val="0070C0"/>
              </a:solidFill>
              <a:ln>
                <a:noFill/>
              </a:ln>
              <a:effectLst/>
            </c:spPr>
            <c:extLst>
              <c:ext xmlns:c16="http://schemas.microsoft.com/office/drawing/2014/chart" uri="{C3380CC4-5D6E-409C-BE32-E72D297353CC}">
                <c16:uniqueId val="{00000001-E930-4036-A68A-4A504D780628}"/>
              </c:ext>
            </c:extLst>
          </c:dPt>
          <c:cat>
            <c:strRef>
              <c:f>'Relative Valuation'!$B$8:$B$11</c:f>
              <c:strCache>
                <c:ptCount val="4"/>
                <c:pt idx="0">
                  <c:v>Carborundum Uni.</c:v>
                </c:pt>
                <c:pt idx="1">
                  <c:v>Grindwell Norton</c:v>
                </c:pt>
                <c:pt idx="2">
                  <c:v>Wendt India</c:v>
                </c:pt>
                <c:pt idx="3">
                  <c:v>Welcast Steels</c:v>
                </c:pt>
              </c:strCache>
            </c:strRef>
          </c:cat>
          <c:val>
            <c:numRef>
              <c:f>'Relative Valuation'!$C$8:$C$11</c:f>
              <c:numCache>
                <c:formatCode>0.0</c:formatCode>
                <c:ptCount val="4"/>
                <c:pt idx="0">
                  <c:v>1595.95</c:v>
                </c:pt>
                <c:pt idx="1">
                  <c:v>2435</c:v>
                </c:pt>
                <c:pt idx="2">
                  <c:v>14980</c:v>
                </c:pt>
                <c:pt idx="3">
                  <c:v>1600</c:v>
                </c:pt>
              </c:numCache>
            </c:numRef>
          </c:val>
          <c:extLst>
            <c:ext xmlns:c16="http://schemas.microsoft.com/office/drawing/2014/chart" uri="{C3380CC4-5D6E-409C-BE32-E72D297353CC}">
              <c16:uniqueId val="{00000002-E930-4036-A68A-4A504D780628}"/>
            </c:ext>
          </c:extLst>
        </c:ser>
        <c:dLbls>
          <c:showLegendKey val="0"/>
          <c:showVal val="0"/>
          <c:showCatName val="0"/>
          <c:showSerName val="0"/>
          <c:showPercent val="0"/>
          <c:showBubbleSize val="0"/>
        </c:dLbls>
        <c:gapWidth val="219"/>
        <c:overlap val="-27"/>
        <c:axId val="1869486096"/>
        <c:axId val="1869488016"/>
      </c:barChart>
      <c:catAx>
        <c:axId val="1869486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9488016"/>
        <c:crosses val="autoZero"/>
        <c:auto val="1"/>
        <c:lblAlgn val="ctr"/>
        <c:lblOffset val="100"/>
        <c:noMultiLvlLbl val="0"/>
      </c:catAx>
      <c:valAx>
        <c:axId val="1869488016"/>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9486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Peer comparision -  Net Income</a:t>
            </a:r>
            <a:r>
              <a:rPr lang="en-IN" b="1" baseline="0"/>
              <a:t> </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Pt>
            <c:idx val="0"/>
            <c:invertIfNegative val="0"/>
            <c:bubble3D val="0"/>
            <c:spPr>
              <a:solidFill>
                <a:srgbClr val="0070C0"/>
              </a:solidFill>
              <a:ln>
                <a:noFill/>
              </a:ln>
              <a:effectLst/>
            </c:spPr>
            <c:extLst>
              <c:ext xmlns:c16="http://schemas.microsoft.com/office/drawing/2014/chart" uri="{C3380CC4-5D6E-409C-BE32-E72D297353CC}">
                <c16:uniqueId val="{00000001-B263-470A-902F-B1C9BC8AE2F6}"/>
              </c:ext>
            </c:extLst>
          </c:dPt>
          <c:cat>
            <c:strRef>
              <c:f>'Relative Valuation'!$B$8:$B$11</c:f>
              <c:strCache>
                <c:ptCount val="4"/>
                <c:pt idx="0">
                  <c:v>Carborundum Uni.</c:v>
                </c:pt>
                <c:pt idx="1">
                  <c:v>Grindwell Norton</c:v>
                </c:pt>
                <c:pt idx="2">
                  <c:v>Wendt India</c:v>
                </c:pt>
                <c:pt idx="3">
                  <c:v>Welcast Steels</c:v>
                </c:pt>
              </c:strCache>
            </c:strRef>
          </c:cat>
          <c:val>
            <c:numRef>
              <c:f>'Relative Valuation'!$K$8:$K$11</c:f>
              <c:numCache>
                <c:formatCode>0.0</c:formatCode>
                <c:ptCount val="4"/>
                <c:pt idx="0">
                  <c:v>476.18</c:v>
                </c:pt>
                <c:pt idx="1">
                  <c:v>383.96</c:v>
                </c:pt>
                <c:pt idx="2">
                  <c:v>40.950000000000003</c:v>
                </c:pt>
                <c:pt idx="3">
                  <c:v>5.25</c:v>
                </c:pt>
              </c:numCache>
            </c:numRef>
          </c:val>
          <c:extLst>
            <c:ext xmlns:c16="http://schemas.microsoft.com/office/drawing/2014/chart" uri="{C3380CC4-5D6E-409C-BE32-E72D297353CC}">
              <c16:uniqueId val="{00000002-B263-470A-902F-B1C9BC8AE2F6}"/>
            </c:ext>
          </c:extLst>
        </c:ser>
        <c:dLbls>
          <c:showLegendKey val="0"/>
          <c:showVal val="0"/>
          <c:showCatName val="0"/>
          <c:showSerName val="0"/>
          <c:showPercent val="0"/>
          <c:showBubbleSize val="0"/>
        </c:dLbls>
        <c:gapWidth val="219"/>
        <c:overlap val="-27"/>
        <c:axId val="1869486096"/>
        <c:axId val="1869488016"/>
      </c:barChart>
      <c:catAx>
        <c:axId val="18694860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9488016"/>
        <c:crosses val="autoZero"/>
        <c:auto val="1"/>
        <c:lblAlgn val="ctr"/>
        <c:lblOffset val="100"/>
        <c:noMultiLvlLbl val="0"/>
      </c:catAx>
      <c:valAx>
        <c:axId val="1869488016"/>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94860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jpe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8" Type="http://schemas.openxmlformats.org/officeDocument/2006/relationships/chart" Target="../charts/chart11.xml"/><Relationship Id="rId3" Type="http://schemas.openxmlformats.org/officeDocument/2006/relationships/chart" Target="../charts/chart6.xml"/><Relationship Id="rId7" Type="http://schemas.openxmlformats.org/officeDocument/2006/relationships/chart" Target="../charts/chart10.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8.xml"/><Relationship Id="rId5" Type="http://schemas.openxmlformats.org/officeDocument/2006/relationships/chart" Target="../charts/chart17.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editAs="oneCell">
    <xdr:from>
      <xdr:col>13</xdr:col>
      <xdr:colOff>266700</xdr:colOff>
      <xdr:row>1</xdr:row>
      <xdr:rowOff>15240</xdr:rowOff>
    </xdr:from>
    <xdr:to>
      <xdr:col>17</xdr:col>
      <xdr:colOff>7620</xdr:colOff>
      <xdr:row>6</xdr:row>
      <xdr:rowOff>76200</xdr:rowOff>
    </xdr:to>
    <xdr:pic>
      <xdr:nvPicPr>
        <xdr:cNvPr id="3" name="Picture 2">
          <a:extLst>
            <a:ext uri="{FF2B5EF4-FFF2-40B4-BE49-F238E27FC236}">
              <a16:creationId xmlns:a16="http://schemas.microsoft.com/office/drawing/2014/main" id="{130C1C0A-FBE6-05E5-E063-EC66502C87E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191500" y="198120"/>
          <a:ext cx="2179320" cy="975360"/>
        </a:xfrm>
        <a:prstGeom prst="rect">
          <a:avLst/>
        </a:prstGeom>
      </xdr:spPr>
    </xdr:pic>
    <xdr:clientData/>
  </xdr:twoCellAnchor>
  <xdr:twoCellAnchor editAs="oneCell">
    <xdr:from>
      <xdr:col>9</xdr:col>
      <xdr:colOff>358140</xdr:colOff>
      <xdr:row>7</xdr:row>
      <xdr:rowOff>45720</xdr:rowOff>
    </xdr:from>
    <xdr:to>
      <xdr:col>12</xdr:col>
      <xdr:colOff>190500</xdr:colOff>
      <xdr:row>16</xdr:row>
      <xdr:rowOff>137160</xdr:rowOff>
    </xdr:to>
    <xdr:pic>
      <xdr:nvPicPr>
        <xdr:cNvPr id="4" name="Picture 3">
          <a:extLst>
            <a:ext uri="{FF2B5EF4-FFF2-40B4-BE49-F238E27FC236}">
              <a16:creationId xmlns:a16="http://schemas.microsoft.com/office/drawing/2014/main" id="{B6F3F955-A2CE-F314-EA4E-6C11D3BA237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844540" y="1325880"/>
          <a:ext cx="1661160" cy="1737360"/>
        </a:xfrm>
        <a:prstGeom prst="rect">
          <a:avLst/>
        </a:prstGeom>
      </xdr:spPr>
    </xdr:pic>
    <xdr:clientData/>
  </xdr:twoCellAnchor>
  <xdr:twoCellAnchor>
    <xdr:from>
      <xdr:col>6</xdr:col>
      <xdr:colOff>541020</xdr:colOff>
      <xdr:row>0</xdr:row>
      <xdr:rowOff>137160</xdr:rowOff>
    </xdr:from>
    <xdr:to>
      <xdr:col>14</xdr:col>
      <xdr:colOff>312420</xdr:colOff>
      <xdr:row>7</xdr:row>
      <xdr:rowOff>60960</xdr:rowOff>
    </xdr:to>
    <xdr:sp macro="" textlink="">
      <xdr:nvSpPr>
        <xdr:cNvPr id="2" name="TextBox 1">
          <a:extLst>
            <a:ext uri="{FF2B5EF4-FFF2-40B4-BE49-F238E27FC236}">
              <a16:creationId xmlns:a16="http://schemas.microsoft.com/office/drawing/2014/main" id="{56A683ED-5FBA-7064-5EA1-6DBCD3834D8B}"/>
            </a:ext>
          </a:extLst>
        </xdr:cNvPr>
        <xdr:cNvSpPr txBox="1"/>
      </xdr:nvSpPr>
      <xdr:spPr>
        <a:xfrm>
          <a:off x="4198620" y="137160"/>
          <a:ext cx="4648200" cy="12039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solidFill>
                <a:schemeClr val="dk1"/>
              </a:solidFill>
              <a:effectLst/>
              <a:latin typeface="+mn-lt"/>
              <a:ea typeface="+mn-ea"/>
              <a:cs typeface="+mn-cs"/>
            </a:rPr>
            <a:t>Financial Model</a:t>
          </a:r>
        </a:p>
        <a:p>
          <a:pPr algn="ctr"/>
          <a:r>
            <a:rPr lang="en-IN" sz="2400" b="1">
              <a:solidFill>
                <a:schemeClr val="dk1"/>
              </a:solidFill>
              <a:effectLst/>
              <a:latin typeface="+mn-lt"/>
              <a:ea typeface="+mn-ea"/>
              <a:cs typeface="+mn-cs"/>
            </a:rPr>
            <a:t>Carborundum Universal Limited</a:t>
          </a:r>
          <a:endParaRPr lang="en-IN" sz="2400">
            <a:solidFill>
              <a:schemeClr val="dk1"/>
            </a:solidFill>
            <a:effectLst/>
            <a:latin typeface="+mn-lt"/>
            <a:ea typeface="+mn-ea"/>
            <a:cs typeface="+mn-cs"/>
          </a:endParaRPr>
        </a:p>
        <a:p>
          <a:pPr algn="ctr"/>
          <a:r>
            <a:rPr lang="en-IN" sz="1100" i="1">
              <a:solidFill>
                <a:schemeClr val="dk1"/>
              </a:solidFill>
              <a:effectLst/>
              <a:latin typeface="+mn-lt"/>
              <a:ea typeface="+mn-ea"/>
              <a:cs typeface="+mn-cs"/>
            </a:rPr>
            <a:t>A comprehensive Financial Analysis using financial data of</a:t>
          </a:r>
          <a:endParaRPr lang="en-IN" sz="1100">
            <a:solidFill>
              <a:schemeClr val="dk1"/>
            </a:solidFill>
            <a:effectLst/>
            <a:latin typeface="+mn-lt"/>
            <a:ea typeface="+mn-ea"/>
            <a:cs typeface="+mn-cs"/>
          </a:endParaRPr>
        </a:p>
        <a:p>
          <a:pPr algn="ctr"/>
          <a:r>
            <a:rPr lang="en-IN" sz="1100" i="1">
              <a:solidFill>
                <a:schemeClr val="dk1"/>
              </a:solidFill>
              <a:effectLst/>
              <a:latin typeface="+mn-lt"/>
              <a:ea typeface="+mn-ea"/>
              <a:cs typeface="+mn-cs"/>
            </a:rPr>
            <a:t> 10 years between, FY2014-2015 to FY 2023-2024.</a:t>
          </a:r>
          <a:endParaRPr lang="en-IN" sz="1100">
            <a:solidFill>
              <a:schemeClr val="dk1"/>
            </a:solidFill>
            <a:effectLst/>
            <a:latin typeface="+mn-lt"/>
            <a:ea typeface="+mn-ea"/>
            <a:cs typeface="+mn-cs"/>
          </a:endParaRPr>
        </a:p>
        <a:p>
          <a:pPr algn="ctr"/>
          <a:endParaRPr lang="en-IN" sz="1100"/>
        </a:p>
      </xdr:txBody>
    </xdr:sp>
    <xdr:clientData/>
  </xdr:twoCellAnchor>
  <xdr:twoCellAnchor>
    <xdr:from>
      <xdr:col>7</xdr:col>
      <xdr:colOff>99060</xdr:colOff>
      <xdr:row>17</xdr:row>
      <xdr:rowOff>167640</xdr:rowOff>
    </xdr:from>
    <xdr:to>
      <xdr:col>11</xdr:col>
      <xdr:colOff>289560</xdr:colOff>
      <xdr:row>23</xdr:row>
      <xdr:rowOff>76200</xdr:rowOff>
    </xdr:to>
    <xdr:sp macro="" textlink="">
      <xdr:nvSpPr>
        <xdr:cNvPr id="5" name="TextBox 4">
          <a:extLst>
            <a:ext uri="{FF2B5EF4-FFF2-40B4-BE49-F238E27FC236}">
              <a16:creationId xmlns:a16="http://schemas.microsoft.com/office/drawing/2014/main" id="{EEE09FE4-672E-CBF0-4300-838A984B6481}"/>
            </a:ext>
          </a:extLst>
        </xdr:cNvPr>
        <xdr:cNvSpPr txBox="1"/>
      </xdr:nvSpPr>
      <xdr:spPr>
        <a:xfrm>
          <a:off x="4366260" y="3276600"/>
          <a:ext cx="2628900" cy="10058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100">
              <a:solidFill>
                <a:schemeClr val="dk1"/>
              </a:solidFill>
              <a:effectLst/>
              <a:latin typeface="+mn-lt"/>
              <a:ea typeface="+mn-ea"/>
              <a:cs typeface="+mn-cs"/>
            </a:rPr>
            <a:t>Author,</a:t>
          </a:r>
          <a:br>
            <a:rPr lang="en-IN" sz="1100">
              <a:solidFill>
                <a:schemeClr val="dk1"/>
              </a:solidFill>
              <a:effectLst/>
              <a:latin typeface="+mn-lt"/>
              <a:ea typeface="+mn-ea"/>
              <a:cs typeface="+mn-cs"/>
            </a:rPr>
          </a:br>
          <a:r>
            <a:rPr lang="en-IN" sz="1100" b="1">
              <a:solidFill>
                <a:schemeClr val="dk1"/>
              </a:solidFill>
              <a:effectLst/>
              <a:latin typeface="+mn-lt"/>
              <a:ea typeface="+mn-ea"/>
              <a:cs typeface="+mn-cs"/>
            </a:rPr>
            <a:t>Sandeep Pradhan, II-MBA</a:t>
          </a:r>
          <a:br>
            <a:rPr lang="en-IN" sz="1100" b="1">
              <a:solidFill>
                <a:schemeClr val="dk1"/>
              </a:solidFill>
              <a:effectLst/>
              <a:latin typeface="+mn-lt"/>
              <a:ea typeface="+mn-ea"/>
              <a:cs typeface="+mn-cs"/>
            </a:rPr>
          </a:br>
          <a:r>
            <a:rPr lang="en-IN" sz="1100" b="1">
              <a:solidFill>
                <a:schemeClr val="dk1"/>
              </a:solidFill>
              <a:effectLst/>
              <a:latin typeface="+mn-lt"/>
              <a:ea typeface="+mn-ea"/>
              <a:cs typeface="+mn-cs"/>
            </a:rPr>
            <a:t>Sri Sathya Sai Institute of Higher Learning</a:t>
          </a:r>
          <a:endParaRPr lang="en-IN" sz="1100">
            <a:solidFill>
              <a:schemeClr val="dk1"/>
            </a:solidFill>
            <a:effectLst/>
            <a:latin typeface="+mn-lt"/>
            <a:ea typeface="+mn-ea"/>
            <a:cs typeface="+mn-cs"/>
          </a:endParaRPr>
        </a:p>
        <a:p>
          <a:endParaRPr lang="en-IN" sz="1100"/>
        </a:p>
      </xdr:txBody>
    </xdr:sp>
    <xdr:clientData/>
  </xdr:twoCellAnchor>
  <xdr:twoCellAnchor>
    <xdr:from>
      <xdr:col>11</xdr:col>
      <xdr:colOff>419100</xdr:colOff>
      <xdr:row>18</xdr:row>
      <xdr:rowOff>0</xdr:rowOff>
    </xdr:from>
    <xdr:to>
      <xdr:col>16</xdr:col>
      <xdr:colOff>0</xdr:colOff>
      <xdr:row>23</xdr:row>
      <xdr:rowOff>91440</xdr:rowOff>
    </xdr:to>
    <xdr:sp macro="" textlink="">
      <xdr:nvSpPr>
        <xdr:cNvPr id="6" name="TextBox 5">
          <a:extLst>
            <a:ext uri="{FF2B5EF4-FFF2-40B4-BE49-F238E27FC236}">
              <a16:creationId xmlns:a16="http://schemas.microsoft.com/office/drawing/2014/main" id="{3955DDAB-07E9-47AD-899F-77ED3AFD7DDD}"/>
            </a:ext>
          </a:extLst>
        </xdr:cNvPr>
        <xdr:cNvSpPr txBox="1"/>
      </xdr:nvSpPr>
      <xdr:spPr>
        <a:xfrm>
          <a:off x="7124700" y="3291840"/>
          <a:ext cx="2628900" cy="10058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dk1"/>
              </a:solidFill>
              <a:effectLst/>
              <a:latin typeface="+mn-lt"/>
              <a:ea typeface="+mn-ea"/>
              <a:cs typeface="+mn-cs"/>
            </a:rPr>
            <a:t>Prepared for,</a:t>
          </a:r>
          <a:br>
            <a:rPr lang="en-IN" sz="1100">
              <a:solidFill>
                <a:schemeClr val="dk1"/>
              </a:solidFill>
              <a:effectLst/>
              <a:latin typeface="+mn-lt"/>
              <a:ea typeface="+mn-ea"/>
              <a:cs typeface="+mn-cs"/>
            </a:rPr>
          </a:br>
          <a:r>
            <a:rPr lang="en-IN" sz="1100" b="1">
              <a:solidFill>
                <a:schemeClr val="dk1"/>
              </a:solidFill>
              <a:effectLst/>
              <a:latin typeface="+mn-lt"/>
              <a:ea typeface="+mn-ea"/>
              <a:cs typeface="+mn-cs"/>
            </a:rPr>
            <a:t>MBA class of 2025</a:t>
          </a:r>
          <a:br>
            <a:rPr lang="en-IN" sz="1100" b="1">
              <a:solidFill>
                <a:schemeClr val="dk1"/>
              </a:solidFill>
              <a:effectLst/>
              <a:latin typeface="+mn-lt"/>
              <a:ea typeface="+mn-ea"/>
              <a:cs typeface="+mn-cs"/>
            </a:rPr>
          </a:br>
          <a:r>
            <a:rPr lang="en-IN" sz="1100" b="1">
              <a:solidFill>
                <a:schemeClr val="dk1"/>
              </a:solidFill>
              <a:effectLst/>
              <a:latin typeface="+mn-lt"/>
              <a:ea typeface="+mn-ea"/>
              <a:cs typeface="+mn-cs"/>
            </a:rPr>
            <a:t>Sri Sathya Sai Institute of Higher Learning</a:t>
          </a:r>
          <a:endParaRPr lang="en-IN" sz="1100">
            <a:solidFill>
              <a:schemeClr val="dk1"/>
            </a:solidFill>
            <a:effectLst/>
            <a:latin typeface="+mn-lt"/>
            <a:ea typeface="+mn-ea"/>
            <a:cs typeface="+mn-cs"/>
          </a:endParaRPr>
        </a:p>
      </xdr:txBody>
    </xdr:sp>
    <xdr:clientData/>
  </xdr:twoCellAnchor>
  <xdr:twoCellAnchor>
    <xdr:from>
      <xdr:col>0</xdr:col>
      <xdr:colOff>182880</xdr:colOff>
      <xdr:row>7</xdr:row>
      <xdr:rowOff>137160</xdr:rowOff>
    </xdr:from>
    <xdr:to>
      <xdr:col>6</xdr:col>
      <xdr:colOff>457200</xdr:colOff>
      <xdr:row>21</xdr:row>
      <xdr:rowOff>91440</xdr:rowOff>
    </xdr:to>
    <xdr:sp macro="" textlink="">
      <xdr:nvSpPr>
        <xdr:cNvPr id="7" name="TextBox 6">
          <a:extLst>
            <a:ext uri="{FF2B5EF4-FFF2-40B4-BE49-F238E27FC236}">
              <a16:creationId xmlns:a16="http://schemas.microsoft.com/office/drawing/2014/main" id="{3017537B-0D09-0022-7DA3-4AFDB5426E2F}"/>
            </a:ext>
          </a:extLst>
        </xdr:cNvPr>
        <xdr:cNvSpPr txBox="1"/>
      </xdr:nvSpPr>
      <xdr:spPr>
        <a:xfrm>
          <a:off x="182880" y="1417320"/>
          <a:ext cx="3931920" cy="2514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dk1"/>
              </a:solidFill>
              <a:effectLst/>
              <a:latin typeface="+mn-lt"/>
              <a:ea typeface="+mn-ea"/>
              <a:cs typeface="+mn-cs"/>
            </a:rPr>
            <a:t>Note: -</a:t>
          </a:r>
        </a:p>
        <a:p>
          <a:r>
            <a:rPr lang="en-IN" sz="1100">
              <a:solidFill>
                <a:schemeClr val="dk1"/>
              </a:solidFill>
              <a:effectLst/>
              <a:latin typeface="+mn-lt"/>
              <a:ea typeface="+mn-ea"/>
              <a:cs typeface="+mn-cs"/>
            </a:rPr>
            <a:t>This financial model is prepared for academic purposes only and is intended to be a tool for Industrial Visit of the MBA class of 2025, SSSIHL between 11</a:t>
          </a:r>
          <a:r>
            <a:rPr lang="en-IN" sz="1100" baseline="30000">
              <a:solidFill>
                <a:schemeClr val="dk1"/>
              </a:solidFill>
              <a:effectLst/>
              <a:latin typeface="+mn-lt"/>
              <a:ea typeface="+mn-ea"/>
              <a:cs typeface="+mn-cs"/>
            </a:rPr>
            <a:t>th</a:t>
          </a:r>
          <a:r>
            <a:rPr lang="en-IN" sz="1100">
              <a:solidFill>
                <a:schemeClr val="dk1"/>
              </a:solidFill>
              <a:effectLst/>
              <a:latin typeface="+mn-lt"/>
              <a:ea typeface="+mn-ea"/>
              <a:cs typeface="+mn-cs"/>
            </a:rPr>
            <a:t> Aug 2024 to 15</a:t>
          </a:r>
          <a:r>
            <a:rPr lang="en-IN" sz="1100" baseline="30000">
              <a:solidFill>
                <a:schemeClr val="dk1"/>
              </a:solidFill>
              <a:effectLst/>
              <a:latin typeface="+mn-lt"/>
              <a:ea typeface="+mn-ea"/>
              <a:cs typeface="+mn-cs"/>
            </a:rPr>
            <a:t>th</a:t>
          </a:r>
          <a:r>
            <a:rPr lang="en-IN" sz="1100">
              <a:solidFill>
                <a:schemeClr val="dk1"/>
              </a:solidFill>
              <a:effectLst/>
              <a:latin typeface="+mn-lt"/>
              <a:ea typeface="+mn-ea"/>
              <a:cs typeface="+mn-cs"/>
            </a:rPr>
            <a:t> Aug 2024. The information contained herein is based on publicly available data and assumptions made by the author. This model doesn’t contain notes and comments, leaving room for viewer’s own research and interpretation. It is not intended to provide financial advice or recommendations, and should not be relied upon for investment decisions. Therefore, the author accepts no liability for any loss or damage arising from the use of this model or its contents. The author has made reasonable efforts to ensure the accuracy of the information presented, but errors or omissions may occur.</a:t>
          </a:r>
        </a:p>
        <a:p>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19</xdr:row>
      <xdr:rowOff>19050</xdr:rowOff>
    </xdr:from>
    <xdr:to>
      <xdr:col>15</xdr:col>
      <xdr:colOff>0</xdr:colOff>
      <xdr:row>42</xdr:row>
      <xdr:rowOff>0</xdr:rowOff>
    </xdr:to>
    <xdr:graphicFrame macro="">
      <xdr:nvGraphicFramePr>
        <xdr:cNvPr id="4" name="Chart 3">
          <a:extLst>
            <a:ext uri="{FF2B5EF4-FFF2-40B4-BE49-F238E27FC236}">
              <a16:creationId xmlns:a16="http://schemas.microsoft.com/office/drawing/2014/main" id="{E7FC2679-5A50-7D59-856E-3EF76B0914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42</xdr:row>
      <xdr:rowOff>0</xdr:rowOff>
    </xdr:from>
    <xdr:to>
      <xdr:col>15</xdr:col>
      <xdr:colOff>0</xdr:colOff>
      <xdr:row>66</xdr:row>
      <xdr:rowOff>0</xdr:rowOff>
    </xdr:to>
    <xdr:graphicFrame macro="">
      <xdr:nvGraphicFramePr>
        <xdr:cNvPr id="5" name="Chart 4">
          <a:extLst>
            <a:ext uri="{FF2B5EF4-FFF2-40B4-BE49-F238E27FC236}">
              <a16:creationId xmlns:a16="http://schemas.microsoft.com/office/drawing/2014/main" id="{E9750151-1CF1-3BD0-5769-4963B401B2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69</xdr:row>
      <xdr:rowOff>0</xdr:rowOff>
    </xdr:from>
    <xdr:to>
      <xdr:col>15</xdr:col>
      <xdr:colOff>0</xdr:colOff>
      <xdr:row>85</xdr:row>
      <xdr:rowOff>0</xdr:rowOff>
    </xdr:to>
    <xdr:graphicFrame macro="">
      <xdr:nvGraphicFramePr>
        <xdr:cNvPr id="6" name="Chart 5">
          <a:extLst>
            <a:ext uri="{FF2B5EF4-FFF2-40B4-BE49-F238E27FC236}">
              <a16:creationId xmlns:a16="http://schemas.microsoft.com/office/drawing/2014/main" id="{725FD2B4-6330-DD1D-6BA8-24E2DBA84F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2</xdr:row>
      <xdr:rowOff>114300</xdr:rowOff>
    </xdr:from>
    <xdr:to>
      <xdr:col>9</xdr:col>
      <xdr:colOff>0</xdr:colOff>
      <xdr:row>4</xdr:row>
      <xdr:rowOff>43622</xdr:rowOff>
    </xdr:to>
    <xdr:sp macro="" textlink="">
      <xdr:nvSpPr>
        <xdr:cNvPr id="3" name="TextBox 2">
          <a:extLst>
            <a:ext uri="{FF2B5EF4-FFF2-40B4-BE49-F238E27FC236}">
              <a16:creationId xmlns:a16="http://schemas.microsoft.com/office/drawing/2014/main" id="{8047B290-83B1-434D-9B01-1F7A37CC7313}"/>
            </a:ext>
          </a:extLst>
        </xdr:cNvPr>
        <xdr:cNvSpPr txBox="1"/>
      </xdr:nvSpPr>
      <xdr:spPr>
        <a:xfrm>
          <a:off x="609600" y="480060"/>
          <a:ext cx="4876800" cy="2950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rtl="0" eaLnBrk="1" fontAlgn="auto" latinLnBrk="0" hangingPunct="1">
            <a:lnSpc>
              <a:spcPct val="100000"/>
            </a:lnSpc>
            <a:spcBef>
              <a:spcPts val="0"/>
            </a:spcBef>
            <a:spcAft>
              <a:spcPts val="0"/>
            </a:spcAft>
            <a:buClrTx/>
            <a:buSzTx/>
            <a:buFont typeface="Arial" panose="020B0604020202020204" pitchFamily="34" charset="0"/>
            <a:buNone/>
            <a:tabLst/>
            <a:defRPr/>
          </a:pPr>
          <a:r>
            <a:rPr lang="en-IN" sz="1400" b="1" i="0">
              <a:solidFill>
                <a:srgbClr val="0070C0"/>
              </a:solidFill>
              <a:effectLst/>
              <a:latin typeface="+mn-lt"/>
              <a:ea typeface="+mn-ea"/>
              <a:cs typeface="+mn-cs"/>
            </a:rPr>
            <a:t>Dupont Analysis - Return on Equity &amp; Return</a:t>
          </a:r>
          <a:r>
            <a:rPr lang="en-IN" sz="1400" b="1" i="0" baseline="0">
              <a:solidFill>
                <a:srgbClr val="0070C0"/>
              </a:solidFill>
              <a:effectLst/>
              <a:latin typeface="+mn-lt"/>
              <a:ea typeface="+mn-ea"/>
              <a:cs typeface="+mn-cs"/>
            </a:rPr>
            <a:t> on Asset</a:t>
          </a:r>
          <a:endParaRPr lang="en-IN" sz="1400" b="1" i="0">
            <a:solidFill>
              <a:srgbClr val="0070C0"/>
            </a:solidFill>
            <a:effectLst/>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5</xdr:row>
      <xdr:rowOff>60135</xdr:rowOff>
    </xdr:from>
    <xdr:to>
      <xdr:col>6</xdr:col>
      <xdr:colOff>0</xdr:colOff>
      <xdr:row>13</xdr:row>
      <xdr:rowOff>65790</xdr:rowOff>
    </xdr:to>
    <xdr:graphicFrame macro="">
      <xdr:nvGraphicFramePr>
        <xdr:cNvPr id="2" name="Chart 1">
          <a:extLst>
            <a:ext uri="{FF2B5EF4-FFF2-40B4-BE49-F238E27FC236}">
              <a16:creationId xmlns:a16="http://schemas.microsoft.com/office/drawing/2014/main" id="{4622C361-BCC3-47B4-B815-B0CA0EFC82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211840</xdr:colOff>
      <xdr:row>4</xdr:row>
      <xdr:rowOff>0</xdr:rowOff>
    </xdr:from>
    <xdr:to>
      <xdr:col>4</xdr:col>
      <xdr:colOff>462036</xdr:colOff>
      <xdr:row>5</xdr:row>
      <xdr:rowOff>6110</xdr:rowOff>
    </xdr:to>
    <xdr:sp macro="" textlink="">
      <xdr:nvSpPr>
        <xdr:cNvPr id="3" name="TextBox 2">
          <a:extLst>
            <a:ext uri="{FF2B5EF4-FFF2-40B4-BE49-F238E27FC236}">
              <a16:creationId xmlns:a16="http://schemas.microsoft.com/office/drawing/2014/main" id="{ACA8CD02-33B7-4D36-BF38-F8450F41EF8F}"/>
            </a:ext>
          </a:extLst>
        </xdr:cNvPr>
        <xdr:cNvSpPr txBox="1"/>
      </xdr:nvSpPr>
      <xdr:spPr>
        <a:xfrm>
          <a:off x="989080" y="182880"/>
          <a:ext cx="1469396" cy="1889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070C0"/>
              </a:solidFill>
              <a:latin typeface="+mn-lt"/>
            </a:rPr>
            <a:t>Revenues (INR</a:t>
          </a:r>
          <a:r>
            <a:rPr lang="en-IN" sz="1050" b="1" baseline="0">
              <a:solidFill>
                <a:srgbClr val="0070C0"/>
              </a:solidFill>
              <a:latin typeface="+mn-lt"/>
            </a:rPr>
            <a:t> Crs.)</a:t>
          </a:r>
          <a:endParaRPr lang="en-IN" sz="1050" b="1">
            <a:solidFill>
              <a:srgbClr val="0070C0"/>
            </a:solidFill>
            <a:latin typeface="+mn-lt"/>
          </a:endParaRPr>
        </a:p>
      </xdr:txBody>
    </xdr:sp>
    <xdr:clientData/>
  </xdr:twoCellAnchor>
  <xdr:twoCellAnchor>
    <xdr:from>
      <xdr:col>1</xdr:col>
      <xdr:colOff>160020</xdr:colOff>
      <xdr:row>3</xdr:row>
      <xdr:rowOff>158606</xdr:rowOff>
    </xdr:from>
    <xdr:to>
      <xdr:col>5</xdr:col>
      <xdr:colOff>106213</xdr:colOff>
      <xdr:row>3</xdr:row>
      <xdr:rowOff>172743</xdr:rowOff>
    </xdr:to>
    <xdr:cxnSp macro="">
      <xdr:nvCxnSpPr>
        <xdr:cNvPr id="4" name="Straight Connector 3">
          <a:extLst>
            <a:ext uri="{FF2B5EF4-FFF2-40B4-BE49-F238E27FC236}">
              <a16:creationId xmlns:a16="http://schemas.microsoft.com/office/drawing/2014/main" id="{DD857E39-3B70-4019-AE4F-97E9ED92A4CB}"/>
            </a:ext>
          </a:extLst>
        </xdr:cNvPr>
        <xdr:cNvCxnSpPr/>
      </xdr:nvCxnSpPr>
      <xdr:spPr>
        <a:xfrm>
          <a:off x="327660" y="158606"/>
          <a:ext cx="2384593" cy="14137"/>
        </a:xfrm>
        <a:prstGeom prst="line">
          <a:avLst/>
        </a:prstGeom>
        <a:ln w="127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38100</xdr:colOff>
      <xdr:row>5</xdr:row>
      <xdr:rowOff>60135</xdr:rowOff>
    </xdr:from>
    <xdr:to>
      <xdr:col>12</xdr:col>
      <xdr:colOff>0</xdr:colOff>
      <xdr:row>13</xdr:row>
      <xdr:rowOff>65790</xdr:rowOff>
    </xdr:to>
    <xdr:graphicFrame macro="">
      <xdr:nvGraphicFramePr>
        <xdr:cNvPr id="5" name="Chart 4">
          <a:extLst>
            <a:ext uri="{FF2B5EF4-FFF2-40B4-BE49-F238E27FC236}">
              <a16:creationId xmlns:a16="http://schemas.microsoft.com/office/drawing/2014/main" id="{30DE8191-4177-4E8A-80A6-F3C23A89E3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608080</xdr:colOff>
      <xdr:row>4</xdr:row>
      <xdr:rowOff>0</xdr:rowOff>
    </xdr:from>
    <xdr:to>
      <xdr:col>11</xdr:col>
      <xdr:colOff>98031</xdr:colOff>
      <xdr:row>5</xdr:row>
      <xdr:rowOff>6110</xdr:rowOff>
    </xdr:to>
    <xdr:sp macro="" textlink="">
      <xdr:nvSpPr>
        <xdr:cNvPr id="6" name="TextBox 5">
          <a:extLst>
            <a:ext uri="{FF2B5EF4-FFF2-40B4-BE49-F238E27FC236}">
              <a16:creationId xmlns:a16="http://schemas.microsoft.com/office/drawing/2014/main" id="{8F6D6556-E8EC-4441-A473-60BE8F4C5DEB}"/>
            </a:ext>
          </a:extLst>
        </xdr:cNvPr>
        <xdr:cNvSpPr txBox="1"/>
      </xdr:nvSpPr>
      <xdr:spPr>
        <a:xfrm>
          <a:off x="3838960" y="182880"/>
          <a:ext cx="1478771" cy="1889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070C0"/>
              </a:solidFill>
              <a:latin typeface="+mn-lt"/>
            </a:rPr>
            <a:t>Net Profit (INR</a:t>
          </a:r>
          <a:r>
            <a:rPr lang="en-IN" sz="1050" b="1" baseline="0">
              <a:solidFill>
                <a:srgbClr val="0070C0"/>
              </a:solidFill>
              <a:latin typeface="+mn-lt"/>
            </a:rPr>
            <a:t> Crs.)</a:t>
          </a:r>
          <a:endParaRPr lang="en-IN" sz="1050" b="1">
            <a:solidFill>
              <a:srgbClr val="0070C0"/>
            </a:solidFill>
            <a:latin typeface="+mn-lt"/>
          </a:endParaRPr>
        </a:p>
      </xdr:txBody>
    </xdr:sp>
    <xdr:clientData/>
  </xdr:twoCellAnchor>
  <xdr:twoCellAnchor>
    <xdr:from>
      <xdr:col>7</xdr:col>
      <xdr:colOff>209446</xdr:colOff>
      <xdr:row>3</xdr:row>
      <xdr:rowOff>173609</xdr:rowOff>
    </xdr:from>
    <xdr:to>
      <xdr:col>11</xdr:col>
      <xdr:colOff>601033</xdr:colOff>
      <xdr:row>4</xdr:row>
      <xdr:rowOff>18542</xdr:rowOff>
    </xdr:to>
    <xdr:cxnSp macro="">
      <xdr:nvCxnSpPr>
        <xdr:cNvPr id="7" name="Straight Connector 6">
          <a:extLst>
            <a:ext uri="{FF2B5EF4-FFF2-40B4-BE49-F238E27FC236}">
              <a16:creationId xmlns:a16="http://schemas.microsoft.com/office/drawing/2014/main" id="{F0DEDE6B-0FC5-45E6-8F84-0CB1B6B158CF}"/>
            </a:ext>
          </a:extLst>
        </xdr:cNvPr>
        <xdr:cNvCxnSpPr/>
      </xdr:nvCxnSpPr>
      <xdr:spPr>
        <a:xfrm flipV="1">
          <a:off x="3554626" y="173609"/>
          <a:ext cx="2380407" cy="27813"/>
        </a:xfrm>
        <a:prstGeom prst="line">
          <a:avLst/>
        </a:prstGeom>
        <a:ln w="127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486160</xdr:colOff>
      <xdr:row>15</xdr:row>
      <xdr:rowOff>0</xdr:rowOff>
    </xdr:from>
    <xdr:to>
      <xdr:col>5</xdr:col>
      <xdr:colOff>67584</xdr:colOff>
      <xdr:row>16</xdr:row>
      <xdr:rowOff>76200</xdr:rowOff>
    </xdr:to>
    <xdr:sp macro="" textlink="">
      <xdr:nvSpPr>
        <xdr:cNvPr id="12" name="TextBox 11">
          <a:extLst>
            <a:ext uri="{FF2B5EF4-FFF2-40B4-BE49-F238E27FC236}">
              <a16:creationId xmlns:a16="http://schemas.microsoft.com/office/drawing/2014/main" id="{3FD923B6-9A15-4D90-BA36-07870609D2DB}"/>
            </a:ext>
          </a:extLst>
        </xdr:cNvPr>
        <xdr:cNvSpPr txBox="1"/>
      </xdr:nvSpPr>
      <xdr:spPr>
        <a:xfrm>
          <a:off x="653800" y="2194560"/>
          <a:ext cx="2019824"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1">
              <a:solidFill>
                <a:srgbClr val="0070C0"/>
              </a:solidFill>
              <a:latin typeface="+mn-lt"/>
            </a:rPr>
            <a:t>Return on Equity (%)</a:t>
          </a:r>
        </a:p>
        <a:p>
          <a:pPr algn="ctr"/>
          <a:endParaRPr lang="en-IN" sz="1050" b="1">
            <a:solidFill>
              <a:srgbClr val="0070C0"/>
            </a:solidFill>
            <a:latin typeface="+mn-lt"/>
          </a:endParaRPr>
        </a:p>
      </xdr:txBody>
    </xdr:sp>
    <xdr:clientData/>
  </xdr:twoCellAnchor>
  <xdr:twoCellAnchor>
    <xdr:from>
      <xdr:col>1</xdr:col>
      <xdr:colOff>171346</xdr:colOff>
      <xdr:row>14</xdr:row>
      <xdr:rowOff>160295</xdr:rowOff>
    </xdr:from>
    <xdr:to>
      <xdr:col>5</xdr:col>
      <xdr:colOff>378424</xdr:colOff>
      <xdr:row>14</xdr:row>
      <xdr:rowOff>181420</xdr:rowOff>
    </xdr:to>
    <xdr:cxnSp macro="">
      <xdr:nvCxnSpPr>
        <xdr:cNvPr id="13" name="Straight Connector 12">
          <a:extLst>
            <a:ext uri="{FF2B5EF4-FFF2-40B4-BE49-F238E27FC236}">
              <a16:creationId xmlns:a16="http://schemas.microsoft.com/office/drawing/2014/main" id="{9D941E43-C28F-46E2-B81A-F3D16D743290}"/>
            </a:ext>
          </a:extLst>
        </xdr:cNvPr>
        <xdr:cNvCxnSpPr/>
      </xdr:nvCxnSpPr>
      <xdr:spPr>
        <a:xfrm>
          <a:off x="338986" y="2171975"/>
          <a:ext cx="2645478" cy="21125"/>
        </a:xfrm>
        <a:prstGeom prst="line">
          <a:avLst/>
        </a:prstGeom>
        <a:ln w="127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437010</xdr:colOff>
      <xdr:row>15</xdr:row>
      <xdr:rowOff>0</xdr:rowOff>
    </xdr:from>
    <xdr:to>
      <xdr:col>11</xdr:col>
      <xdr:colOff>317424</xdr:colOff>
      <xdr:row>16</xdr:row>
      <xdr:rowOff>76200</xdr:rowOff>
    </xdr:to>
    <xdr:sp macro="" textlink="">
      <xdr:nvSpPr>
        <xdr:cNvPr id="15" name="TextBox 14">
          <a:extLst>
            <a:ext uri="{FF2B5EF4-FFF2-40B4-BE49-F238E27FC236}">
              <a16:creationId xmlns:a16="http://schemas.microsoft.com/office/drawing/2014/main" id="{17179299-2C1F-4BE4-95FE-8FCD8204F52D}"/>
            </a:ext>
          </a:extLst>
        </xdr:cNvPr>
        <xdr:cNvSpPr txBox="1"/>
      </xdr:nvSpPr>
      <xdr:spPr>
        <a:xfrm>
          <a:off x="3667890" y="2194560"/>
          <a:ext cx="1869234"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b="1">
              <a:solidFill>
                <a:srgbClr val="0070C0"/>
              </a:solidFill>
              <a:latin typeface="+mn-lt"/>
            </a:rPr>
            <a:t>Return on Assets (ROA)</a:t>
          </a:r>
        </a:p>
      </xdr:txBody>
    </xdr:sp>
    <xdr:clientData/>
  </xdr:twoCellAnchor>
  <xdr:twoCellAnchor>
    <xdr:from>
      <xdr:col>7</xdr:col>
      <xdr:colOff>130415</xdr:colOff>
      <xdr:row>14</xdr:row>
      <xdr:rowOff>171185</xdr:rowOff>
    </xdr:from>
    <xdr:to>
      <xdr:col>11</xdr:col>
      <xdr:colOff>565544</xdr:colOff>
      <xdr:row>14</xdr:row>
      <xdr:rowOff>180900</xdr:rowOff>
    </xdr:to>
    <xdr:cxnSp macro="">
      <xdr:nvCxnSpPr>
        <xdr:cNvPr id="16" name="Straight Connector 15">
          <a:extLst>
            <a:ext uri="{FF2B5EF4-FFF2-40B4-BE49-F238E27FC236}">
              <a16:creationId xmlns:a16="http://schemas.microsoft.com/office/drawing/2014/main" id="{5CDD22D1-20D1-489D-8C73-3B23C5AFFE57}"/>
            </a:ext>
          </a:extLst>
        </xdr:cNvPr>
        <xdr:cNvCxnSpPr/>
      </xdr:nvCxnSpPr>
      <xdr:spPr>
        <a:xfrm flipV="1">
          <a:off x="3361295" y="2182865"/>
          <a:ext cx="2423949" cy="9715"/>
        </a:xfrm>
        <a:prstGeom prst="line">
          <a:avLst/>
        </a:prstGeom>
        <a:ln w="127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16</xdr:row>
      <xdr:rowOff>0</xdr:rowOff>
    </xdr:from>
    <xdr:to>
      <xdr:col>6</xdr:col>
      <xdr:colOff>0</xdr:colOff>
      <xdr:row>24</xdr:row>
      <xdr:rowOff>7559</xdr:rowOff>
    </xdr:to>
    <xdr:graphicFrame macro="">
      <xdr:nvGraphicFramePr>
        <xdr:cNvPr id="20" name="Chart 19">
          <a:extLst>
            <a:ext uri="{FF2B5EF4-FFF2-40B4-BE49-F238E27FC236}">
              <a16:creationId xmlns:a16="http://schemas.microsoft.com/office/drawing/2014/main" id="{F999862D-FC48-4E42-94A5-3B60B60F2A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0</xdr:colOff>
      <xdr:row>16</xdr:row>
      <xdr:rowOff>0</xdr:rowOff>
    </xdr:from>
    <xdr:to>
      <xdr:col>12</xdr:col>
      <xdr:colOff>0</xdr:colOff>
      <xdr:row>24</xdr:row>
      <xdr:rowOff>7559</xdr:rowOff>
    </xdr:to>
    <xdr:graphicFrame macro="">
      <xdr:nvGraphicFramePr>
        <xdr:cNvPr id="21" name="Chart 20">
          <a:extLst>
            <a:ext uri="{FF2B5EF4-FFF2-40B4-BE49-F238E27FC236}">
              <a16:creationId xmlns:a16="http://schemas.microsoft.com/office/drawing/2014/main" id="{D2EBEBD6-FF12-4E8C-938A-B48C00A926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27</xdr:row>
      <xdr:rowOff>60135</xdr:rowOff>
    </xdr:from>
    <xdr:to>
      <xdr:col>6</xdr:col>
      <xdr:colOff>0</xdr:colOff>
      <xdr:row>35</xdr:row>
      <xdr:rowOff>65790</xdr:rowOff>
    </xdr:to>
    <xdr:graphicFrame macro="">
      <xdr:nvGraphicFramePr>
        <xdr:cNvPr id="27" name="Chart 26">
          <a:extLst>
            <a:ext uri="{FF2B5EF4-FFF2-40B4-BE49-F238E27FC236}">
              <a16:creationId xmlns:a16="http://schemas.microsoft.com/office/drawing/2014/main" id="{0EE3D500-B159-4F3F-B973-7D450E9227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21340</xdr:colOff>
      <xdr:row>26</xdr:row>
      <xdr:rowOff>0</xdr:rowOff>
    </xdr:from>
    <xdr:to>
      <xdr:col>5</xdr:col>
      <xdr:colOff>218196</xdr:colOff>
      <xdr:row>27</xdr:row>
      <xdr:rowOff>76200</xdr:rowOff>
    </xdr:to>
    <xdr:sp macro="" textlink="">
      <xdr:nvSpPr>
        <xdr:cNvPr id="28" name="TextBox 27">
          <a:extLst>
            <a:ext uri="{FF2B5EF4-FFF2-40B4-BE49-F238E27FC236}">
              <a16:creationId xmlns:a16="http://schemas.microsoft.com/office/drawing/2014/main" id="{D987A985-2FA0-4F58-A716-69D86B06E6B2}"/>
            </a:ext>
          </a:extLst>
        </xdr:cNvPr>
        <xdr:cNvSpPr txBox="1"/>
      </xdr:nvSpPr>
      <xdr:spPr>
        <a:xfrm>
          <a:off x="798580" y="4206240"/>
          <a:ext cx="2025656"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070C0"/>
              </a:solidFill>
              <a:latin typeface="+mn-lt"/>
            </a:rPr>
            <a:t>Avg</a:t>
          </a:r>
          <a:r>
            <a:rPr lang="en-IN" sz="1050" b="1" baseline="0">
              <a:solidFill>
                <a:srgbClr val="0070C0"/>
              </a:solidFill>
              <a:latin typeface="+mn-lt"/>
            </a:rPr>
            <a:t> Total Assets</a:t>
          </a:r>
          <a:r>
            <a:rPr lang="en-IN" sz="1050" b="1">
              <a:solidFill>
                <a:srgbClr val="0070C0"/>
              </a:solidFill>
              <a:latin typeface="+mn-lt"/>
            </a:rPr>
            <a:t> (INR</a:t>
          </a:r>
          <a:r>
            <a:rPr lang="en-IN" sz="1050" b="1" baseline="0">
              <a:solidFill>
                <a:srgbClr val="0070C0"/>
              </a:solidFill>
              <a:latin typeface="+mn-lt"/>
            </a:rPr>
            <a:t> Crs.)</a:t>
          </a:r>
          <a:endParaRPr lang="en-IN" sz="1050" b="1">
            <a:solidFill>
              <a:srgbClr val="0070C0"/>
            </a:solidFill>
            <a:latin typeface="+mn-lt"/>
          </a:endParaRPr>
        </a:p>
      </xdr:txBody>
    </xdr:sp>
    <xdr:clientData/>
  </xdr:twoCellAnchor>
  <xdr:twoCellAnchor>
    <xdr:from>
      <xdr:col>1</xdr:col>
      <xdr:colOff>171346</xdr:colOff>
      <xdr:row>25</xdr:row>
      <xdr:rowOff>172839</xdr:rowOff>
    </xdr:from>
    <xdr:to>
      <xdr:col>5</xdr:col>
      <xdr:colOff>359737</xdr:colOff>
      <xdr:row>26</xdr:row>
      <xdr:rowOff>5334</xdr:rowOff>
    </xdr:to>
    <xdr:cxnSp macro="">
      <xdr:nvCxnSpPr>
        <xdr:cNvPr id="29" name="Straight Connector 28">
          <a:extLst>
            <a:ext uri="{FF2B5EF4-FFF2-40B4-BE49-F238E27FC236}">
              <a16:creationId xmlns:a16="http://schemas.microsoft.com/office/drawing/2014/main" id="{8127B279-4CDF-48B8-AB14-3F66F5A2439C}"/>
            </a:ext>
          </a:extLst>
        </xdr:cNvPr>
        <xdr:cNvCxnSpPr/>
      </xdr:nvCxnSpPr>
      <xdr:spPr>
        <a:xfrm>
          <a:off x="338986" y="4196199"/>
          <a:ext cx="2626791" cy="15375"/>
        </a:xfrm>
        <a:prstGeom prst="line">
          <a:avLst/>
        </a:prstGeom>
        <a:ln w="127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171346</xdr:colOff>
      <xdr:row>27</xdr:row>
      <xdr:rowOff>60135</xdr:rowOff>
    </xdr:from>
    <xdr:to>
      <xdr:col>12</xdr:col>
      <xdr:colOff>0</xdr:colOff>
      <xdr:row>35</xdr:row>
      <xdr:rowOff>65790</xdr:rowOff>
    </xdr:to>
    <xdr:graphicFrame macro="">
      <xdr:nvGraphicFramePr>
        <xdr:cNvPr id="30" name="Chart 29">
          <a:extLst>
            <a:ext uri="{FF2B5EF4-FFF2-40B4-BE49-F238E27FC236}">
              <a16:creationId xmlns:a16="http://schemas.microsoft.com/office/drawing/2014/main" id="{DD8073B7-F024-4759-A737-D1C24D0DBD3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228600</xdr:colOff>
      <xdr:row>26</xdr:row>
      <xdr:rowOff>0</xdr:rowOff>
    </xdr:from>
    <xdr:to>
      <xdr:col>11</xdr:col>
      <xdr:colOff>344792</xdr:colOff>
      <xdr:row>27</xdr:row>
      <xdr:rowOff>76200</xdr:rowOff>
    </xdr:to>
    <xdr:sp macro="" textlink="">
      <xdr:nvSpPr>
        <xdr:cNvPr id="31" name="TextBox 30">
          <a:extLst>
            <a:ext uri="{FF2B5EF4-FFF2-40B4-BE49-F238E27FC236}">
              <a16:creationId xmlns:a16="http://schemas.microsoft.com/office/drawing/2014/main" id="{887651A1-F8FF-48AF-94AC-120AB14FC11D}"/>
            </a:ext>
          </a:extLst>
        </xdr:cNvPr>
        <xdr:cNvSpPr txBox="1"/>
      </xdr:nvSpPr>
      <xdr:spPr>
        <a:xfrm>
          <a:off x="3459480" y="4838700"/>
          <a:ext cx="2105012" cy="2590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070C0"/>
              </a:solidFill>
              <a:latin typeface="+mn-lt"/>
            </a:rPr>
            <a:t>Avg Shareholder Equity (INR Crs.)</a:t>
          </a:r>
        </a:p>
      </xdr:txBody>
    </xdr:sp>
    <xdr:clientData/>
  </xdr:twoCellAnchor>
  <xdr:twoCellAnchor>
    <xdr:from>
      <xdr:col>7</xdr:col>
      <xdr:colOff>106287</xdr:colOff>
      <xdr:row>25</xdr:row>
      <xdr:rowOff>172839</xdr:rowOff>
    </xdr:from>
    <xdr:to>
      <xdr:col>11</xdr:col>
      <xdr:colOff>527134</xdr:colOff>
      <xdr:row>26</xdr:row>
      <xdr:rowOff>4917</xdr:rowOff>
    </xdr:to>
    <xdr:cxnSp macro="">
      <xdr:nvCxnSpPr>
        <xdr:cNvPr id="32" name="Straight Connector 31">
          <a:extLst>
            <a:ext uri="{FF2B5EF4-FFF2-40B4-BE49-F238E27FC236}">
              <a16:creationId xmlns:a16="http://schemas.microsoft.com/office/drawing/2014/main" id="{FF98BA69-C215-4EE9-9192-A0E5C8D46202}"/>
            </a:ext>
          </a:extLst>
        </xdr:cNvPr>
        <xdr:cNvCxnSpPr/>
      </xdr:nvCxnSpPr>
      <xdr:spPr>
        <a:xfrm>
          <a:off x="3337167" y="4196199"/>
          <a:ext cx="2409667" cy="14958"/>
        </a:xfrm>
        <a:prstGeom prst="line">
          <a:avLst/>
        </a:prstGeom>
        <a:ln w="127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196310</xdr:colOff>
      <xdr:row>36</xdr:row>
      <xdr:rowOff>0</xdr:rowOff>
    </xdr:from>
    <xdr:to>
      <xdr:col>5</xdr:col>
      <xdr:colOff>319959</xdr:colOff>
      <xdr:row>37</xdr:row>
      <xdr:rowOff>396</xdr:rowOff>
    </xdr:to>
    <xdr:sp macro="" textlink="">
      <xdr:nvSpPr>
        <xdr:cNvPr id="45" name="TextBox 44">
          <a:extLst>
            <a:ext uri="{FF2B5EF4-FFF2-40B4-BE49-F238E27FC236}">
              <a16:creationId xmlns:a16="http://schemas.microsoft.com/office/drawing/2014/main" id="{892A48A6-7277-453F-BBA3-036F56A16CC0}"/>
            </a:ext>
          </a:extLst>
        </xdr:cNvPr>
        <xdr:cNvSpPr txBox="1"/>
      </xdr:nvSpPr>
      <xdr:spPr>
        <a:xfrm>
          <a:off x="973550" y="6766560"/>
          <a:ext cx="1952449" cy="183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070C0"/>
              </a:solidFill>
              <a:latin typeface="+mn-lt"/>
            </a:rPr>
            <a:t>Financial Leverage</a:t>
          </a:r>
        </a:p>
      </xdr:txBody>
    </xdr:sp>
    <xdr:clientData/>
  </xdr:twoCellAnchor>
  <xdr:twoCellAnchor>
    <xdr:from>
      <xdr:col>1</xdr:col>
      <xdr:colOff>0</xdr:colOff>
      <xdr:row>37</xdr:row>
      <xdr:rowOff>94093</xdr:rowOff>
    </xdr:from>
    <xdr:to>
      <xdr:col>6</xdr:col>
      <xdr:colOff>0</xdr:colOff>
      <xdr:row>45</xdr:row>
      <xdr:rowOff>107367</xdr:rowOff>
    </xdr:to>
    <xdr:graphicFrame macro="">
      <xdr:nvGraphicFramePr>
        <xdr:cNvPr id="46" name="Chart 45">
          <a:extLst>
            <a:ext uri="{FF2B5EF4-FFF2-40B4-BE49-F238E27FC236}">
              <a16:creationId xmlns:a16="http://schemas.microsoft.com/office/drawing/2014/main" id="{9E7390AA-7845-4047-A26F-29BE8967D8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197923</xdr:colOff>
      <xdr:row>36</xdr:row>
      <xdr:rowOff>8168</xdr:rowOff>
    </xdr:from>
    <xdr:to>
      <xdr:col>5</xdr:col>
      <xdr:colOff>101048</xdr:colOff>
      <xdr:row>36</xdr:row>
      <xdr:rowOff>8168</xdr:rowOff>
    </xdr:to>
    <xdr:cxnSp macro="">
      <xdr:nvCxnSpPr>
        <xdr:cNvPr id="47" name="Straight Connector 46">
          <a:extLst>
            <a:ext uri="{FF2B5EF4-FFF2-40B4-BE49-F238E27FC236}">
              <a16:creationId xmlns:a16="http://schemas.microsoft.com/office/drawing/2014/main" id="{50810A6D-350F-47B4-8591-BA718681052C}"/>
            </a:ext>
          </a:extLst>
        </xdr:cNvPr>
        <xdr:cNvCxnSpPr/>
      </xdr:nvCxnSpPr>
      <xdr:spPr>
        <a:xfrm>
          <a:off x="365563" y="6774728"/>
          <a:ext cx="2341525" cy="0"/>
        </a:xfrm>
        <a:prstGeom prst="line">
          <a:avLst/>
        </a:prstGeom>
        <a:ln w="127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196310</xdr:colOff>
      <xdr:row>36</xdr:row>
      <xdr:rowOff>0</xdr:rowOff>
    </xdr:from>
    <xdr:to>
      <xdr:col>11</xdr:col>
      <xdr:colOff>602037</xdr:colOff>
      <xdr:row>37</xdr:row>
      <xdr:rowOff>396</xdr:rowOff>
    </xdr:to>
    <xdr:sp macro="" textlink="">
      <xdr:nvSpPr>
        <xdr:cNvPr id="50" name="TextBox 49">
          <a:extLst>
            <a:ext uri="{FF2B5EF4-FFF2-40B4-BE49-F238E27FC236}">
              <a16:creationId xmlns:a16="http://schemas.microsoft.com/office/drawing/2014/main" id="{A0441360-8BA3-46EE-99FB-8E0EF4ACC4A2}"/>
            </a:ext>
          </a:extLst>
        </xdr:cNvPr>
        <xdr:cNvSpPr txBox="1"/>
      </xdr:nvSpPr>
      <xdr:spPr>
        <a:xfrm>
          <a:off x="4036790" y="6766560"/>
          <a:ext cx="1784947" cy="1832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050" b="1">
              <a:solidFill>
                <a:srgbClr val="0070C0"/>
              </a:solidFill>
              <a:latin typeface="+mn-lt"/>
            </a:rPr>
            <a:t>Assest Turnover</a:t>
          </a:r>
        </a:p>
        <a:p>
          <a:endParaRPr lang="en-IN" sz="1050" b="1">
            <a:solidFill>
              <a:srgbClr val="0070C0"/>
            </a:solidFill>
            <a:latin typeface="+mn-lt"/>
          </a:endParaRPr>
        </a:p>
      </xdr:txBody>
    </xdr:sp>
    <xdr:clientData/>
  </xdr:twoCellAnchor>
  <xdr:twoCellAnchor>
    <xdr:from>
      <xdr:col>7</xdr:col>
      <xdr:colOff>0</xdr:colOff>
      <xdr:row>37</xdr:row>
      <xdr:rowOff>94093</xdr:rowOff>
    </xdr:from>
    <xdr:to>
      <xdr:col>12</xdr:col>
      <xdr:colOff>0</xdr:colOff>
      <xdr:row>45</xdr:row>
      <xdr:rowOff>107367</xdr:rowOff>
    </xdr:to>
    <xdr:graphicFrame macro="">
      <xdr:nvGraphicFramePr>
        <xdr:cNvPr id="51" name="Chart 50">
          <a:extLst>
            <a:ext uri="{FF2B5EF4-FFF2-40B4-BE49-F238E27FC236}">
              <a16:creationId xmlns:a16="http://schemas.microsoft.com/office/drawing/2014/main" id="{8391BC92-D143-41FC-8C80-8075C9CD50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7</xdr:col>
      <xdr:colOff>197923</xdr:colOff>
      <xdr:row>36</xdr:row>
      <xdr:rowOff>8168</xdr:rowOff>
    </xdr:from>
    <xdr:to>
      <xdr:col>11</xdr:col>
      <xdr:colOff>349746</xdr:colOff>
      <xdr:row>36</xdr:row>
      <xdr:rowOff>8168</xdr:rowOff>
    </xdr:to>
    <xdr:cxnSp macro="">
      <xdr:nvCxnSpPr>
        <xdr:cNvPr id="52" name="Straight Connector 51">
          <a:extLst>
            <a:ext uri="{FF2B5EF4-FFF2-40B4-BE49-F238E27FC236}">
              <a16:creationId xmlns:a16="http://schemas.microsoft.com/office/drawing/2014/main" id="{76240AA0-6389-46C6-BC21-6844D918F278}"/>
            </a:ext>
          </a:extLst>
        </xdr:cNvPr>
        <xdr:cNvCxnSpPr/>
      </xdr:nvCxnSpPr>
      <xdr:spPr>
        <a:xfrm>
          <a:off x="3428803" y="6774728"/>
          <a:ext cx="2140643" cy="0"/>
        </a:xfrm>
        <a:prstGeom prst="line">
          <a:avLst/>
        </a:prstGeom>
        <a:ln w="12700">
          <a:solidFill>
            <a:schemeClr val="accent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44</xdr:row>
      <xdr:rowOff>0</xdr:rowOff>
    </xdr:from>
    <xdr:to>
      <xdr:col>11</xdr:col>
      <xdr:colOff>0</xdr:colOff>
      <xdr:row>69</xdr:row>
      <xdr:rowOff>0</xdr:rowOff>
    </xdr:to>
    <xdr:graphicFrame macro="">
      <xdr:nvGraphicFramePr>
        <xdr:cNvPr id="3" name="Chart 2">
          <a:extLst>
            <a:ext uri="{FF2B5EF4-FFF2-40B4-BE49-F238E27FC236}">
              <a16:creationId xmlns:a16="http://schemas.microsoft.com/office/drawing/2014/main" id="{5D6BE56C-0015-1D5C-6FA6-F71EF9D2A9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28</xdr:row>
      <xdr:rowOff>0</xdr:rowOff>
    </xdr:from>
    <xdr:to>
      <xdr:col>7</xdr:col>
      <xdr:colOff>0</xdr:colOff>
      <xdr:row>46</xdr:row>
      <xdr:rowOff>0</xdr:rowOff>
    </xdr:to>
    <xdr:graphicFrame macro="">
      <xdr:nvGraphicFramePr>
        <xdr:cNvPr id="2" name="Chart 1">
          <a:extLst>
            <a:ext uri="{FF2B5EF4-FFF2-40B4-BE49-F238E27FC236}">
              <a16:creationId xmlns:a16="http://schemas.microsoft.com/office/drawing/2014/main" id="{E6722C8E-CCAA-DE6C-F285-CA79946652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0</xdr:colOff>
      <xdr:row>28</xdr:row>
      <xdr:rowOff>0</xdr:rowOff>
    </xdr:from>
    <xdr:to>
      <xdr:col>15</xdr:col>
      <xdr:colOff>0</xdr:colOff>
      <xdr:row>46</xdr:row>
      <xdr:rowOff>0</xdr:rowOff>
    </xdr:to>
    <xdr:graphicFrame macro="">
      <xdr:nvGraphicFramePr>
        <xdr:cNvPr id="3" name="Chart 2">
          <a:extLst>
            <a:ext uri="{FF2B5EF4-FFF2-40B4-BE49-F238E27FC236}">
              <a16:creationId xmlns:a16="http://schemas.microsoft.com/office/drawing/2014/main" id="{8ACEFEE1-9131-4EEC-8C38-7F4A4BC61B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48</xdr:row>
      <xdr:rowOff>0</xdr:rowOff>
    </xdr:from>
    <xdr:to>
      <xdr:col>7</xdr:col>
      <xdr:colOff>0</xdr:colOff>
      <xdr:row>66</xdr:row>
      <xdr:rowOff>0</xdr:rowOff>
    </xdr:to>
    <xdr:graphicFrame macro="">
      <xdr:nvGraphicFramePr>
        <xdr:cNvPr id="4" name="Chart 3">
          <a:extLst>
            <a:ext uri="{FF2B5EF4-FFF2-40B4-BE49-F238E27FC236}">
              <a16:creationId xmlns:a16="http://schemas.microsoft.com/office/drawing/2014/main" id="{0D6716EA-B31A-4269-BEBC-2D9E22D52D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0</xdr:colOff>
      <xdr:row>48</xdr:row>
      <xdr:rowOff>0</xdr:rowOff>
    </xdr:from>
    <xdr:to>
      <xdr:col>15</xdr:col>
      <xdr:colOff>0</xdr:colOff>
      <xdr:row>66</xdr:row>
      <xdr:rowOff>0</xdr:rowOff>
    </xdr:to>
    <xdr:graphicFrame macro="">
      <xdr:nvGraphicFramePr>
        <xdr:cNvPr id="5" name="Chart 4">
          <a:extLst>
            <a:ext uri="{FF2B5EF4-FFF2-40B4-BE49-F238E27FC236}">
              <a16:creationId xmlns:a16="http://schemas.microsoft.com/office/drawing/2014/main" id="{CE4E86CB-EF38-4BFF-922D-7036089DB6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68</xdr:row>
      <xdr:rowOff>0</xdr:rowOff>
    </xdr:from>
    <xdr:to>
      <xdr:col>7</xdr:col>
      <xdr:colOff>0</xdr:colOff>
      <xdr:row>86</xdr:row>
      <xdr:rowOff>0</xdr:rowOff>
    </xdr:to>
    <xdr:graphicFrame macro="">
      <xdr:nvGraphicFramePr>
        <xdr:cNvPr id="6" name="Chart 5">
          <a:extLst>
            <a:ext uri="{FF2B5EF4-FFF2-40B4-BE49-F238E27FC236}">
              <a16:creationId xmlns:a16="http://schemas.microsoft.com/office/drawing/2014/main" id="{235B5631-2D50-4C81-8F59-D149DC2D2F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0</xdr:colOff>
      <xdr:row>68</xdr:row>
      <xdr:rowOff>0</xdr:rowOff>
    </xdr:from>
    <xdr:to>
      <xdr:col>15</xdr:col>
      <xdr:colOff>0</xdr:colOff>
      <xdr:row>86</xdr:row>
      <xdr:rowOff>0</xdr:rowOff>
    </xdr:to>
    <xdr:graphicFrame macro="">
      <xdr:nvGraphicFramePr>
        <xdr:cNvPr id="7" name="Chart 6">
          <a:extLst>
            <a:ext uri="{FF2B5EF4-FFF2-40B4-BE49-F238E27FC236}">
              <a16:creationId xmlns:a16="http://schemas.microsoft.com/office/drawing/2014/main" id="{48F46F6B-F03B-4038-B5E2-D8486AEF95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204-3995-45BB-99A3-D504E0679EB7}">
  <sheetPr>
    <tabColor rgb="FF0070C0"/>
  </sheetPr>
  <dimension ref="A1"/>
  <sheetViews>
    <sheetView showGridLines="0" workbookViewId="0">
      <selection activeCell="R17" sqref="R17"/>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E3BF0-5F2F-4F9F-A5F3-DDD30925C0A8}">
  <sheetPr>
    <tabColor rgb="FF0070C0"/>
  </sheetPr>
  <dimension ref="A1:L75"/>
  <sheetViews>
    <sheetView showGridLines="0" tabSelected="1" zoomScale="112" zoomScaleNormal="112" workbookViewId="0">
      <pane ySplit="3" topLeftCell="A20" activePane="bottomLeft" state="frozen"/>
      <selection pane="bottomLeft" activeCell="B30" sqref="B30"/>
    </sheetView>
  </sheetViews>
  <sheetFormatPr defaultRowHeight="14.4" outlineLevelRow="1" x14ac:dyDescent="0.3"/>
  <cols>
    <col min="1" max="1" width="2.33203125" customWidth="1"/>
    <col min="2" max="2" width="31.21875" customWidth="1"/>
    <col min="3" max="12" width="13.21875" customWidth="1"/>
  </cols>
  <sheetData>
    <row r="1" spans="1:12" x14ac:dyDescent="0.3">
      <c r="B1" s="75" t="s">
        <v>223</v>
      </c>
    </row>
    <row r="2" spans="1:12" x14ac:dyDescent="0.3">
      <c r="B2" s="2"/>
      <c r="C2" s="2"/>
      <c r="D2" s="2"/>
      <c r="E2" s="2" t="str">
        <f>_xlfn.CONCAT("Historical Fianancial Statement - ",'Data Sheet'!B1)</f>
        <v>Historical Fianancial Statement - CARBORUNDUM UNIVERSAL LTD</v>
      </c>
      <c r="F2" s="2"/>
      <c r="G2" s="2"/>
      <c r="H2" s="2"/>
      <c r="I2" s="2"/>
      <c r="J2" s="2"/>
      <c r="K2" s="2"/>
      <c r="L2" s="2"/>
    </row>
    <row r="3" spans="1:12" x14ac:dyDescent="0.3">
      <c r="B3" s="2" t="s">
        <v>56</v>
      </c>
      <c r="C3" s="3">
        <f>'Data Sheet'!B56</f>
        <v>42094</v>
      </c>
      <c r="D3" s="3">
        <f>'Data Sheet'!C56</f>
        <v>42460</v>
      </c>
      <c r="E3" s="3">
        <f>'Data Sheet'!D56</f>
        <v>42825</v>
      </c>
      <c r="F3" s="3">
        <f>'Data Sheet'!E56</f>
        <v>43190</v>
      </c>
      <c r="G3" s="3">
        <f>'Data Sheet'!F56</f>
        <v>43555</v>
      </c>
      <c r="H3" s="3">
        <f>'Data Sheet'!G56</f>
        <v>43921</v>
      </c>
      <c r="I3" s="3">
        <f>'Data Sheet'!H56</f>
        <v>44286</v>
      </c>
      <c r="J3" s="3">
        <f>'Data Sheet'!I56</f>
        <v>44651</v>
      </c>
      <c r="K3" s="3">
        <f>'Data Sheet'!J56</f>
        <v>45016</v>
      </c>
      <c r="L3" s="3">
        <f>'Data Sheet'!K56</f>
        <v>45382</v>
      </c>
    </row>
    <row r="5" spans="1:12" x14ac:dyDescent="0.3">
      <c r="A5" t="s">
        <v>57</v>
      </c>
      <c r="B5" s="22" t="s">
        <v>58</v>
      </c>
      <c r="C5" s="8"/>
      <c r="D5" s="8"/>
      <c r="E5" s="8"/>
      <c r="F5" s="8"/>
      <c r="G5" s="8"/>
      <c r="H5" s="8"/>
      <c r="I5" s="8"/>
      <c r="J5" s="8"/>
      <c r="K5" s="8"/>
      <c r="L5" s="8"/>
    </row>
    <row r="6" spans="1:12" outlineLevel="1" x14ac:dyDescent="0.3">
      <c r="B6" t="s">
        <v>1</v>
      </c>
      <c r="C6" s="4">
        <f>IFERROR('Data Sheet'!B17,0)</f>
        <v>2042.3</v>
      </c>
      <c r="D6" s="4">
        <f>IFERROR('Data Sheet'!C17,0)</f>
        <v>1943.99</v>
      </c>
      <c r="E6" s="4">
        <f>IFERROR('Data Sheet'!D17,0)</f>
        <v>2112.4899999999998</v>
      </c>
      <c r="F6" s="4">
        <f>IFERROR('Data Sheet'!E17,0)</f>
        <v>2374.5</v>
      </c>
      <c r="G6" s="4">
        <f>IFERROR('Data Sheet'!F17,0)</f>
        <v>2688.9</v>
      </c>
      <c r="H6" s="4">
        <f>IFERROR('Data Sheet'!G17,0)</f>
        <v>2598.9699999999998</v>
      </c>
      <c r="I6" s="4">
        <f>IFERROR('Data Sheet'!H17,0)</f>
        <v>2631.71</v>
      </c>
      <c r="J6" s="4">
        <f>IFERROR('Data Sheet'!I17,0)</f>
        <v>3324.76</v>
      </c>
      <c r="K6" s="4">
        <f>IFERROR('Data Sheet'!J17,0)</f>
        <v>4654.28</v>
      </c>
      <c r="L6" s="4">
        <f>IFERROR('Data Sheet'!K17,0)</f>
        <v>4702.1899999999996</v>
      </c>
    </row>
    <row r="7" spans="1:12" outlineLevel="1" x14ac:dyDescent="0.3">
      <c r="B7" s="6" t="s">
        <v>10</v>
      </c>
      <c r="C7" s="5" t="s">
        <v>59</v>
      </c>
      <c r="D7" s="6">
        <f>(D6-C6)/C6</f>
        <v>-4.8136904470449958E-2</v>
      </c>
      <c r="E7" s="6">
        <f t="shared" ref="E7:L7" si="0">(E6-D6)/D6</f>
        <v>8.6677400603912449E-2</v>
      </c>
      <c r="F7" s="6">
        <f t="shared" si="0"/>
        <v>0.12402898948634088</v>
      </c>
      <c r="G7" s="6">
        <f t="shared" si="0"/>
        <v>0.13240682248894509</v>
      </c>
      <c r="H7" s="6">
        <f t="shared" si="0"/>
        <v>-3.3444903120235146E-2</v>
      </c>
      <c r="I7" s="6">
        <f t="shared" si="0"/>
        <v>1.2597298160425183E-2</v>
      </c>
      <c r="J7" s="6">
        <f t="shared" si="0"/>
        <v>0.26334588537490838</v>
      </c>
      <c r="K7" s="6">
        <f t="shared" si="0"/>
        <v>0.39988450294156552</v>
      </c>
      <c r="L7" s="6">
        <f t="shared" si="0"/>
        <v>1.0293751127993987E-2</v>
      </c>
    </row>
    <row r="8" spans="1:12" outlineLevel="1" x14ac:dyDescent="0.3">
      <c r="C8" s="4"/>
      <c r="D8" s="4"/>
      <c r="E8" s="4"/>
      <c r="F8" s="4"/>
      <c r="G8" s="4"/>
      <c r="H8" s="4"/>
      <c r="I8" s="4"/>
      <c r="J8" s="4"/>
      <c r="K8" s="4"/>
      <c r="L8" s="4"/>
    </row>
    <row r="9" spans="1:12" outlineLevel="1" x14ac:dyDescent="0.3">
      <c r="B9" t="s">
        <v>60</v>
      </c>
      <c r="C9" s="4">
        <f>IFERROR(SUM('Data Sheet'!B18,'Data Sheet'!B20:B22)-1*'Data Sheet'!B19,0)</f>
        <v>1562.96</v>
      </c>
      <c r="D9" s="4">
        <f>IFERROR(SUM('Data Sheet'!C18,'Data Sheet'!C20:C22)-1*'Data Sheet'!C19,0)</f>
        <v>1324.4799999999998</v>
      </c>
      <c r="E9" s="4">
        <f>IFERROR(SUM('Data Sheet'!D18,'Data Sheet'!D20:D22)-1*'Data Sheet'!D19,0)</f>
        <v>1426.6699999999998</v>
      </c>
      <c r="F9" s="4">
        <f>IFERROR(SUM('Data Sheet'!E18,'Data Sheet'!E20:E22)-1*'Data Sheet'!E19,0)</f>
        <v>1632.97</v>
      </c>
      <c r="G9" s="4">
        <f>IFERROR(SUM('Data Sheet'!F18,'Data Sheet'!F20:F22)-1*'Data Sheet'!F19,0)</f>
        <v>1873.59</v>
      </c>
      <c r="H9" s="4">
        <f>IFERROR(SUM('Data Sheet'!G18,'Data Sheet'!G20:G22)-1*'Data Sheet'!G19,0)</f>
        <v>1809.9900000000002</v>
      </c>
      <c r="I9" s="4">
        <f>IFERROR(SUM('Data Sheet'!H18,'Data Sheet'!H20:H22)-1*'Data Sheet'!H19,0)</f>
        <v>1801.01</v>
      </c>
      <c r="J9" s="4">
        <f>IFERROR(SUM('Data Sheet'!I18,'Data Sheet'!I20:I22)-1*'Data Sheet'!I19,0)</f>
        <v>2229.2000000000003</v>
      </c>
      <c r="K9" s="4">
        <f>IFERROR(SUM('Data Sheet'!J18,'Data Sheet'!J20:J22)-1*'Data Sheet'!J19,0)</f>
        <v>3229.48</v>
      </c>
      <c r="L9" s="4">
        <f>IFERROR(SUM('Data Sheet'!K18,'Data Sheet'!K20:K22)-1*'Data Sheet'!K19,0)</f>
        <v>3237.67</v>
      </c>
    </row>
    <row r="10" spans="1:12" outlineLevel="1" x14ac:dyDescent="0.3">
      <c r="B10" s="6" t="s">
        <v>61</v>
      </c>
      <c r="C10" s="6">
        <f>C9/C6</f>
        <v>0.76529403123928907</v>
      </c>
      <c r="D10" s="6">
        <f t="shared" ref="D10:L10" si="1">D9/D6</f>
        <v>0.68132037716243388</v>
      </c>
      <c r="E10" s="6">
        <f t="shared" si="1"/>
        <v>0.67534994248493485</v>
      </c>
      <c r="F10" s="6">
        <f t="shared" si="1"/>
        <v>0.68771109707306799</v>
      </c>
      <c r="G10" s="6">
        <f t="shared" si="1"/>
        <v>0.69678679013723077</v>
      </c>
      <c r="H10" s="6">
        <f t="shared" si="1"/>
        <v>0.69642589179559611</v>
      </c>
      <c r="I10" s="6">
        <f t="shared" si="1"/>
        <v>0.68434971938397471</v>
      </c>
      <c r="J10" s="6">
        <f t="shared" si="1"/>
        <v>0.67048448609824474</v>
      </c>
      <c r="K10" s="6">
        <f t="shared" si="1"/>
        <v>0.69387316620401007</v>
      </c>
      <c r="L10" s="6">
        <f t="shared" si="1"/>
        <v>0.68854512471848228</v>
      </c>
    </row>
    <row r="11" spans="1:12" outlineLevel="1" x14ac:dyDescent="0.3"/>
    <row r="12" spans="1:12" outlineLevel="1" x14ac:dyDescent="0.3">
      <c r="B12" s="23" t="s">
        <v>62</v>
      </c>
      <c r="C12" s="24">
        <f>C6-C9</f>
        <v>479.33999999999992</v>
      </c>
      <c r="D12" s="24">
        <f t="shared" ref="D12:L12" si="2">D6-D9</f>
        <v>619.51000000000022</v>
      </c>
      <c r="E12" s="24">
        <f t="shared" si="2"/>
        <v>685.81999999999994</v>
      </c>
      <c r="F12" s="24">
        <f t="shared" si="2"/>
        <v>741.53</v>
      </c>
      <c r="G12" s="24">
        <f t="shared" si="2"/>
        <v>815.31000000000017</v>
      </c>
      <c r="H12" s="24">
        <f t="shared" si="2"/>
        <v>788.97999999999956</v>
      </c>
      <c r="I12" s="24">
        <f t="shared" si="2"/>
        <v>830.7</v>
      </c>
      <c r="J12" s="24">
        <f t="shared" si="2"/>
        <v>1095.56</v>
      </c>
      <c r="K12" s="24">
        <f t="shared" si="2"/>
        <v>1424.7999999999997</v>
      </c>
      <c r="L12" s="24">
        <f t="shared" si="2"/>
        <v>1464.5199999999995</v>
      </c>
    </row>
    <row r="13" spans="1:12" outlineLevel="1" x14ac:dyDescent="0.3">
      <c r="B13" s="6" t="s">
        <v>69</v>
      </c>
      <c r="C13" s="6">
        <f>C12/C6</f>
        <v>0.23470596876071093</v>
      </c>
      <c r="D13" s="6">
        <f t="shared" ref="D13:L13" si="3">D12/D6</f>
        <v>0.31867962283756612</v>
      </c>
      <c r="E13" s="6">
        <f t="shared" si="3"/>
        <v>0.32465005751506515</v>
      </c>
      <c r="F13" s="6">
        <f t="shared" si="3"/>
        <v>0.31228890292693195</v>
      </c>
      <c r="G13" s="6">
        <f t="shared" si="3"/>
        <v>0.30321320986276923</v>
      </c>
      <c r="H13" s="6">
        <f t="shared" si="3"/>
        <v>0.30357410820440389</v>
      </c>
      <c r="I13" s="6">
        <f t="shared" si="3"/>
        <v>0.31565028061602535</v>
      </c>
      <c r="J13" s="6">
        <f t="shared" si="3"/>
        <v>0.32951551390175526</v>
      </c>
      <c r="K13" s="6">
        <f t="shared" si="3"/>
        <v>0.30612683379598987</v>
      </c>
      <c r="L13" s="6">
        <f t="shared" si="3"/>
        <v>0.31145487528151766</v>
      </c>
    </row>
    <row r="14" spans="1:12" outlineLevel="1" x14ac:dyDescent="0.3"/>
    <row r="15" spans="1:12" outlineLevel="1" x14ac:dyDescent="0.3">
      <c r="B15" t="s">
        <v>63</v>
      </c>
      <c r="C15" s="7">
        <f>IFERROR(SUM('Data Sheet'!B23:B24),0)</f>
        <v>244.95999999999998</v>
      </c>
      <c r="D15" s="7">
        <f>IFERROR(SUM('Data Sheet'!C23:C24),0)</f>
        <v>311.76</v>
      </c>
      <c r="E15" s="7">
        <f>IFERROR(SUM('Data Sheet'!D23:D24),0)</f>
        <v>350.22</v>
      </c>
      <c r="F15" s="7">
        <f>IFERROR(SUM('Data Sheet'!E23:E24),0)</f>
        <v>341.83</v>
      </c>
      <c r="G15" s="7">
        <f>IFERROR(SUM('Data Sheet'!F23:F24),0)</f>
        <v>376.2</v>
      </c>
      <c r="H15" s="7">
        <f>IFERROR(SUM('Data Sheet'!G23:G24),0)</f>
        <v>389.15999999999997</v>
      </c>
      <c r="I15" s="7">
        <f>IFERROR(SUM('Data Sheet'!H23:H24),0)</f>
        <v>364.64</v>
      </c>
      <c r="J15" s="7">
        <f>IFERROR(SUM('Data Sheet'!I23:I24),0)</f>
        <v>555.15</v>
      </c>
      <c r="K15" s="7">
        <f>IFERROR(SUM('Data Sheet'!J23:J24),0)</f>
        <v>769.67000000000007</v>
      </c>
      <c r="L15" s="7">
        <f>IFERROR(SUM('Data Sheet'!K23:K24),0)</f>
        <v>723.45</v>
      </c>
    </row>
    <row r="16" spans="1:12" outlineLevel="1" x14ac:dyDescent="0.3">
      <c r="B16" s="6" t="s">
        <v>64</v>
      </c>
      <c r="C16" s="6">
        <f>C15/C6</f>
        <v>0.11994320129266023</v>
      </c>
      <c r="D16" s="6">
        <f t="shared" ref="D16:L16" si="4">D15/D6</f>
        <v>0.16037119532507882</v>
      </c>
      <c r="E16" s="6">
        <f t="shared" si="4"/>
        <v>0.16578540016757479</v>
      </c>
      <c r="F16" s="6">
        <f t="shared" si="4"/>
        <v>0.14395872815329541</v>
      </c>
      <c r="G16" s="6">
        <f t="shared" si="4"/>
        <v>0.13990851277474059</v>
      </c>
      <c r="H16" s="6">
        <f t="shared" si="4"/>
        <v>0.14973624166496727</v>
      </c>
      <c r="I16" s="6">
        <f t="shared" si="4"/>
        <v>0.13855629989626517</v>
      </c>
      <c r="J16" s="6">
        <f t="shared" si="4"/>
        <v>0.16697445830676499</v>
      </c>
      <c r="K16" s="6">
        <f t="shared" si="4"/>
        <v>0.16536822021880937</v>
      </c>
      <c r="L16" s="6">
        <f t="shared" si="4"/>
        <v>0.15385384257122747</v>
      </c>
    </row>
    <row r="17" spans="2:12" outlineLevel="1" x14ac:dyDescent="0.3"/>
    <row r="18" spans="2:12" outlineLevel="1" x14ac:dyDescent="0.3">
      <c r="B18" s="23" t="s">
        <v>65</v>
      </c>
      <c r="C18" s="24">
        <f>C12-C15</f>
        <v>234.37999999999994</v>
      </c>
      <c r="D18" s="24">
        <f t="shared" ref="D18:L18" si="5">D12-D15</f>
        <v>307.75000000000023</v>
      </c>
      <c r="E18" s="24">
        <f t="shared" si="5"/>
        <v>335.59999999999991</v>
      </c>
      <c r="F18" s="24">
        <f t="shared" si="5"/>
        <v>399.7</v>
      </c>
      <c r="G18" s="24">
        <f t="shared" si="5"/>
        <v>439.11000000000018</v>
      </c>
      <c r="H18" s="24">
        <f t="shared" si="5"/>
        <v>399.8199999999996</v>
      </c>
      <c r="I18" s="24">
        <f t="shared" si="5"/>
        <v>466.06000000000006</v>
      </c>
      <c r="J18" s="24">
        <f t="shared" si="5"/>
        <v>540.41</v>
      </c>
      <c r="K18" s="24">
        <f t="shared" si="5"/>
        <v>655.12999999999965</v>
      </c>
      <c r="L18" s="24">
        <f t="shared" si="5"/>
        <v>741.06999999999948</v>
      </c>
    </row>
    <row r="19" spans="2:12" outlineLevel="1" x14ac:dyDescent="0.3">
      <c r="B19" s="6" t="s">
        <v>66</v>
      </c>
      <c r="C19" s="6">
        <f>C18/C6</f>
        <v>0.1147627674680507</v>
      </c>
      <c r="D19" s="6">
        <f t="shared" ref="D19:L19" si="6">D18/D6</f>
        <v>0.15830842751248733</v>
      </c>
      <c r="E19" s="6">
        <f t="shared" si="6"/>
        <v>0.15886465734749036</v>
      </c>
      <c r="F19" s="6">
        <f t="shared" si="6"/>
        <v>0.16833017477363654</v>
      </c>
      <c r="G19" s="6">
        <f t="shared" si="6"/>
        <v>0.16330469708802864</v>
      </c>
      <c r="H19" s="6">
        <f t="shared" si="6"/>
        <v>0.15383786653943662</v>
      </c>
      <c r="I19" s="6">
        <f t="shared" si="6"/>
        <v>0.17709398071976018</v>
      </c>
      <c r="J19" s="6">
        <f t="shared" si="6"/>
        <v>0.1625410555949903</v>
      </c>
      <c r="K19" s="6">
        <f t="shared" si="6"/>
        <v>0.1407586135771805</v>
      </c>
      <c r="L19" s="6">
        <f t="shared" si="6"/>
        <v>0.15760103271029022</v>
      </c>
    </row>
    <row r="20" spans="2:12" outlineLevel="1" x14ac:dyDescent="0.3"/>
    <row r="21" spans="2:12" outlineLevel="1" x14ac:dyDescent="0.3">
      <c r="B21" t="s">
        <v>6</v>
      </c>
      <c r="C21" s="7">
        <f>IFERROR('Data Sheet'!B27,0)</f>
        <v>25.34</v>
      </c>
      <c r="D21" s="7">
        <f>IFERROR('Data Sheet'!C27,0)</f>
        <v>22.91</v>
      </c>
      <c r="E21" s="7">
        <f>IFERROR('Data Sheet'!D27,0)</f>
        <v>18.12</v>
      </c>
      <c r="F21" s="7">
        <f>IFERROR('Data Sheet'!E27,0)</f>
        <v>8.61</v>
      </c>
      <c r="G21" s="7">
        <f>IFERROR('Data Sheet'!F27,0)</f>
        <v>8.48</v>
      </c>
      <c r="H21" s="7">
        <f>IFERROR('Data Sheet'!G27,0)</f>
        <v>6.33</v>
      </c>
      <c r="I21" s="7">
        <f>IFERROR('Data Sheet'!H27,0)</f>
        <v>3.58</v>
      </c>
      <c r="J21" s="7">
        <f>IFERROR('Data Sheet'!I27,0)</f>
        <v>5.64</v>
      </c>
      <c r="K21" s="7">
        <f>IFERROR('Data Sheet'!J27,0)</f>
        <v>23.53</v>
      </c>
      <c r="L21" s="7">
        <f>IFERROR('Data Sheet'!K27,0)</f>
        <v>18.34</v>
      </c>
    </row>
    <row r="22" spans="2:12" outlineLevel="1" x14ac:dyDescent="0.3">
      <c r="B22" s="6" t="s">
        <v>67</v>
      </c>
      <c r="C22" s="6">
        <f>C21/C6</f>
        <v>1.2407579689565686E-2</v>
      </c>
      <c r="D22" s="6">
        <f t="shared" ref="D22:L22" si="7">D21/D6</f>
        <v>1.1785040046502297E-2</v>
      </c>
      <c r="E22" s="6">
        <f t="shared" si="7"/>
        <v>8.5775553967119382E-3</v>
      </c>
      <c r="F22" s="6">
        <f t="shared" si="7"/>
        <v>3.6260265319014526E-3</v>
      </c>
      <c r="G22" s="6">
        <f t="shared" si="7"/>
        <v>3.1537059764215852E-3</v>
      </c>
      <c r="H22" s="6">
        <f t="shared" si="7"/>
        <v>2.4355802490986815E-3</v>
      </c>
      <c r="I22" s="6">
        <f t="shared" si="7"/>
        <v>1.3603322554536785E-3</v>
      </c>
      <c r="J22" s="6">
        <f t="shared" si="7"/>
        <v>1.6963630457536782E-3</v>
      </c>
      <c r="K22" s="6">
        <f t="shared" si="7"/>
        <v>5.0555617625067687E-3</v>
      </c>
      <c r="L22" s="6">
        <f t="shared" si="7"/>
        <v>3.9003102809541941E-3</v>
      </c>
    </row>
    <row r="23" spans="2:12" outlineLevel="1" x14ac:dyDescent="0.3"/>
    <row r="24" spans="2:12" outlineLevel="1" x14ac:dyDescent="0.3">
      <c r="B24" t="s">
        <v>5</v>
      </c>
      <c r="C24" s="7">
        <f>IFERROR('Data Sheet'!B26,0)</f>
        <v>100.37</v>
      </c>
      <c r="D24" s="7">
        <f>IFERROR('Data Sheet'!C26,0)</f>
        <v>86.82</v>
      </c>
      <c r="E24" s="7">
        <f>IFERROR('Data Sheet'!D26,0)</f>
        <v>96.48</v>
      </c>
      <c r="F24" s="7">
        <f>IFERROR('Data Sheet'!E26,0)</f>
        <v>106</v>
      </c>
      <c r="G24" s="7">
        <f>IFERROR('Data Sheet'!F26,0)</f>
        <v>108.27</v>
      </c>
      <c r="H24" s="7">
        <f>IFERROR('Data Sheet'!G26,0)</f>
        <v>104.52</v>
      </c>
      <c r="I24" s="7">
        <f>IFERROR('Data Sheet'!H26,0)</f>
        <v>99.45</v>
      </c>
      <c r="J24" s="7">
        <f>IFERROR('Data Sheet'!I26,0)</f>
        <v>114.57</v>
      </c>
      <c r="K24" s="7">
        <f>IFERROR('Data Sheet'!J26,0)</f>
        <v>187.34</v>
      </c>
      <c r="L24" s="7">
        <f>IFERROR('Data Sheet'!K26,0)</f>
        <v>190.75</v>
      </c>
    </row>
    <row r="25" spans="2:12" outlineLevel="1" x14ac:dyDescent="0.3">
      <c r="B25" s="6" t="s">
        <v>68</v>
      </c>
      <c r="C25" s="6">
        <f>C24/C6</f>
        <v>4.9145571169759587E-2</v>
      </c>
      <c r="D25" s="6">
        <f t="shared" ref="D25:L25" si="8">D24/D6</f>
        <v>4.4660723563392811E-2</v>
      </c>
      <c r="E25" s="6">
        <f t="shared" si="8"/>
        <v>4.5671222112294033E-2</v>
      </c>
      <c r="F25" s="6">
        <f t="shared" si="8"/>
        <v>4.4640977047799534E-2</v>
      </c>
      <c r="G25" s="6">
        <f t="shared" si="8"/>
        <v>4.0265536092826057E-2</v>
      </c>
      <c r="H25" s="6">
        <f t="shared" si="8"/>
        <v>4.0215931696018038E-2</v>
      </c>
      <c r="I25" s="6">
        <f t="shared" si="8"/>
        <v>3.7789118101918526E-2</v>
      </c>
      <c r="J25" s="6">
        <f t="shared" si="8"/>
        <v>3.4459630168794136E-2</v>
      </c>
      <c r="K25" s="6">
        <f t="shared" si="8"/>
        <v>4.0251123696898344E-2</v>
      </c>
      <c r="L25" s="6">
        <f t="shared" si="8"/>
        <v>4.056620425801595E-2</v>
      </c>
    </row>
    <row r="26" spans="2:12" outlineLevel="1" x14ac:dyDescent="0.3"/>
    <row r="27" spans="2:12" outlineLevel="1" x14ac:dyDescent="0.3">
      <c r="B27" s="23" t="s">
        <v>70</v>
      </c>
      <c r="C27" s="25">
        <f>C18-SUM(C21,C24)</f>
        <v>108.66999999999993</v>
      </c>
      <c r="D27" s="25">
        <f t="shared" ref="D27:L27" si="9">D18-SUM(D21,D24)</f>
        <v>198.02000000000024</v>
      </c>
      <c r="E27" s="25">
        <f t="shared" si="9"/>
        <v>220.99999999999989</v>
      </c>
      <c r="F27" s="25">
        <f t="shared" si="9"/>
        <v>285.08999999999997</v>
      </c>
      <c r="G27" s="25">
        <f t="shared" si="9"/>
        <v>322.36000000000018</v>
      </c>
      <c r="H27" s="25">
        <f t="shared" si="9"/>
        <v>288.96999999999957</v>
      </c>
      <c r="I27" s="25">
        <f t="shared" si="9"/>
        <v>363.03000000000009</v>
      </c>
      <c r="J27" s="25">
        <f t="shared" si="9"/>
        <v>420.2</v>
      </c>
      <c r="K27" s="25">
        <f t="shared" si="9"/>
        <v>444.25999999999965</v>
      </c>
      <c r="L27" s="25">
        <f t="shared" si="9"/>
        <v>531.97999999999945</v>
      </c>
    </row>
    <row r="28" spans="2:12" outlineLevel="1" x14ac:dyDescent="0.3">
      <c r="B28" s="6" t="s">
        <v>71</v>
      </c>
      <c r="C28" s="6">
        <f>C27/C6</f>
        <v>5.3209616608725425E-2</v>
      </c>
      <c r="D28" s="6">
        <f t="shared" ref="D28:L28" si="10">D27/D6</f>
        <v>0.10186266390259222</v>
      </c>
      <c r="E28" s="6">
        <f t="shared" si="10"/>
        <v>0.1046158798384844</v>
      </c>
      <c r="F28" s="6">
        <f t="shared" si="10"/>
        <v>0.12006317119393556</v>
      </c>
      <c r="G28" s="6">
        <f t="shared" si="10"/>
        <v>0.11988545501878098</v>
      </c>
      <c r="H28" s="6">
        <f t="shared" si="10"/>
        <v>0.1111863545943199</v>
      </c>
      <c r="I28" s="6">
        <f t="shared" si="10"/>
        <v>0.13794453036238799</v>
      </c>
      <c r="J28" s="6">
        <f t="shared" si="10"/>
        <v>0.12638506238044248</v>
      </c>
      <c r="K28" s="6">
        <f t="shared" si="10"/>
        <v>9.5451928117775392E-2</v>
      </c>
      <c r="L28" s="6">
        <f t="shared" si="10"/>
        <v>0.11313451817132006</v>
      </c>
    </row>
    <row r="29" spans="2:12" outlineLevel="1" x14ac:dyDescent="0.3"/>
    <row r="30" spans="2:12" outlineLevel="1" x14ac:dyDescent="0.3">
      <c r="B30" t="s">
        <v>8</v>
      </c>
      <c r="C30">
        <f>IFERROR('Data Sheet'!B29,0)</f>
        <v>82.16</v>
      </c>
      <c r="D30">
        <f>IFERROR('Data Sheet'!C29,0)</f>
        <v>81.41</v>
      </c>
      <c r="E30">
        <f>IFERROR('Data Sheet'!D29,0)</f>
        <v>78.08</v>
      </c>
      <c r="F30">
        <f>IFERROR('Data Sheet'!E29,0)</f>
        <v>102.02</v>
      </c>
      <c r="G30">
        <f>IFERROR('Data Sheet'!F29,0)</f>
        <v>121.18</v>
      </c>
      <c r="H30">
        <f>IFERROR('Data Sheet'!G29,0)</f>
        <v>75.55</v>
      </c>
      <c r="I30">
        <f>IFERROR('Data Sheet'!H29,0)</f>
        <v>101.56</v>
      </c>
      <c r="J30">
        <f>IFERROR('Data Sheet'!I29,0)</f>
        <v>126.53</v>
      </c>
      <c r="K30">
        <f>IFERROR('Data Sheet'!J29,0)</f>
        <v>138.21</v>
      </c>
      <c r="L30">
        <f>IFERROR('Data Sheet'!K29,0)</f>
        <v>174.07</v>
      </c>
    </row>
    <row r="31" spans="2:12" outlineLevel="1" x14ac:dyDescent="0.3">
      <c r="B31" s="6"/>
      <c r="C31" s="6"/>
      <c r="D31" s="6"/>
      <c r="E31" s="6"/>
      <c r="F31" s="6"/>
      <c r="G31" s="6"/>
      <c r="H31" s="6"/>
      <c r="I31" s="6"/>
      <c r="J31" s="6"/>
      <c r="K31" s="6"/>
      <c r="L31" s="6"/>
    </row>
    <row r="32" spans="2:12" outlineLevel="1" x14ac:dyDescent="0.3"/>
    <row r="33" spans="1:12" outlineLevel="1" x14ac:dyDescent="0.3">
      <c r="B33" s="23" t="s">
        <v>9</v>
      </c>
      <c r="C33" s="25">
        <f>C27-C30</f>
        <v>26.509999999999934</v>
      </c>
      <c r="D33" s="25">
        <f t="shared" ref="D33:L33" si="11">D27-D30</f>
        <v>116.61000000000024</v>
      </c>
      <c r="E33" s="25">
        <f t="shared" si="11"/>
        <v>142.9199999999999</v>
      </c>
      <c r="F33" s="25">
        <f t="shared" si="11"/>
        <v>183.07</v>
      </c>
      <c r="G33" s="25">
        <f t="shared" si="11"/>
        <v>201.18000000000018</v>
      </c>
      <c r="H33" s="25">
        <f t="shared" si="11"/>
        <v>213.41999999999956</v>
      </c>
      <c r="I33" s="25">
        <f t="shared" si="11"/>
        <v>261.47000000000008</v>
      </c>
      <c r="J33" s="25">
        <f t="shared" si="11"/>
        <v>293.66999999999996</v>
      </c>
      <c r="K33" s="25">
        <f t="shared" si="11"/>
        <v>306.04999999999961</v>
      </c>
      <c r="L33" s="25">
        <f t="shared" si="11"/>
        <v>357.90999999999946</v>
      </c>
    </row>
    <row r="34" spans="1:12" outlineLevel="1" x14ac:dyDescent="0.3">
      <c r="B34" s="6" t="s">
        <v>73</v>
      </c>
      <c r="C34" s="6">
        <f>C33/C6</f>
        <v>1.2980463203251205E-2</v>
      </c>
      <c r="D34" s="6">
        <f t="shared" ref="D34:L34" si="12">D33/D6</f>
        <v>5.998487646541404E-2</v>
      </c>
      <c r="E34" s="6">
        <f t="shared" si="12"/>
        <v>6.765475812903253E-2</v>
      </c>
      <c r="F34" s="6">
        <f t="shared" si="12"/>
        <v>7.709833649189303E-2</v>
      </c>
      <c r="G34" s="6">
        <f t="shared" si="12"/>
        <v>7.4818699096284788E-2</v>
      </c>
      <c r="H34" s="6">
        <f t="shared" si="12"/>
        <v>8.2117146407999927E-2</v>
      </c>
      <c r="I34" s="6">
        <f t="shared" si="12"/>
        <v>9.9353652188121061E-2</v>
      </c>
      <c r="J34" s="6">
        <f t="shared" si="12"/>
        <v>8.8328180079163585E-2</v>
      </c>
      <c r="K34" s="6">
        <f t="shared" si="12"/>
        <v>6.575667987314894E-2</v>
      </c>
      <c r="L34" s="6">
        <f t="shared" si="12"/>
        <v>7.61155972004533E-2</v>
      </c>
    </row>
    <row r="35" spans="1:12" outlineLevel="1" x14ac:dyDescent="0.3"/>
    <row r="36" spans="1:12" outlineLevel="1" x14ac:dyDescent="0.3">
      <c r="B36" t="s">
        <v>74</v>
      </c>
      <c r="C36">
        <f>IFERROR('Data Sheet'!B93,0)</f>
        <v>18.82</v>
      </c>
      <c r="D36">
        <f>IFERROR('Data Sheet'!C93,0)</f>
        <v>18.84</v>
      </c>
      <c r="E36">
        <f>IFERROR('Data Sheet'!D93,0)</f>
        <v>18.87</v>
      </c>
      <c r="F36">
        <f>IFERROR('Data Sheet'!E93,0)</f>
        <v>18.899999999999999</v>
      </c>
      <c r="G36">
        <f>IFERROR('Data Sheet'!F93,0)</f>
        <v>18.920000000000002</v>
      </c>
      <c r="H36">
        <f>IFERROR('Data Sheet'!G93,0)</f>
        <v>18.940000000000001</v>
      </c>
      <c r="I36">
        <f>IFERROR('Data Sheet'!H93,0)</f>
        <v>18.96</v>
      </c>
      <c r="J36">
        <f>IFERROR('Data Sheet'!I93,0)</f>
        <v>18.989999999999998</v>
      </c>
      <c r="K36">
        <f>IFERROR('Data Sheet'!J93,0)</f>
        <v>18.989999999999998</v>
      </c>
      <c r="L36">
        <f>IFERROR('Data Sheet'!K93,0)</f>
        <v>19.03</v>
      </c>
    </row>
    <row r="37" spans="1:12" outlineLevel="1" x14ac:dyDescent="0.3"/>
    <row r="38" spans="1:12" outlineLevel="1" x14ac:dyDescent="0.3">
      <c r="B38" t="s">
        <v>31</v>
      </c>
      <c r="C38" s="4">
        <f>C33/C36</f>
        <v>1.4086078639744917</v>
      </c>
      <c r="D38" s="4">
        <f t="shared" ref="D38:L38" si="13">D33/D36</f>
        <v>6.1894904458598852</v>
      </c>
      <c r="E38" s="4">
        <f t="shared" si="13"/>
        <v>7.5739268680445093</v>
      </c>
      <c r="F38" s="4">
        <f t="shared" si="13"/>
        <v>9.6862433862433868</v>
      </c>
      <c r="G38" s="4">
        <f t="shared" si="13"/>
        <v>10.633192389006352</v>
      </c>
      <c r="H38" s="4">
        <f t="shared" si="13"/>
        <v>11.268215417106628</v>
      </c>
      <c r="I38" s="4">
        <f t="shared" si="13"/>
        <v>13.790611814345995</v>
      </c>
      <c r="J38" s="4">
        <f t="shared" si="13"/>
        <v>15.464454976303317</v>
      </c>
      <c r="K38" s="4">
        <f t="shared" si="13"/>
        <v>16.116377040547636</v>
      </c>
      <c r="L38" s="4">
        <f t="shared" si="13"/>
        <v>18.807672096689409</v>
      </c>
    </row>
    <row r="39" spans="1:12" outlineLevel="1" x14ac:dyDescent="0.3">
      <c r="B39" s="6" t="s">
        <v>76</v>
      </c>
      <c r="C39" s="6" t="s">
        <v>59</v>
      </c>
      <c r="D39" s="6">
        <f>(D38-C38)/C38</f>
        <v>3.3940479136583677</v>
      </c>
      <c r="E39" s="6">
        <f t="shared" ref="E39:L39" si="14">(E38-D38)/D38</f>
        <v>0.22367534683096019</v>
      </c>
      <c r="F39" s="6">
        <f t="shared" si="14"/>
        <v>0.2788931758914977</v>
      </c>
      <c r="G39" s="6">
        <f t="shared" si="14"/>
        <v>9.7762255706669784E-2</v>
      </c>
      <c r="H39" s="6">
        <f t="shared" si="14"/>
        <v>5.9720825587320885E-2</v>
      </c>
      <c r="I39" s="6">
        <f t="shared" si="14"/>
        <v>0.22385056585003149</v>
      </c>
      <c r="J39" s="6">
        <f t="shared" si="14"/>
        <v>0.12137555494209973</v>
      </c>
      <c r="K39" s="6">
        <f t="shared" si="14"/>
        <v>4.2156161678072734E-2</v>
      </c>
      <c r="L39" s="6">
        <f t="shared" si="14"/>
        <v>0.16699131879147958</v>
      </c>
    </row>
    <row r="40" spans="1:12" outlineLevel="1" x14ac:dyDescent="0.3"/>
    <row r="41" spans="1:12" outlineLevel="1" x14ac:dyDescent="0.3">
      <c r="B41" t="s">
        <v>75</v>
      </c>
      <c r="C41" s="4">
        <f>IFERROR('Data Sheet'!B31/'Historcial FS'!C36,0)</f>
        <v>1.2497343251859723</v>
      </c>
      <c r="D41" s="4">
        <f>IFERROR('Data Sheet'!C31/'Historcial FS'!D36,0)</f>
        <v>1.5</v>
      </c>
      <c r="E41" s="4">
        <f>IFERROR('Data Sheet'!D31/'Historcial FS'!E36,0)</f>
        <v>1.7498675145733971</v>
      </c>
      <c r="F41" s="4">
        <f>IFERROR('Data Sheet'!E31/'Historcial FS'!F36,0)</f>
        <v>2.24973544973545</v>
      </c>
      <c r="G41" s="4">
        <f>IFERROR('Data Sheet'!F31/'Historcial FS'!G36,0)</f>
        <v>2.75</v>
      </c>
      <c r="H41" s="4">
        <f>IFERROR('Data Sheet'!G31/'Historcial FS'!H36,0)</f>
        <v>2.7497360084477296</v>
      </c>
      <c r="I41" s="4">
        <f>IFERROR('Data Sheet'!H31/'Historcial FS'!I36,0)</f>
        <v>3</v>
      </c>
      <c r="J41" s="4">
        <f>IFERROR('Data Sheet'!I31/'Historcial FS'!J36,0)</f>
        <v>3.4997367035281726</v>
      </c>
      <c r="K41" s="4">
        <f>IFERROR('Data Sheet'!J31/'Historcial FS'!K36,0)</f>
        <v>3.4997367035281726</v>
      </c>
      <c r="L41" s="4">
        <f>IFERROR('Data Sheet'!K31/'Historcial FS'!L36,0)</f>
        <v>4</v>
      </c>
    </row>
    <row r="42" spans="1:12" outlineLevel="1" x14ac:dyDescent="0.3">
      <c r="B42" s="6" t="s">
        <v>77</v>
      </c>
      <c r="C42" s="6">
        <f>C41/C38</f>
        <v>0.88721237268955333</v>
      </c>
      <c r="D42" s="6">
        <f t="shared" ref="D42:L42" si="15">D41/D38</f>
        <v>0.24234628248006126</v>
      </c>
      <c r="E42" s="6">
        <f t="shared" si="15"/>
        <v>0.23103834312902344</v>
      </c>
      <c r="F42" s="6">
        <f t="shared" si="15"/>
        <v>0.2322608838149342</v>
      </c>
      <c r="G42" s="6">
        <f t="shared" si="15"/>
        <v>0.25862411770553712</v>
      </c>
      <c r="H42" s="6">
        <f t="shared" si="15"/>
        <v>0.24402586449255043</v>
      </c>
      <c r="I42" s="6">
        <f t="shared" si="15"/>
        <v>0.21753929705128688</v>
      </c>
      <c r="J42" s="6">
        <f t="shared" si="15"/>
        <v>0.22630844144788367</v>
      </c>
      <c r="K42" s="6">
        <f t="shared" si="15"/>
        <v>0.21715405979415156</v>
      </c>
      <c r="L42" s="6">
        <f t="shared" si="15"/>
        <v>0.21267916515325114</v>
      </c>
    </row>
    <row r="43" spans="1:12" outlineLevel="1" x14ac:dyDescent="0.3"/>
    <row r="44" spans="1:12" outlineLevel="1" x14ac:dyDescent="0.3">
      <c r="B44" t="s">
        <v>78</v>
      </c>
      <c r="C44" s="1">
        <f>IF(C38&gt;C41,1-C42,0)</f>
        <v>0.11278762731044667</v>
      </c>
      <c r="D44" s="1">
        <f t="shared" ref="D44:L44" si="16">IF(D38&gt;D41,1-D42,0)</f>
        <v>0.75765371751993871</v>
      </c>
      <c r="E44" s="1">
        <f t="shared" si="16"/>
        <v>0.76896165687097651</v>
      </c>
      <c r="F44" s="1">
        <f t="shared" si="16"/>
        <v>0.76773911618506574</v>
      </c>
      <c r="G44" s="1">
        <f t="shared" si="16"/>
        <v>0.74137588229446294</v>
      </c>
      <c r="H44" s="1">
        <f t="shared" si="16"/>
        <v>0.75597413550744963</v>
      </c>
      <c r="I44" s="1">
        <f t="shared" si="16"/>
        <v>0.78246070294871317</v>
      </c>
      <c r="J44" s="1">
        <f t="shared" si="16"/>
        <v>0.77369155855211635</v>
      </c>
      <c r="K44" s="1">
        <f t="shared" si="16"/>
        <v>0.78284594020584841</v>
      </c>
      <c r="L44" s="1">
        <f t="shared" si="16"/>
        <v>0.78732083484674886</v>
      </c>
    </row>
    <row r="47" spans="1:12" x14ac:dyDescent="0.3">
      <c r="A47" t="s">
        <v>57</v>
      </c>
      <c r="B47" s="22" t="s">
        <v>79</v>
      </c>
      <c r="C47" s="8"/>
      <c r="D47" s="8"/>
      <c r="E47" s="8"/>
      <c r="F47" s="8"/>
      <c r="G47" s="8"/>
      <c r="H47" s="8"/>
      <c r="I47" s="8"/>
      <c r="J47" s="8"/>
      <c r="K47" s="8"/>
      <c r="L47" s="8"/>
    </row>
    <row r="49" spans="2:12" outlineLevel="1" x14ac:dyDescent="0.3">
      <c r="B49" t="s">
        <v>11</v>
      </c>
      <c r="C49" s="4">
        <f>IFERROR('Data Sheet'!B57,0)</f>
        <v>18.82</v>
      </c>
      <c r="D49" s="4">
        <f>IFERROR('Data Sheet'!C57,0)</f>
        <v>18.84</v>
      </c>
      <c r="E49" s="4">
        <f>IFERROR('Data Sheet'!D57,0)</f>
        <v>18.87</v>
      </c>
      <c r="F49" s="4">
        <f>IFERROR('Data Sheet'!E57,0)</f>
        <v>18.899999999999999</v>
      </c>
      <c r="G49" s="4">
        <f>IFERROR('Data Sheet'!F57,0)</f>
        <v>18.920000000000002</v>
      </c>
      <c r="H49" s="4">
        <f>IFERROR('Data Sheet'!G57,0)</f>
        <v>18.940000000000001</v>
      </c>
      <c r="I49" s="4">
        <f>IFERROR('Data Sheet'!H57,0)</f>
        <v>18.96</v>
      </c>
      <c r="J49" s="4">
        <f>IFERROR('Data Sheet'!I57,0)</f>
        <v>18.989999999999998</v>
      </c>
      <c r="K49" s="4">
        <f>IFERROR('Data Sheet'!J57,0)</f>
        <v>18.989999999999998</v>
      </c>
      <c r="L49" s="4">
        <f>IFERROR('Data Sheet'!K57,0)</f>
        <v>19.03</v>
      </c>
    </row>
    <row r="50" spans="2:12" outlineLevel="1" x14ac:dyDescent="0.3">
      <c r="B50" t="s">
        <v>12</v>
      </c>
      <c r="C50" s="4">
        <f>IFERROR('Data Sheet'!B58,0)</f>
        <v>1069.8900000000001</v>
      </c>
      <c r="D50" s="4">
        <f>IFERROR('Data Sheet'!C58,0)</f>
        <v>1173.42</v>
      </c>
      <c r="E50" s="4">
        <f>IFERROR('Data Sheet'!D58,0)</f>
        <v>1363.92</v>
      </c>
      <c r="F50" s="4">
        <f>IFERROR('Data Sheet'!E58,0)</f>
        <v>1545.45</v>
      </c>
      <c r="G50" s="4">
        <f>IFERROR('Data Sheet'!F58,0)</f>
        <v>1705.19</v>
      </c>
      <c r="H50" s="4">
        <f>IFERROR('Data Sheet'!G58,0)</f>
        <v>1839.41</v>
      </c>
      <c r="I50" s="4">
        <f>IFERROR('Data Sheet'!H58,0)</f>
        <v>2112.5100000000002</v>
      </c>
      <c r="J50" s="4">
        <f>IFERROR('Data Sheet'!I58,0)</f>
        <v>2344.79</v>
      </c>
      <c r="K50" s="4">
        <f>IFERROR('Data Sheet'!J58,0)</f>
        <v>2801.57</v>
      </c>
      <c r="L50" s="4">
        <f>IFERROR('Data Sheet'!K58,0)</f>
        <v>3106.68</v>
      </c>
    </row>
    <row r="51" spans="2:12" outlineLevel="1" x14ac:dyDescent="0.3">
      <c r="B51" t="s">
        <v>37</v>
      </c>
      <c r="C51" s="4">
        <f>IFERROR('Data Sheet'!B59,0)</f>
        <v>340.17</v>
      </c>
      <c r="D51" s="4">
        <f>IFERROR('Data Sheet'!C59,0)</f>
        <v>319.86</v>
      </c>
      <c r="E51" s="4">
        <f>IFERROR('Data Sheet'!D59,0)</f>
        <v>155.94999999999999</v>
      </c>
      <c r="F51" s="4">
        <f>IFERROR('Data Sheet'!E59,0)</f>
        <v>129.36000000000001</v>
      </c>
      <c r="G51" s="4">
        <f>IFERROR('Data Sheet'!F59,0)</f>
        <v>96.75</v>
      </c>
      <c r="H51" s="4">
        <f>IFERROR('Data Sheet'!G59,0)</f>
        <v>70.34</v>
      </c>
      <c r="I51" s="4">
        <f>IFERROR('Data Sheet'!H59,0)</f>
        <v>61.72</v>
      </c>
      <c r="J51" s="4">
        <f>IFERROR('Data Sheet'!I59,0)</f>
        <v>239.99</v>
      </c>
      <c r="K51" s="4">
        <f>IFERROR('Data Sheet'!J59,0)</f>
        <v>277.26</v>
      </c>
      <c r="L51" s="4">
        <f>IFERROR('Data Sheet'!K59,0)</f>
        <v>171.89</v>
      </c>
    </row>
    <row r="52" spans="2:12" outlineLevel="1" x14ac:dyDescent="0.3">
      <c r="B52" t="s">
        <v>38</v>
      </c>
      <c r="C52" s="4">
        <f>IFERROR('Data Sheet'!B60,0)</f>
        <v>386.78</v>
      </c>
      <c r="D52" s="4">
        <f>IFERROR('Data Sheet'!C60,0)</f>
        <v>347.94</v>
      </c>
      <c r="E52" s="4">
        <f>IFERROR('Data Sheet'!D60,0)</f>
        <v>374.49</v>
      </c>
      <c r="F52" s="4">
        <f>IFERROR('Data Sheet'!E60,0)</f>
        <v>393.85</v>
      </c>
      <c r="G52" s="4">
        <f>IFERROR('Data Sheet'!F60,0)</f>
        <v>401.07</v>
      </c>
      <c r="H52" s="4">
        <f>IFERROR('Data Sheet'!G60,0)</f>
        <v>353.82</v>
      </c>
      <c r="I52" s="4">
        <f>IFERROR('Data Sheet'!H60,0)</f>
        <v>485.67</v>
      </c>
      <c r="J52" s="4">
        <f>IFERROR('Data Sheet'!I60,0)</f>
        <v>692.14</v>
      </c>
      <c r="K52" s="4">
        <f>IFERROR('Data Sheet'!J60,0)</f>
        <v>774.09</v>
      </c>
      <c r="L52" s="4">
        <f>IFERROR('Data Sheet'!K60,0)</f>
        <v>793.47</v>
      </c>
    </row>
    <row r="53" spans="2:12" outlineLevel="1" x14ac:dyDescent="0.3">
      <c r="B53" s="23" t="s">
        <v>80</v>
      </c>
      <c r="C53" s="25">
        <f>IFERROR('Data Sheet'!B61,0)</f>
        <v>1815.66</v>
      </c>
      <c r="D53" s="25">
        <f>IFERROR('Data Sheet'!C61,0)</f>
        <v>1860.06</v>
      </c>
      <c r="E53" s="25">
        <f>IFERROR('Data Sheet'!D61,0)</f>
        <v>1913.23</v>
      </c>
      <c r="F53" s="25">
        <f>IFERROR('Data Sheet'!E61,0)</f>
        <v>2087.56</v>
      </c>
      <c r="G53" s="25">
        <f>IFERROR('Data Sheet'!F61,0)</f>
        <v>2221.9299999999998</v>
      </c>
      <c r="H53" s="25">
        <f>IFERROR('Data Sheet'!G61,0)</f>
        <v>2282.5100000000002</v>
      </c>
      <c r="I53" s="25">
        <f>IFERROR('Data Sheet'!H61,0)</f>
        <v>2678.86</v>
      </c>
      <c r="J53" s="25">
        <f>IFERROR('Data Sheet'!I61,0)</f>
        <v>3295.91</v>
      </c>
      <c r="K53" s="25">
        <f>IFERROR('Data Sheet'!J61,0)</f>
        <v>3871.91</v>
      </c>
      <c r="L53" s="25">
        <f>IFERROR('Data Sheet'!K61,0)</f>
        <v>4091.07</v>
      </c>
    </row>
    <row r="54" spans="2:12" outlineLevel="1" x14ac:dyDescent="0.3">
      <c r="C54" s="4"/>
      <c r="D54" s="4"/>
      <c r="E54" s="4"/>
      <c r="F54" s="4"/>
      <c r="G54" s="4"/>
      <c r="H54" s="4"/>
      <c r="I54" s="4"/>
      <c r="J54" s="4"/>
      <c r="K54" s="4"/>
      <c r="L54" s="4"/>
    </row>
    <row r="55" spans="2:12" outlineLevel="1" x14ac:dyDescent="0.3">
      <c r="B55" t="s">
        <v>82</v>
      </c>
      <c r="C55" s="4">
        <f>IFERROR('Data Sheet'!B62,0)</f>
        <v>792.72</v>
      </c>
      <c r="D55" s="4">
        <f>IFERROR('Data Sheet'!C62,0)</f>
        <v>659.14</v>
      </c>
      <c r="E55" s="4">
        <f>IFERROR('Data Sheet'!D62,0)</f>
        <v>704.81</v>
      </c>
      <c r="F55" s="4">
        <f>IFERROR('Data Sheet'!E62,0)</f>
        <v>735.65</v>
      </c>
      <c r="G55" s="4">
        <f>IFERROR('Data Sheet'!F62,0)</f>
        <v>695.02</v>
      </c>
      <c r="H55" s="4">
        <f>IFERROR('Data Sheet'!G62,0)</f>
        <v>748.37</v>
      </c>
      <c r="I55" s="4">
        <f>IFERROR('Data Sheet'!H62,0)</f>
        <v>777.13</v>
      </c>
      <c r="J55" s="4">
        <f>IFERROR('Data Sheet'!I62,0)</f>
        <v>1006.13</v>
      </c>
      <c r="K55" s="4">
        <f>IFERROR('Data Sheet'!J62,0)</f>
        <v>1526.74</v>
      </c>
      <c r="L55" s="4">
        <f>IFERROR('Data Sheet'!K62,0)</f>
        <v>1555.03</v>
      </c>
    </row>
    <row r="56" spans="2:12" outlineLevel="1" x14ac:dyDescent="0.3">
      <c r="B56" t="s">
        <v>15</v>
      </c>
      <c r="C56" s="4">
        <f>IFERROR('Data Sheet'!B63,0)</f>
        <v>43.32</v>
      </c>
      <c r="D56" s="4">
        <f>IFERROR('Data Sheet'!C63,0)</f>
        <v>84.54</v>
      </c>
      <c r="E56" s="4">
        <f>IFERROR('Data Sheet'!D63,0)</f>
        <v>72.599999999999994</v>
      </c>
      <c r="F56" s="4">
        <f>IFERROR('Data Sheet'!E63,0)</f>
        <v>30.28</v>
      </c>
      <c r="G56" s="4">
        <f>IFERROR('Data Sheet'!F63,0)</f>
        <v>46.39</v>
      </c>
      <c r="H56" s="4">
        <f>IFERROR('Data Sheet'!G63,0)</f>
        <v>38.65</v>
      </c>
      <c r="I56" s="4">
        <f>IFERROR('Data Sheet'!H63,0)</f>
        <v>28.02</v>
      </c>
      <c r="J56" s="4">
        <f>IFERROR('Data Sheet'!I63,0)</f>
        <v>57.7</v>
      </c>
      <c r="K56" s="4">
        <f>IFERROR('Data Sheet'!J63,0)</f>
        <v>87.47</v>
      </c>
      <c r="L56" s="4">
        <f>IFERROR('Data Sheet'!K63,0)</f>
        <v>84.07</v>
      </c>
    </row>
    <row r="57" spans="2:12" outlineLevel="1" x14ac:dyDescent="0.3">
      <c r="B57" t="s">
        <v>16</v>
      </c>
      <c r="C57" s="4">
        <f>IFERROR('Data Sheet'!B64,0)</f>
        <v>41.13</v>
      </c>
      <c r="D57" s="4">
        <f>IFERROR('Data Sheet'!C64,0)</f>
        <v>131.01</v>
      </c>
      <c r="E57" s="4">
        <f>IFERROR('Data Sheet'!D64,0)</f>
        <v>124.46</v>
      </c>
      <c r="F57" s="4">
        <f>IFERROR('Data Sheet'!E64,0)</f>
        <v>180.29</v>
      </c>
      <c r="G57" s="4">
        <f>IFERROR('Data Sheet'!F64,0)</f>
        <v>226.52</v>
      </c>
      <c r="H57" s="4">
        <f>IFERROR('Data Sheet'!G64,0)</f>
        <v>188.69</v>
      </c>
      <c r="I57" s="4">
        <f>IFERROR('Data Sheet'!H64,0)</f>
        <v>127.05</v>
      </c>
      <c r="J57" s="4">
        <f>IFERROR('Data Sheet'!I64,0)</f>
        <v>137.82</v>
      </c>
      <c r="K57" s="4">
        <f>IFERROR('Data Sheet'!J64,0)</f>
        <v>161.22999999999999</v>
      </c>
      <c r="L57" s="4">
        <f>IFERROR('Data Sheet'!K64,0)</f>
        <v>171.57</v>
      </c>
    </row>
    <row r="58" spans="2:12" outlineLevel="1" x14ac:dyDescent="0.3">
      <c r="B58" t="s">
        <v>39</v>
      </c>
      <c r="C58" s="4">
        <f>IFERROR('Data Sheet'!B65-SUM('Data Sheet'!B67:B69),0)</f>
        <v>80.700000000000045</v>
      </c>
      <c r="D58" s="4">
        <f>IFERROR('Data Sheet'!C65-SUM('Data Sheet'!C67:C69),0)</f>
        <v>134.20999999999992</v>
      </c>
      <c r="E58" s="4">
        <f>IFERROR('Data Sheet'!D65-SUM('Data Sheet'!D67:D69),0)</f>
        <v>118.0200000000001</v>
      </c>
      <c r="F58" s="4">
        <f>IFERROR('Data Sheet'!E65-SUM('Data Sheet'!E67:E69),0)</f>
        <v>99.349999999999909</v>
      </c>
      <c r="G58" s="4">
        <f>IFERROR('Data Sheet'!F65-SUM('Data Sheet'!F67:F69),0)</f>
        <v>109.71000000000004</v>
      </c>
      <c r="H58" s="4">
        <f>IFERROR('Data Sheet'!G65-SUM('Data Sheet'!G67:G69),0)</f>
        <v>103.63999999999987</v>
      </c>
      <c r="I58" s="4">
        <f>IFERROR('Data Sheet'!H65-SUM('Data Sheet'!H67:H69),0)</f>
        <v>119.56999999999994</v>
      </c>
      <c r="J58" s="4">
        <f>IFERROR('Data Sheet'!I65-SUM('Data Sheet'!I67:I69),0)</f>
        <v>567.02000000000021</v>
      </c>
      <c r="K58" s="4">
        <f>IFERROR('Data Sheet'!J65-SUM('Data Sheet'!J67:J69),0)</f>
        <v>170.04999999999973</v>
      </c>
      <c r="L58" s="4">
        <f>IFERROR('Data Sheet'!K65-SUM('Data Sheet'!K67:K69),0)</f>
        <v>193.26999999999998</v>
      </c>
    </row>
    <row r="59" spans="2:12" outlineLevel="1" x14ac:dyDescent="0.3">
      <c r="B59" s="23" t="s">
        <v>81</v>
      </c>
      <c r="C59" s="25">
        <f>SUM(C55:C58)</f>
        <v>957.87000000000012</v>
      </c>
      <c r="D59" s="25">
        <f t="shared" ref="D59:L59" si="17">SUM(D55:D58)</f>
        <v>1008.8999999999999</v>
      </c>
      <c r="E59" s="25">
        <f t="shared" si="17"/>
        <v>1019.8900000000001</v>
      </c>
      <c r="F59" s="25">
        <f t="shared" si="17"/>
        <v>1045.5699999999997</v>
      </c>
      <c r="G59" s="25">
        <f t="shared" si="17"/>
        <v>1077.6399999999999</v>
      </c>
      <c r="H59" s="25">
        <f t="shared" si="17"/>
        <v>1079.3499999999999</v>
      </c>
      <c r="I59" s="25">
        <f t="shared" si="17"/>
        <v>1051.77</v>
      </c>
      <c r="J59" s="25">
        <f t="shared" si="17"/>
        <v>1768.67</v>
      </c>
      <c r="K59" s="25">
        <f t="shared" si="17"/>
        <v>1945.4899999999998</v>
      </c>
      <c r="L59" s="25">
        <f t="shared" si="17"/>
        <v>2003.9399999999998</v>
      </c>
    </row>
    <row r="60" spans="2:12" outlineLevel="1" x14ac:dyDescent="0.3"/>
    <row r="61" spans="2:12" outlineLevel="1" x14ac:dyDescent="0.3">
      <c r="B61" t="s">
        <v>44</v>
      </c>
      <c r="C61" s="4">
        <f>IFERROR('Data Sheet'!B67,0)</f>
        <v>370.29</v>
      </c>
      <c r="D61" s="4">
        <f>IFERROR('Data Sheet'!C67,0)</f>
        <v>367.48</v>
      </c>
      <c r="E61" s="4">
        <f>IFERROR('Data Sheet'!D67,0)</f>
        <v>380.58</v>
      </c>
      <c r="F61" s="4">
        <f>IFERROR('Data Sheet'!E67,0)</f>
        <v>475.06</v>
      </c>
      <c r="G61" s="4">
        <f>IFERROR('Data Sheet'!F67,0)</f>
        <v>513.91999999999996</v>
      </c>
      <c r="H61" s="4">
        <f>IFERROR('Data Sheet'!G67,0)</f>
        <v>401.56</v>
      </c>
      <c r="I61" s="4">
        <f>IFERROR('Data Sheet'!H67,0)</f>
        <v>477.62</v>
      </c>
      <c r="J61" s="4">
        <f>IFERROR('Data Sheet'!I67,0)</f>
        <v>484.77</v>
      </c>
      <c r="K61" s="4">
        <f>IFERROR('Data Sheet'!J67,0)</f>
        <v>627.38</v>
      </c>
      <c r="L61" s="4">
        <f>IFERROR('Data Sheet'!K67,0)</f>
        <v>679.04</v>
      </c>
    </row>
    <row r="62" spans="2:12" outlineLevel="1" x14ac:dyDescent="0.3">
      <c r="B62" t="s">
        <v>30</v>
      </c>
      <c r="C62" s="4">
        <f>IFERROR('Data Sheet'!B68,0)</f>
        <v>388.33</v>
      </c>
      <c r="D62" s="4">
        <f>IFERROR('Data Sheet'!C68,0)</f>
        <v>370.43</v>
      </c>
      <c r="E62" s="4">
        <f>IFERROR('Data Sheet'!D68,0)</f>
        <v>386.7</v>
      </c>
      <c r="F62" s="4">
        <f>IFERROR('Data Sheet'!E68,0)</f>
        <v>438.02</v>
      </c>
      <c r="G62" s="4">
        <f>IFERROR('Data Sheet'!F68,0)</f>
        <v>532.86</v>
      </c>
      <c r="H62" s="4">
        <f>IFERROR('Data Sheet'!G68,0)</f>
        <v>507.62</v>
      </c>
      <c r="I62" s="4">
        <f>IFERROR('Data Sheet'!H68,0)</f>
        <v>460.52</v>
      </c>
      <c r="J62" s="4">
        <f>IFERROR('Data Sheet'!I68,0)</f>
        <v>690.9</v>
      </c>
      <c r="K62" s="4">
        <f>IFERROR('Data Sheet'!J68,0)</f>
        <v>898.93</v>
      </c>
      <c r="L62" s="4">
        <f>IFERROR('Data Sheet'!K68,0)</f>
        <v>850.17</v>
      </c>
    </row>
    <row r="63" spans="2:12" outlineLevel="1" x14ac:dyDescent="0.3">
      <c r="B63" t="s">
        <v>53</v>
      </c>
      <c r="C63" s="4">
        <f>IFERROR('Data Sheet'!B69,0)</f>
        <v>99.17</v>
      </c>
      <c r="D63" s="4">
        <f>IFERROR('Data Sheet'!C69,0)</f>
        <v>113.25</v>
      </c>
      <c r="E63" s="4">
        <f>IFERROR('Data Sheet'!D69,0)</f>
        <v>126.06</v>
      </c>
      <c r="F63" s="4">
        <f>IFERROR('Data Sheet'!E69,0)</f>
        <v>128.91</v>
      </c>
      <c r="G63" s="4">
        <f>IFERROR('Data Sheet'!F69,0)</f>
        <v>97.51</v>
      </c>
      <c r="H63" s="4">
        <f>IFERROR('Data Sheet'!G69,0)</f>
        <v>293.98</v>
      </c>
      <c r="I63" s="4">
        <f>IFERROR('Data Sheet'!H69,0)</f>
        <v>688.95</v>
      </c>
      <c r="J63" s="4">
        <f>IFERROR('Data Sheet'!I69,0)</f>
        <v>351.57</v>
      </c>
      <c r="K63" s="4">
        <f>IFERROR('Data Sheet'!J69,0)</f>
        <v>400.11</v>
      </c>
      <c r="L63" s="4">
        <f>IFERROR('Data Sheet'!K69,0)</f>
        <v>557.91999999999996</v>
      </c>
    </row>
    <row r="64" spans="2:12" outlineLevel="1" x14ac:dyDescent="0.3">
      <c r="B64" t="s">
        <v>83</v>
      </c>
      <c r="C64" s="20">
        <f>SUM(C61:C63)</f>
        <v>857.79</v>
      </c>
      <c r="D64" s="20">
        <f t="shared" ref="D64:L64" si="18">SUM(D61:D63)</f>
        <v>851.16000000000008</v>
      </c>
      <c r="E64" s="20">
        <f t="shared" si="18"/>
        <v>893.33999999999992</v>
      </c>
      <c r="F64" s="20">
        <f t="shared" si="18"/>
        <v>1041.99</v>
      </c>
      <c r="G64" s="20">
        <f t="shared" si="18"/>
        <v>1144.29</v>
      </c>
      <c r="H64" s="20">
        <f t="shared" si="18"/>
        <v>1203.1600000000001</v>
      </c>
      <c r="I64" s="20">
        <f t="shared" si="18"/>
        <v>1627.0900000000001</v>
      </c>
      <c r="J64" s="20">
        <f t="shared" si="18"/>
        <v>1527.24</v>
      </c>
      <c r="K64" s="20">
        <f t="shared" si="18"/>
        <v>1926.42</v>
      </c>
      <c r="L64" s="20">
        <f t="shared" si="18"/>
        <v>2087.13</v>
      </c>
    </row>
    <row r="65" spans="1:12" outlineLevel="1" x14ac:dyDescent="0.3"/>
    <row r="66" spans="1:12" outlineLevel="1" x14ac:dyDescent="0.3">
      <c r="B66" s="23" t="s">
        <v>84</v>
      </c>
      <c r="C66" s="25">
        <f>SUM(C59,C64)</f>
        <v>1815.66</v>
      </c>
      <c r="D66" s="25">
        <f t="shared" ref="D66:L66" si="19">SUM(D59,D64)</f>
        <v>1860.06</v>
      </c>
      <c r="E66" s="25">
        <f t="shared" si="19"/>
        <v>1913.23</v>
      </c>
      <c r="F66" s="25">
        <f t="shared" si="19"/>
        <v>2087.5599999999995</v>
      </c>
      <c r="G66" s="25">
        <f t="shared" si="19"/>
        <v>2221.9299999999998</v>
      </c>
      <c r="H66" s="25">
        <f t="shared" si="19"/>
        <v>2282.5100000000002</v>
      </c>
      <c r="I66" s="25">
        <f t="shared" si="19"/>
        <v>2678.86</v>
      </c>
      <c r="J66" s="25">
        <f t="shared" si="19"/>
        <v>3295.91</v>
      </c>
      <c r="K66" s="25">
        <f t="shared" si="19"/>
        <v>3871.91</v>
      </c>
      <c r="L66" s="25">
        <f t="shared" si="19"/>
        <v>4091.0699999999997</v>
      </c>
    </row>
    <row r="67" spans="1:12" outlineLevel="1" x14ac:dyDescent="0.3">
      <c r="B67" s="21" t="s">
        <v>85</v>
      </c>
      <c r="C67" s="21" t="b">
        <f>C66=C53</f>
        <v>1</v>
      </c>
      <c r="D67" s="21" t="b">
        <f t="shared" ref="D67:L67" si="20">D66=D53</f>
        <v>1</v>
      </c>
      <c r="E67" s="21" t="b">
        <f t="shared" si="20"/>
        <v>1</v>
      </c>
      <c r="F67" s="21" t="b">
        <f t="shared" si="20"/>
        <v>1</v>
      </c>
      <c r="G67" s="21" t="b">
        <f t="shared" si="20"/>
        <v>1</v>
      </c>
      <c r="H67" s="21" t="b">
        <f t="shared" si="20"/>
        <v>1</v>
      </c>
      <c r="I67" s="21" t="b">
        <f t="shared" si="20"/>
        <v>1</v>
      </c>
      <c r="J67" s="21" t="b">
        <f t="shared" si="20"/>
        <v>1</v>
      </c>
      <c r="K67" s="21" t="b">
        <f t="shared" si="20"/>
        <v>1</v>
      </c>
      <c r="L67" s="21" t="b">
        <f t="shared" si="20"/>
        <v>1</v>
      </c>
    </row>
    <row r="68" spans="1:12" outlineLevel="1" x14ac:dyDescent="0.3"/>
    <row r="69" spans="1:12" outlineLevel="1" x14ac:dyDescent="0.3"/>
    <row r="71" spans="1:12" x14ac:dyDescent="0.3">
      <c r="A71" t="s">
        <v>57</v>
      </c>
      <c r="B71" s="22" t="s">
        <v>86</v>
      </c>
      <c r="C71" s="8"/>
      <c r="D71" s="8"/>
      <c r="E71" s="8"/>
      <c r="F71" s="8"/>
      <c r="G71" s="8"/>
      <c r="H71" s="8"/>
      <c r="I71" s="8"/>
      <c r="J71" s="8"/>
      <c r="K71" s="8"/>
      <c r="L71" s="8"/>
    </row>
    <row r="72" spans="1:12" x14ac:dyDescent="0.3">
      <c r="B72" t="s">
        <v>18</v>
      </c>
      <c r="C72" s="4">
        <f>IFERROR('Data Sheet'!B82,0)</f>
        <v>325.76</v>
      </c>
      <c r="D72" s="4">
        <f>IFERROR('Data Sheet'!C82,0)</f>
        <v>177.76</v>
      </c>
      <c r="E72" s="4">
        <f>IFERROR('Data Sheet'!D82,0)</f>
        <v>295.26</v>
      </c>
      <c r="F72" s="4">
        <f>IFERROR('Data Sheet'!E82,0)</f>
        <v>212.98</v>
      </c>
      <c r="G72" s="4">
        <f>IFERROR('Data Sheet'!F82,0)</f>
        <v>201.83</v>
      </c>
      <c r="H72" s="4">
        <f>IFERROR('Data Sheet'!G82,0)</f>
        <v>406.86</v>
      </c>
      <c r="I72" s="4">
        <f>IFERROR('Data Sheet'!H82,0)</f>
        <v>450.76</v>
      </c>
      <c r="J72" s="4">
        <f>IFERROR('Data Sheet'!I82,0)</f>
        <v>244.53</v>
      </c>
      <c r="K72" s="4">
        <f>IFERROR('Data Sheet'!J82,0)</f>
        <v>430.17</v>
      </c>
      <c r="L72" s="4">
        <f>IFERROR('Data Sheet'!K82,0)</f>
        <v>601.51</v>
      </c>
    </row>
    <row r="73" spans="1:12" x14ac:dyDescent="0.3">
      <c r="B73" t="s">
        <v>19</v>
      </c>
      <c r="C73" s="4">
        <f>IFERROR('Data Sheet'!B83,0)</f>
        <v>-136.08000000000001</v>
      </c>
      <c r="D73" s="4">
        <f>IFERROR('Data Sheet'!C83,0)</f>
        <v>-75.11</v>
      </c>
      <c r="E73" s="4">
        <f>IFERROR('Data Sheet'!D83,0)</f>
        <v>-71.95</v>
      </c>
      <c r="F73" s="4">
        <f>IFERROR('Data Sheet'!E83,0)</f>
        <v>-74.86</v>
      </c>
      <c r="G73" s="4">
        <f>IFERROR('Data Sheet'!F83,0)</f>
        <v>-85.3</v>
      </c>
      <c r="H73" s="4">
        <f>IFERROR('Data Sheet'!G83,0)</f>
        <v>-104.8</v>
      </c>
      <c r="I73" s="4">
        <f>IFERROR('Data Sheet'!H83,0)</f>
        <v>-265.81</v>
      </c>
      <c r="J73" s="4">
        <f>IFERROR('Data Sheet'!I83,0)</f>
        <v>-464.78</v>
      </c>
      <c r="K73" s="4">
        <f>IFERROR('Data Sheet'!J83,0)</f>
        <v>-247.89</v>
      </c>
      <c r="L73" s="4">
        <f>IFERROR('Data Sheet'!K83,0)</f>
        <v>-228.99</v>
      </c>
    </row>
    <row r="74" spans="1:12" x14ac:dyDescent="0.3">
      <c r="B74" t="s">
        <v>20</v>
      </c>
      <c r="C74" s="4">
        <f>IFERROR('Data Sheet'!B84,0)</f>
        <v>-161.51</v>
      </c>
      <c r="D74" s="4">
        <f>IFERROR('Data Sheet'!C84,0)</f>
        <v>-85.59</v>
      </c>
      <c r="E74" s="4">
        <f>IFERROR('Data Sheet'!D84,0)</f>
        <v>-207.1</v>
      </c>
      <c r="F74" s="4">
        <f>IFERROR('Data Sheet'!E84,0)</f>
        <v>-83.24</v>
      </c>
      <c r="G74" s="4">
        <f>IFERROR('Data Sheet'!F84,0)</f>
        <v>-109.15</v>
      </c>
      <c r="H74" s="4">
        <f>IFERROR('Data Sheet'!G84,0)</f>
        <v>-134.55000000000001</v>
      </c>
      <c r="I74" s="4">
        <f>IFERROR('Data Sheet'!H84,0)</f>
        <v>-66.19</v>
      </c>
      <c r="J74" s="4">
        <f>IFERROR('Data Sheet'!I84,0)</f>
        <v>89.43</v>
      </c>
      <c r="K74" s="4">
        <f>IFERROR('Data Sheet'!J84,0)</f>
        <v>-133.41</v>
      </c>
      <c r="L74" s="4">
        <f>IFERROR('Data Sheet'!K84,0)</f>
        <v>-214.01</v>
      </c>
    </row>
    <row r="75" spans="1:12" x14ac:dyDescent="0.3">
      <c r="B75" s="19" t="s">
        <v>21</v>
      </c>
      <c r="C75" s="20">
        <f>SUM(C72:C74)</f>
        <v>28.169999999999987</v>
      </c>
      <c r="D75" s="20">
        <f t="shared" ref="D75:L75" si="21">SUM(D72:D74)</f>
        <v>17.059999999999988</v>
      </c>
      <c r="E75" s="20">
        <f t="shared" si="21"/>
        <v>16.210000000000008</v>
      </c>
      <c r="F75" s="20">
        <f t="shared" si="21"/>
        <v>54.88000000000001</v>
      </c>
      <c r="G75" s="20">
        <f t="shared" si="21"/>
        <v>7.3800000000000097</v>
      </c>
      <c r="H75" s="20">
        <f t="shared" si="21"/>
        <v>167.51</v>
      </c>
      <c r="I75" s="20">
        <f t="shared" si="21"/>
        <v>118.75999999999999</v>
      </c>
      <c r="J75" s="20">
        <f t="shared" si="21"/>
        <v>-130.81999999999996</v>
      </c>
      <c r="K75" s="20">
        <f t="shared" si="21"/>
        <v>48.870000000000033</v>
      </c>
      <c r="L75" s="20">
        <f t="shared" si="21"/>
        <v>158.51</v>
      </c>
    </row>
  </sheetData>
  <pageMargins left="0.7" right="0.7" top="0.75" bottom="0.75" header="0.3" footer="0.3"/>
  <pageSetup paperSize="9" scale="44" orientation="portrait" r:id="rId1"/>
  <ignoredErrors>
    <ignoredError sqref="C15:L15"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CA32E-DC0A-4629-9210-AAAE4A01519F}">
  <sheetPr>
    <tabColor rgb="FF0070C0"/>
  </sheetPr>
  <dimension ref="A1:L40"/>
  <sheetViews>
    <sheetView showGridLines="0" zoomScaleNormal="100" workbookViewId="0">
      <pane ySplit="3" topLeftCell="A24" activePane="bottomLeft" state="frozen"/>
      <selection pane="bottomLeft" activeCell="C34" sqref="C34:C40"/>
    </sheetView>
  </sheetViews>
  <sheetFormatPr defaultRowHeight="14.4" outlineLevelRow="1" x14ac:dyDescent="0.3"/>
  <cols>
    <col min="1" max="1" width="2.33203125" customWidth="1"/>
    <col min="2" max="2" width="21.5546875" customWidth="1"/>
    <col min="3" max="12" width="12" bestFit="1" customWidth="1"/>
  </cols>
  <sheetData>
    <row r="1" spans="1:12" x14ac:dyDescent="0.3">
      <c r="B1" s="75"/>
    </row>
    <row r="2" spans="1:12" x14ac:dyDescent="0.3">
      <c r="B2" s="2"/>
      <c r="C2" s="2"/>
      <c r="D2" s="2"/>
      <c r="E2" s="2" t="str">
        <f>_xlfn.CONCAT("Common Size Statement - ",'Data Sheet'!B1)</f>
        <v>Common Size Statement - CARBORUNDUM UNIVERSAL LTD</v>
      </c>
      <c r="F2" s="2"/>
      <c r="G2" s="2"/>
      <c r="H2" s="2"/>
      <c r="I2" s="2"/>
      <c r="J2" s="2"/>
      <c r="K2" s="2"/>
      <c r="L2" s="2"/>
    </row>
    <row r="3" spans="1:12" x14ac:dyDescent="0.3">
      <c r="B3" s="2" t="s">
        <v>124</v>
      </c>
      <c r="C3" s="3">
        <f>'Historcial FS'!C3</f>
        <v>42094</v>
      </c>
      <c r="D3" s="3">
        <f>'Historcial FS'!D3</f>
        <v>42460</v>
      </c>
      <c r="E3" s="3">
        <f>'Historcial FS'!E3</f>
        <v>42825</v>
      </c>
      <c r="F3" s="3">
        <f>'Historcial FS'!F3</f>
        <v>43190</v>
      </c>
      <c r="G3" s="3">
        <f>'Historcial FS'!G3</f>
        <v>43555</v>
      </c>
      <c r="H3" s="3">
        <f>'Historcial FS'!H3</f>
        <v>43921</v>
      </c>
      <c r="I3" s="3">
        <f>'Historcial FS'!I3</f>
        <v>44286</v>
      </c>
      <c r="J3" s="3">
        <f>'Historcial FS'!J3</f>
        <v>44651</v>
      </c>
      <c r="K3" s="3">
        <f>'Historcial FS'!K3</f>
        <v>45016</v>
      </c>
      <c r="L3" s="3">
        <f>'Historcial FS'!L3</f>
        <v>45382</v>
      </c>
    </row>
    <row r="5" spans="1:12" x14ac:dyDescent="0.3">
      <c r="A5" t="s">
        <v>57</v>
      </c>
      <c r="B5" s="22" t="s">
        <v>58</v>
      </c>
      <c r="C5" s="8"/>
      <c r="D5" s="8"/>
      <c r="E5" s="8"/>
      <c r="F5" s="8"/>
      <c r="G5" s="8"/>
      <c r="H5" s="8"/>
      <c r="I5" s="8"/>
      <c r="J5" s="8"/>
      <c r="K5" s="8"/>
      <c r="L5" s="8"/>
    </row>
    <row r="6" spans="1:12" outlineLevel="1" x14ac:dyDescent="0.3"/>
    <row r="7" spans="1:12" outlineLevel="1" x14ac:dyDescent="0.3">
      <c r="B7" s="57" t="str">
        <f>'Data Sheet'!A17</f>
        <v>Sales</v>
      </c>
      <c r="C7" s="58">
        <f>'Data Sheet'!B17/'Data Sheet'!B$17</f>
        <v>1</v>
      </c>
      <c r="D7" s="58">
        <f>'Data Sheet'!C17/'Data Sheet'!C$17</f>
        <v>1</v>
      </c>
      <c r="E7" s="58">
        <f>'Data Sheet'!D17/'Data Sheet'!D$17</f>
        <v>1</v>
      </c>
      <c r="F7" s="58">
        <f>'Data Sheet'!E17/'Data Sheet'!E$17</f>
        <v>1</v>
      </c>
      <c r="G7" s="58">
        <f>'Data Sheet'!F17/'Data Sheet'!F$17</f>
        <v>1</v>
      </c>
      <c r="H7" s="58">
        <f>'Data Sheet'!G17/'Data Sheet'!G$17</f>
        <v>1</v>
      </c>
      <c r="I7" s="58">
        <f>'Data Sheet'!H17/'Data Sheet'!H$17</f>
        <v>1</v>
      </c>
      <c r="J7" s="58">
        <f>'Data Sheet'!I17/'Data Sheet'!I$17</f>
        <v>1</v>
      </c>
      <c r="K7" s="58">
        <f>'Data Sheet'!J17/'Data Sheet'!J$17</f>
        <v>1</v>
      </c>
      <c r="L7" s="58">
        <f>'Data Sheet'!K17/'Data Sheet'!K$17</f>
        <v>1</v>
      </c>
    </row>
    <row r="8" spans="1:12" outlineLevel="1" x14ac:dyDescent="0.3">
      <c r="B8" s="56" t="str">
        <f>'Data Sheet'!A18</f>
        <v>Raw Material Cost</v>
      </c>
      <c r="C8" s="1">
        <f>'Data Sheet'!B18/'Data Sheet'!B$17</f>
        <v>0.34590412769916273</v>
      </c>
      <c r="D8" s="1">
        <f>'Data Sheet'!C18/'Data Sheet'!C$17</f>
        <v>0.34994007170818781</v>
      </c>
      <c r="E8" s="1">
        <f>'Data Sheet'!D18/'Data Sheet'!D$17</f>
        <v>0.34795430984288683</v>
      </c>
      <c r="F8" s="1">
        <f>'Data Sheet'!E18/'Data Sheet'!E$17</f>
        <v>0.32872604758896606</v>
      </c>
      <c r="G8" s="1">
        <f>'Data Sheet'!F18/'Data Sheet'!F$17</f>
        <v>0.36509353267135258</v>
      </c>
      <c r="H8" s="1">
        <f>'Data Sheet'!G18/'Data Sheet'!G$17</f>
        <v>0.35263585189517388</v>
      </c>
      <c r="I8" s="1">
        <f>'Data Sheet'!H18/'Data Sheet'!H$17</f>
        <v>0.31571867720987495</v>
      </c>
      <c r="J8" s="1">
        <f>'Data Sheet'!I18/'Data Sheet'!I$17</f>
        <v>0.37636400822916538</v>
      </c>
      <c r="K8" s="1">
        <f>'Data Sheet'!J18/'Data Sheet'!J$17</f>
        <v>0.38168309598906813</v>
      </c>
      <c r="L8" s="1">
        <f>'Data Sheet'!K18/'Data Sheet'!K$17</f>
        <v>0.36082548769828532</v>
      </c>
    </row>
    <row r="9" spans="1:12" outlineLevel="1" x14ac:dyDescent="0.3">
      <c r="B9" s="56" t="str">
        <f>'Data Sheet'!A19</f>
        <v>Change in Inventory</v>
      </c>
      <c r="C9" s="1">
        <f>'Data Sheet'!B19/'Data Sheet'!B$17</f>
        <v>-5.479116682172061E-3</v>
      </c>
      <c r="D9" s="1">
        <f>'Data Sheet'!C19/'Data Sheet'!C$17</f>
        <v>-6.8930395732488337E-4</v>
      </c>
      <c r="E9" s="1">
        <f>'Data Sheet'!D19/'Data Sheet'!D$17</f>
        <v>1.1361000525446275E-4</v>
      </c>
      <c r="F9" s="1">
        <f>'Data Sheet'!E19/'Data Sheet'!E$17</f>
        <v>-1.0263213308064857E-2</v>
      </c>
      <c r="G9" s="1">
        <f>'Data Sheet'!F19/'Data Sheet'!F$17</f>
        <v>9.9445870058388185E-3</v>
      </c>
      <c r="H9" s="1">
        <f>'Data Sheet'!G19/'Data Sheet'!G$17</f>
        <v>1.1366041162460514E-2</v>
      </c>
      <c r="I9" s="1">
        <f>'Data Sheet'!H19/'Data Sheet'!H$17</f>
        <v>-2.5439733101291558E-2</v>
      </c>
      <c r="J9" s="1">
        <f>'Data Sheet'!I19/'Data Sheet'!I$17</f>
        <v>2.8140377049772014E-2</v>
      </c>
      <c r="K9" s="1">
        <f>'Data Sheet'!J19/'Data Sheet'!J$17</f>
        <v>1.3398420378662221E-2</v>
      </c>
      <c r="L9" s="1">
        <f>'Data Sheet'!K19/'Data Sheet'!K$17</f>
        <v>-1.2547344960539664E-4</v>
      </c>
    </row>
    <row r="10" spans="1:12" outlineLevel="1" x14ac:dyDescent="0.3">
      <c r="B10" s="56" t="str">
        <f>'Data Sheet'!A20</f>
        <v>Power and Fuel</v>
      </c>
      <c r="C10" s="1">
        <f>'Data Sheet'!B20/'Data Sheet'!B$17</f>
        <v>0.14863634137981688</v>
      </c>
      <c r="D10" s="1">
        <f>'Data Sheet'!C20/'Data Sheet'!C$17</f>
        <v>0.12454796578171698</v>
      </c>
      <c r="E10" s="1">
        <f>'Data Sheet'!D20/'Data Sheet'!D$17</f>
        <v>0.11953666052857057</v>
      </c>
      <c r="F10" s="1">
        <f>'Data Sheet'!E20/'Data Sheet'!E$17</f>
        <v>0.13791113918719733</v>
      </c>
      <c r="G10" s="1">
        <f>'Data Sheet'!F20/'Data Sheet'!F$17</f>
        <v>0.14080479006285099</v>
      </c>
      <c r="H10" s="1">
        <f>'Data Sheet'!G20/'Data Sheet'!G$17</f>
        <v>0.14300280495734852</v>
      </c>
      <c r="I10" s="1">
        <f>'Data Sheet'!H20/'Data Sheet'!H$17</f>
        <v>0.13797112903777392</v>
      </c>
      <c r="J10" s="1">
        <f>'Data Sheet'!I20/'Data Sheet'!I$17</f>
        <v>0.12128695003549128</v>
      </c>
      <c r="K10" s="1">
        <f>'Data Sheet'!J20/'Data Sheet'!J$17</f>
        <v>0.10924568354288956</v>
      </c>
      <c r="L10" s="1">
        <f>'Data Sheet'!K20/'Data Sheet'!K$17</f>
        <v>0.10167815422175626</v>
      </c>
    </row>
    <row r="11" spans="1:12" outlineLevel="1" x14ac:dyDescent="0.3">
      <c r="B11" s="56" t="str">
        <f>'Data Sheet'!A21</f>
        <v>Other Mfr. Exp</v>
      </c>
      <c r="C11" s="1">
        <f>'Data Sheet'!B21/'Data Sheet'!B$17</f>
        <v>0.12975566762963325</v>
      </c>
      <c r="D11" s="1">
        <f>'Data Sheet'!C21/'Data Sheet'!C$17</f>
        <v>7.5710265999310702E-2</v>
      </c>
      <c r="E11" s="1">
        <f>'Data Sheet'!D21/'Data Sheet'!D$17</f>
        <v>7.7723444844709333E-2</v>
      </c>
      <c r="F11" s="1">
        <f>'Data Sheet'!E21/'Data Sheet'!E$17</f>
        <v>7.9136660349547278E-2</v>
      </c>
      <c r="G11" s="1">
        <f>'Data Sheet'!F21/'Data Sheet'!F$17</f>
        <v>7.8459593142177098E-2</v>
      </c>
      <c r="H11" s="1">
        <f>'Data Sheet'!G21/'Data Sheet'!G$17</f>
        <v>7.8685017526173837E-2</v>
      </c>
      <c r="I11" s="1">
        <f>'Data Sheet'!H21/'Data Sheet'!H$17</f>
        <v>7.2564986263684073E-2</v>
      </c>
      <c r="J11" s="1">
        <f>'Data Sheet'!I21/'Data Sheet'!I$17</f>
        <v>7.4264007026071055E-2</v>
      </c>
      <c r="K11" s="1">
        <f>'Data Sheet'!J21/'Data Sheet'!J$17</f>
        <v>6.7166135256151338E-2</v>
      </c>
      <c r="L11" s="1">
        <f>'Data Sheet'!K21/'Data Sheet'!K$17</f>
        <v>7.2306733670906537E-2</v>
      </c>
    </row>
    <row r="12" spans="1:12" outlineLevel="1" x14ac:dyDescent="0.3">
      <c r="B12" s="56" t="str">
        <f>'Data Sheet'!A22</f>
        <v>Employee Cost</v>
      </c>
      <c r="C12" s="1">
        <f>'Data Sheet'!B22/'Data Sheet'!B$17</f>
        <v>0.13551877784850413</v>
      </c>
      <c r="D12" s="1">
        <f>'Data Sheet'!C22/'Data Sheet'!C$17</f>
        <v>0.1304327697158936</v>
      </c>
      <c r="E12" s="1">
        <f>'Data Sheet'!D22/'Data Sheet'!D$17</f>
        <v>0.1302491372740226</v>
      </c>
      <c r="F12" s="1">
        <f>'Data Sheet'!E22/'Data Sheet'!E$17</f>
        <v>0.1316740366392925</v>
      </c>
      <c r="G12" s="1">
        <f>'Data Sheet'!F22/'Data Sheet'!F$17</f>
        <v>0.12237346126668898</v>
      </c>
      <c r="H12" s="1">
        <f>'Data Sheet'!G22/'Data Sheet'!G$17</f>
        <v>0.13346825857936029</v>
      </c>
      <c r="I12" s="1">
        <f>'Data Sheet'!H22/'Data Sheet'!H$17</f>
        <v>0.13265519377135018</v>
      </c>
      <c r="J12" s="1">
        <f>'Data Sheet'!I22/'Data Sheet'!I$17</f>
        <v>0.12670989785728892</v>
      </c>
      <c r="K12" s="1">
        <f>'Data Sheet'!J22/'Data Sheet'!J$17</f>
        <v>0.14917667179456329</v>
      </c>
      <c r="L12" s="1">
        <f>'Data Sheet'!K22/'Data Sheet'!K$17</f>
        <v>0.15360927567792879</v>
      </c>
    </row>
    <row r="13" spans="1:12" outlineLevel="1" x14ac:dyDescent="0.3">
      <c r="B13" s="56" t="str">
        <f>'Data Sheet'!A23</f>
        <v>Selling and admin</v>
      </c>
      <c r="C13" s="1">
        <f>'Data Sheet'!B23/'Data Sheet'!B$17</f>
        <v>8.9257210008323942E-2</v>
      </c>
      <c r="D13" s="1">
        <f>'Data Sheet'!C23/'Data Sheet'!C$17</f>
        <v>8.9506633264574406E-2</v>
      </c>
      <c r="E13" s="1">
        <f>'Data Sheet'!D23/'Data Sheet'!D$17</f>
        <v>0.1391107176838707</v>
      </c>
      <c r="F13" s="1">
        <f>'Data Sheet'!E23/'Data Sheet'!E$17</f>
        <v>7.5295851758264892E-2</v>
      </c>
      <c r="G13" s="1">
        <f>'Data Sheet'!F23/'Data Sheet'!F$17</f>
        <v>7.1653836141172961E-2</v>
      </c>
      <c r="H13" s="1">
        <f>'Data Sheet'!G23/'Data Sheet'!G$17</f>
        <v>7.1636071212826627E-2</v>
      </c>
      <c r="I13" s="1">
        <f>'Data Sheet'!H23/'Data Sheet'!H$17</f>
        <v>6.421300219249082E-2</v>
      </c>
      <c r="J13" s="1">
        <f>'Data Sheet'!I23/'Data Sheet'!I$17</f>
        <v>7.6447623287094396E-2</v>
      </c>
      <c r="K13" s="1">
        <f>'Data Sheet'!J23/'Data Sheet'!J$17</f>
        <v>9.2976786957381166E-2</v>
      </c>
      <c r="L13" s="1">
        <f>'Data Sheet'!K23/'Data Sheet'!K$17</f>
        <v>8.7397574321752214E-2</v>
      </c>
    </row>
    <row r="14" spans="1:12" outlineLevel="1" x14ac:dyDescent="0.3">
      <c r="B14" s="56" t="str">
        <f>'Data Sheet'!A24</f>
        <v>Other Expenses</v>
      </c>
      <c r="C14" s="1">
        <f>'Data Sheet'!B24/'Data Sheet'!B$17</f>
        <v>3.068599128433629E-2</v>
      </c>
      <c r="D14" s="1">
        <f>'Data Sheet'!C24/'Data Sheet'!C$17</f>
        <v>7.0864562060504427E-2</v>
      </c>
      <c r="E14" s="1">
        <f>'Data Sheet'!D24/'Data Sheet'!D$17</f>
        <v>2.6674682483704068E-2</v>
      </c>
      <c r="F14" s="1">
        <f>'Data Sheet'!E24/'Data Sheet'!E$17</f>
        <v>6.8662876395030534E-2</v>
      </c>
      <c r="G14" s="1">
        <f>'Data Sheet'!F24/'Data Sheet'!F$17</f>
        <v>6.8254676633567629E-2</v>
      </c>
      <c r="H14" s="1">
        <f>'Data Sheet'!G24/'Data Sheet'!G$17</f>
        <v>7.8100170452140655E-2</v>
      </c>
      <c r="I14" s="1">
        <f>'Data Sheet'!H24/'Data Sheet'!H$17</f>
        <v>7.4343297703774347E-2</v>
      </c>
      <c r="J14" s="1">
        <f>'Data Sheet'!I24/'Data Sheet'!I$17</f>
        <v>9.0526835019670598E-2</v>
      </c>
      <c r="K14" s="1">
        <f>'Data Sheet'!J24/'Data Sheet'!J$17</f>
        <v>7.239143326142819E-2</v>
      </c>
      <c r="L14" s="1">
        <f>'Data Sheet'!K24/'Data Sheet'!K$17</f>
        <v>6.6456268249475259E-2</v>
      </c>
    </row>
    <row r="15" spans="1:12" outlineLevel="1" x14ac:dyDescent="0.3">
      <c r="B15" s="56" t="str">
        <f>'Data Sheet'!A25</f>
        <v>Other Income</v>
      </c>
      <c r="C15" s="1">
        <f>'Data Sheet'!B25/'Data Sheet'!B$17</f>
        <v>5.4712823777114034E-2</v>
      </c>
      <c r="D15" s="1">
        <f>'Data Sheet'!C25/'Data Sheet'!C$17</f>
        <v>1.9984670703038596E-2</v>
      </c>
      <c r="E15" s="1">
        <f>'Data Sheet'!D25/'Data Sheet'!D$17</f>
        <v>1.9346837144791219E-2</v>
      </c>
      <c r="F15" s="1">
        <f>'Data Sheet'!E25/'Data Sheet'!E$17</f>
        <v>1.5380080016845652E-2</v>
      </c>
      <c r="G15" s="1">
        <f>'Data Sheet'!F25/'Data Sheet'!F$17</f>
        <v>1.7263565026590801E-2</v>
      </c>
      <c r="H15" s="1">
        <f>'Data Sheet'!G25/'Data Sheet'!G$17</f>
        <v>2.3686306498343579E-2</v>
      </c>
      <c r="I15" s="1">
        <f>'Data Sheet'!H25/'Data Sheet'!H$17</f>
        <v>1.2007402031378837E-2</v>
      </c>
      <c r="J15" s="1">
        <f>'Data Sheet'!I25/'Data Sheet'!I$17</f>
        <v>1.6945584042156427E-2</v>
      </c>
      <c r="K15" s="1">
        <f>'Data Sheet'!J25/'Data Sheet'!J$17</f>
        <v>2.9145216875649943E-2</v>
      </c>
      <c r="L15" s="1">
        <f>'Data Sheet'!K25/'Data Sheet'!K$17</f>
        <v>2.51499833056512E-2</v>
      </c>
    </row>
    <row r="16" spans="1:12" outlineLevel="1" x14ac:dyDescent="0.3">
      <c r="B16" s="56" t="str">
        <f>'Data Sheet'!A26</f>
        <v>Depreciation</v>
      </c>
      <c r="C16" s="1">
        <f>'Data Sheet'!B26/'Data Sheet'!B$17</f>
        <v>4.9145571169759587E-2</v>
      </c>
      <c r="D16" s="1">
        <f>'Data Sheet'!C26/'Data Sheet'!C$17</f>
        <v>4.4660723563392811E-2</v>
      </c>
      <c r="E16" s="1">
        <f>'Data Sheet'!D26/'Data Sheet'!D$17</f>
        <v>4.5671222112294033E-2</v>
      </c>
      <c r="F16" s="1">
        <f>'Data Sheet'!E26/'Data Sheet'!E$17</f>
        <v>4.4640977047799534E-2</v>
      </c>
      <c r="G16" s="1">
        <f>'Data Sheet'!F26/'Data Sheet'!F$17</f>
        <v>4.0265536092826057E-2</v>
      </c>
      <c r="H16" s="1">
        <f>'Data Sheet'!G26/'Data Sheet'!G$17</f>
        <v>4.0215931696018038E-2</v>
      </c>
      <c r="I16" s="1">
        <f>'Data Sheet'!H26/'Data Sheet'!H$17</f>
        <v>3.7789118101918526E-2</v>
      </c>
      <c r="J16" s="1">
        <f>'Data Sheet'!I26/'Data Sheet'!I$17</f>
        <v>3.4459630168794136E-2</v>
      </c>
      <c r="K16" s="1">
        <f>'Data Sheet'!J26/'Data Sheet'!J$17</f>
        <v>4.0251123696898344E-2</v>
      </c>
      <c r="L16" s="1">
        <f>'Data Sheet'!K26/'Data Sheet'!K$17</f>
        <v>4.056620425801595E-2</v>
      </c>
    </row>
    <row r="17" spans="1:12" outlineLevel="1" x14ac:dyDescent="0.3">
      <c r="B17" s="56" t="str">
        <f>'Data Sheet'!A27</f>
        <v>Interest</v>
      </c>
      <c r="C17" s="1">
        <f>'Data Sheet'!B27/'Data Sheet'!B$17</f>
        <v>1.2407579689565686E-2</v>
      </c>
      <c r="D17" s="1">
        <f>'Data Sheet'!C27/'Data Sheet'!C$17</f>
        <v>1.1785040046502297E-2</v>
      </c>
      <c r="E17" s="1">
        <f>'Data Sheet'!D27/'Data Sheet'!D$17</f>
        <v>8.5775553967119382E-3</v>
      </c>
      <c r="F17" s="1">
        <f>'Data Sheet'!E27/'Data Sheet'!E$17</f>
        <v>3.6260265319014526E-3</v>
      </c>
      <c r="G17" s="1">
        <f>'Data Sheet'!F27/'Data Sheet'!F$17</f>
        <v>3.1537059764215852E-3</v>
      </c>
      <c r="H17" s="1">
        <f>'Data Sheet'!G27/'Data Sheet'!G$17</f>
        <v>2.4355802490986815E-3</v>
      </c>
      <c r="I17" s="1">
        <f>'Data Sheet'!H27/'Data Sheet'!H$17</f>
        <v>1.3603322554536785E-3</v>
      </c>
      <c r="J17" s="1">
        <f>'Data Sheet'!I27/'Data Sheet'!I$17</f>
        <v>1.6963630457536782E-3</v>
      </c>
      <c r="K17" s="1">
        <f>'Data Sheet'!J27/'Data Sheet'!J$17</f>
        <v>5.0555617625067687E-3</v>
      </c>
      <c r="L17" s="1">
        <f>'Data Sheet'!K27/'Data Sheet'!K$17</f>
        <v>3.9003102809541941E-3</v>
      </c>
    </row>
    <row r="18" spans="1:12" outlineLevel="1" x14ac:dyDescent="0.3">
      <c r="B18" s="56" t="str">
        <f>'Data Sheet'!A28</f>
        <v>Profit before tax</v>
      </c>
      <c r="C18" s="1">
        <f>'Data Sheet'!B28/'Data Sheet'!B$17</f>
        <v>0.10792244038583949</v>
      </c>
      <c r="D18" s="1">
        <f>'Data Sheet'!C28/'Data Sheet'!C$17</f>
        <v>0.12184733460563069</v>
      </c>
      <c r="E18" s="1">
        <f>'Data Sheet'!D28/'Data Sheet'!D$17</f>
        <v>0.12396271698327567</v>
      </c>
      <c r="F18" s="1">
        <f>'Data Sheet'!E28/'Data Sheet'!E$17</f>
        <v>0.13544325121078121</v>
      </c>
      <c r="G18" s="1">
        <f>'Data Sheet'!F28/'Data Sheet'!F$17</f>
        <v>0.13714902004537169</v>
      </c>
      <c r="H18" s="1">
        <f>'Data Sheet'!G28/'Data Sheet'!G$17</f>
        <v>0.13487266109266363</v>
      </c>
      <c r="I18" s="1">
        <f>'Data Sheet'!H28/'Data Sheet'!H$17</f>
        <v>0.14995193239376678</v>
      </c>
      <c r="J18" s="1">
        <f>'Data Sheet'!I28/'Data Sheet'!I$17</f>
        <v>0.14333064642259893</v>
      </c>
      <c r="K18" s="1">
        <f>'Data Sheet'!J28/'Data Sheet'!J$17</f>
        <v>0.1245971449934254</v>
      </c>
      <c r="L18" s="1">
        <f>'Data Sheet'!K28/'Data Sheet'!K$17</f>
        <v>0.13828450147697138</v>
      </c>
    </row>
    <row r="19" spans="1:12" outlineLevel="1" x14ac:dyDescent="0.3">
      <c r="B19" s="56" t="str">
        <f>'Data Sheet'!A29</f>
        <v>Tax</v>
      </c>
      <c r="C19" s="1">
        <f>'Data Sheet'!B29/'Data Sheet'!B$17</f>
        <v>4.022915340547422E-2</v>
      </c>
      <c r="D19" s="1">
        <f>'Data Sheet'!C29/'Data Sheet'!C$17</f>
        <v>4.1877787437178175E-2</v>
      </c>
      <c r="E19" s="1">
        <f>'Data Sheet'!D29/'Data Sheet'!D$17</f>
        <v>3.6961121709451879E-2</v>
      </c>
      <c r="F19" s="1">
        <f>'Data Sheet'!E29/'Data Sheet'!E$17</f>
        <v>4.2964834702042536E-2</v>
      </c>
      <c r="G19" s="1">
        <f>'Data Sheet'!F29/'Data Sheet'!F$17</f>
        <v>4.5066755922496191E-2</v>
      </c>
      <c r="H19" s="1">
        <f>'Data Sheet'!G29/'Data Sheet'!G$17</f>
        <v>2.9069208186319966E-2</v>
      </c>
      <c r="I19" s="1">
        <f>'Data Sheet'!H29/'Data Sheet'!H$17</f>
        <v>3.8590878174266922E-2</v>
      </c>
      <c r="J19" s="1">
        <f>'Data Sheet'!I29/'Data Sheet'!I$17</f>
        <v>3.8056882301278884E-2</v>
      </c>
      <c r="K19" s="1">
        <f>'Data Sheet'!J29/'Data Sheet'!J$17</f>
        <v>2.9695248244626455E-2</v>
      </c>
      <c r="L19" s="1">
        <f>'Data Sheet'!K29/'Data Sheet'!K$17</f>
        <v>3.7018920970866766E-2</v>
      </c>
    </row>
    <row r="20" spans="1:12" outlineLevel="1" x14ac:dyDescent="0.3">
      <c r="B20" s="56" t="str">
        <f>'Data Sheet'!A30</f>
        <v>Net profit</v>
      </c>
      <c r="C20" s="1">
        <f>'Data Sheet'!B30/'Data Sheet'!B$17</f>
        <v>6.492679821769573E-2</v>
      </c>
      <c r="D20" s="1">
        <f>'Data Sheet'!C30/'Data Sheet'!C$17</f>
        <v>7.412589570934007E-2</v>
      </c>
      <c r="E20" s="1">
        <f>'Data Sheet'!D30/'Data Sheet'!D$17</f>
        <v>8.277909007853293E-2</v>
      </c>
      <c r="F20" s="1">
        <f>'Data Sheet'!E30/'Data Sheet'!E$17</f>
        <v>9.0798062750052644E-2</v>
      </c>
      <c r="G20" s="1">
        <f>'Data Sheet'!F30/'Data Sheet'!F$17</f>
        <v>9.211201606604931E-2</v>
      </c>
      <c r="H20" s="1">
        <f>'Data Sheet'!G30/'Data Sheet'!G$17</f>
        <v>0.10481844730797202</v>
      </c>
      <c r="I20" s="1">
        <f>'Data Sheet'!H30/'Data Sheet'!H$17</f>
        <v>0.10803241998548473</v>
      </c>
      <c r="J20" s="1">
        <f>'Data Sheet'!I30/'Data Sheet'!I$17</f>
        <v>0.10026588385327061</v>
      </c>
      <c r="K20" s="1">
        <f>'Data Sheet'!J30/'Data Sheet'!J$17</f>
        <v>8.8948236891635238E-2</v>
      </c>
      <c r="L20" s="1">
        <f>'Data Sheet'!K30/'Data Sheet'!K$17</f>
        <v>9.8092590899134247E-2</v>
      </c>
    </row>
    <row r="21" spans="1:12" outlineLevel="1" x14ac:dyDescent="0.3">
      <c r="B21" s="56" t="str">
        <f>'Data Sheet'!A31</f>
        <v>Dividend Amount</v>
      </c>
      <c r="C21" s="1">
        <f>'Data Sheet'!B31/'Data Sheet'!B$17</f>
        <v>1.1516427557165941E-2</v>
      </c>
      <c r="D21" s="1">
        <f>'Data Sheet'!C31/'Data Sheet'!C$17</f>
        <v>1.4537111816418809E-2</v>
      </c>
      <c r="E21" s="1">
        <f>'Data Sheet'!D31/'Data Sheet'!D$17</f>
        <v>1.5630843222926502E-2</v>
      </c>
      <c r="F21" s="1">
        <f>'Data Sheet'!E31/'Data Sheet'!E$17</f>
        <v>1.7906927774268267E-2</v>
      </c>
      <c r="G21" s="1">
        <f>'Data Sheet'!F31/'Data Sheet'!F$17</f>
        <v>1.9349920041652719E-2</v>
      </c>
      <c r="H21" s="1">
        <f>'Data Sheet'!G31/'Data Sheet'!G$17</f>
        <v>2.0038707641873512E-2</v>
      </c>
      <c r="I21" s="1">
        <f>'Data Sheet'!H31/'Data Sheet'!H$17</f>
        <v>2.1613323656481907E-2</v>
      </c>
      <c r="J21" s="1">
        <f>'Data Sheet'!I31/'Data Sheet'!I$17</f>
        <v>1.9989412769643521E-2</v>
      </c>
      <c r="K21" s="1">
        <f>'Data Sheet'!J31/'Data Sheet'!J$17</f>
        <v>1.4279329993038666E-2</v>
      </c>
      <c r="L21" s="1">
        <f>'Data Sheet'!K31/'Data Sheet'!K$17</f>
        <v>1.6188201667733548E-2</v>
      </c>
    </row>
    <row r="22" spans="1:12" outlineLevel="1" x14ac:dyDescent="0.3">
      <c r="B22" s="56" t="str">
        <f>'Data Sheet'!A32</f>
        <v>Effective Tax Rate</v>
      </c>
      <c r="C22" s="1">
        <f>'Data Sheet'!B32/'Data Sheet'!B$17</f>
        <v>1.8251963797229806E-4</v>
      </c>
      <c r="D22" s="1">
        <f>'Data Sheet'!C32/'Data Sheet'!C$17</f>
        <v>1.7679650203562364E-4</v>
      </c>
      <c r="E22" s="1">
        <f>'Data Sheet'!D32/'Data Sheet'!D$17</f>
        <v>1.4114301641826815E-4</v>
      </c>
      <c r="F22" s="1">
        <f>'Data Sheet'!E32/'Data Sheet'!E$17</f>
        <v>1.3359296881950976E-4</v>
      </c>
      <c r="G22" s="1">
        <f>'Data Sheet'!F32/'Data Sheet'!F$17</f>
        <v>1.2220498921442646E-4</v>
      </c>
      <c r="H22" s="1">
        <f>'Data Sheet'!G32/'Data Sheet'!G$17</f>
        <v>8.2929301875217442E-5</v>
      </c>
      <c r="I22" s="1">
        <f>'Data Sheet'!H32/'Data Sheet'!H$17</f>
        <v>9.7790026541993576E-5</v>
      </c>
      <c r="J22" s="1">
        <f>'Data Sheet'!I32/'Data Sheet'!I$17</f>
        <v>7.986083497981047E-5</v>
      </c>
      <c r="K22" s="1">
        <f>'Data Sheet'!J32/'Data Sheet'!J$17</f>
        <v>5.1206649729486397E-5</v>
      </c>
      <c r="L22" s="1">
        <f>'Data Sheet'!K32/'Data Sheet'!K$17</f>
        <v>5.6931165371042639E-5</v>
      </c>
    </row>
    <row r="23" spans="1:12" outlineLevel="1" x14ac:dyDescent="0.3">
      <c r="B23" s="56" t="str">
        <f>'Data Sheet'!A34</f>
        <v>EBITDA</v>
      </c>
      <c r="C23" s="1">
        <f>'Data Sheet'!B34/'Data Sheet'!B$17</f>
        <v>0.16670910248249524</v>
      </c>
      <c r="D23" s="1">
        <f>'Data Sheet'!C34/'Data Sheet'!C$17</f>
        <v>0.17244944675641335</v>
      </c>
      <c r="E23" s="1">
        <f>'Data Sheet'!D34/'Data Sheet'!D$17</f>
        <v>0.17398898929699078</v>
      </c>
      <c r="F23" s="1">
        <f>'Data Sheet'!E34/'Data Sheet'!E$17</f>
        <v>0.18202990103179617</v>
      </c>
      <c r="G23" s="1">
        <f>'Data Sheet'!F34/'Data Sheet'!F$17</f>
        <v>0.18059801405779316</v>
      </c>
      <c r="H23" s="1">
        <f>'Data Sheet'!G34/'Data Sheet'!G$17</f>
        <v>0.1765391674394087</v>
      </c>
      <c r="I23" s="1">
        <f>'Data Sheet'!H34/'Data Sheet'!H$17</f>
        <v>0.18577274851712383</v>
      </c>
      <c r="J23" s="1">
        <f>'Data Sheet'!I34/'Data Sheet'!I$17</f>
        <v>0.17447875936909729</v>
      </c>
      <c r="K23" s="1">
        <f>'Data Sheet'!J34/'Data Sheet'!J$17</f>
        <v>0.1639501705956668</v>
      </c>
      <c r="L23" s="1">
        <f>'Data Sheet'!K34/'Data Sheet'!K$17</f>
        <v>0.17957802640897114</v>
      </c>
    </row>
    <row r="25" spans="1:12" x14ac:dyDescent="0.3">
      <c r="A25" t="s">
        <v>57</v>
      </c>
      <c r="B25" s="22" t="s">
        <v>79</v>
      </c>
      <c r="C25" s="8"/>
      <c r="D25" s="8"/>
      <c r="E25" s="8"/>
      <c r="F25" s="8"/>
      <c r="G25" s="8"/>
      <c r="H25" s="8"/>
      <c r="I25" s="8"/>
      <c r="J25" s="8"/>
      <c r="K25" s="8"/>
      <c r="L25" s="8"/>
    </row>
    <row r="27" spans="1:12" outlineLevel="1" x14ac:dyDescent="0.3">
      <c r="B27" s="19" t="str">
        <f>_xlfn.CONCAT('Data Sheet'!A61," Liabilities")</f>
        <v>Total Liabilities</v>
      </c>
      <c r="C27" s="59">
        <f>'Data Sheet'!B61/'Data Sheet'!B$61</f>
        <v>1</v>
      </c>
      <c r="D27" s="59">
        <f>'Data Sheet'!C61/'Data Sheet'!C$61</f>
        <v>1</v>
      </c>
      <c r="E27" s="59">
        <f>'Data Sheet'!D61/'Data Sheet'!D$61</f>
        <v>1</v>
      </c>
      <c r="F27" s="59">
        <f>'Data Sheet'!E61/'Data Sheet'!E$61</f>
        <v>1</v>
      </c>
      <c r="G27" s="59">
        <f>'Data Sheet'!F61/'Data Sheet'!F$61</f>
        <v>1</v>
      </c>
      <c r="H27" s="59">
        <f>'Data Sheet'!G61/'Data Sheet'!G$61</f>
        <v>1</v>
      </c>
      <c r="I27" s="59">
        <f>'Data Sheet'!H61/'Data Sheet'!H$61</f>
        <v>1</v>
      </c>
      <c r="J27" s="59">
        <f>'Data Sheet'!I61/'Data Sheet'!I$61</f>
        <v>1</v>
      </c>
      <c r="K27" s="59">
        <f>'Data Sheet'!J61/'Data Sheet'!J$61</f>
        <v>1</v>
      </c>
      <c r="L27" s="59">
        <f>'Data Sheet'!K61/'Data Sheet'!K$61</f>
        <v>1</v>
      </c>
    </row>
    <row r="28" spans="1:12" outlineLevel="1" x14ac:dyDescent="0.3">
      <c r="B28" s="56" t="str">
        <f>'Data Sheet'!A57</f>
        <v>Equity Share Capital</v>
      </c>
      <c r="C28" s="59">
        <f>'Data Sheet'!B62/'Data Sheet'!B$61</f>
        <v>0.43660156637255876</v>
      </c>
      <c r="D28" s="59">
        <f>'Data Sheet'!C62/'Data Sheet'!C$61</f>
        <v>0.354364912959797</v>
      </c>
      <c r="E28" s="59">
        <f>'Data Sheet'!D62/'Data Sheet'!D$61</f>
        <v>0.3683874913105063</v>
      </c>
      <c r="F28" s="59">
        <f>'Data Sheet'!E62/'Data Sheet'!E$61</f>
        <v>0.35239705685106054</v>
      </c>
      <c r="G28" s="59">
        <f>'Data Sheet'!F62/'Data Sheet'!F$61</f>
        <v>0.31280013321751809</v>
      </c>
      <c r="H28" s="59">
        <f>'Data Sheet'!G62/'Data Sheet'!G$61</f>
        <v>0.32787150987290303</v>
      </c>
      <c r="I28" s="59">
        <f>'Data Sheet'!H62/'Data Sheet'!H$61</f>
        <v>0.29009728018634789</v>
      </c>
      <c r="J28" s="59">
        <f>'Data Sheet'!I62/'Data Sheet'!I$61</f>
        <v>0.30526622389567676</v>
      </c>
      <c r="K28" s="59">
        <f>'Data Sheet'!J62/'Data Sheet'!J$61</f>
        <v>0.39431185125687324</v>
      </c>
      <c r="L28" s="59">
        <f>'Data Sheet'!K62/'Data Sheet'!K$61</f>
        <v>0.38010349370702529</v>
      </c>
    </row>
    <row r="29" spans="1:12" outlineLevel="1" x14ac:dyDescent="0.3">
      <c r="B29" s="56" t="str">
        <f>'Data Sheet'!A58</f>
        <v>Reserves</v>
      </c>
      <c r="C29" s="59">
        <f>'Data Sheet'!B63/'Data Sheet'!B$61</f>
        <v>2.3859092561382637E-2</v>
      </c>
      <c r="D29" s="59">
        <f>'Data Sheet'!C63/'Data Sheet'!C$61</f>
        <v>4.5450146769459056E-2</v>
      </c>
      <c r="E29" s="59">
        <f>'Data Sheet'!D63/'Data Sheet'!D$61</f>
        <v>3.7946300235727017E-2</v>
      </c>
      <c r="F29" s="59">
        <f>'Data Sheet'!E63/'Data Sheet'!E$61</f>
        <v>1.4504972312173065E-2</v>
      </c>
      <c r="G29" s="59">
        <f>'Data Sheet'!F63/'Data Sheet'!F$61</f>
        <v>2.0878245489281841E-2</v>
      </c>
      <c r="H29" s="59">
        <f>'Data Sheet'!G63/'Data Sheet'!G$61</f>
        <v>1.6933113107938189E-2</v>
      </c>
      <c r="I29" s="59">
        <f>'Data Sheet'!H63/'Data Sheet'!H$61</f>
        <v>1.045967314454656E-2</v>
      </c>
      <c r="J29" s="59">
        <f>'Data Sheet'!I63/'Data Sheet'!I$61</f>
        <v>1.7506545991850506E-2</v>
      </c>
      <c r="K29" s="59">
        <f>'Data Sheet'!J63/'Data Sheet'!J$61</f>
        <v>2.2590917660792735E-2</v>
      </c>
      <c r="L29" s="59">
        <f>'Data Sheet'!K63/'Data Sheet'!K$61</f>
        <v>2.0549636158755533E-2</v>
      </c>
    </row>
    <row r="30" spans="1:12" outlineLevel="1" x14ac:dyDescent="0.3">
      <c r="B30" s="56" t="str">
        <f>'Data Sheet'!A59</f>
        <v>Borrowings</v>
      </c>
      <c r="C30" s="59">
        <f>'Data Sheet'!B64/'Data Sheet'!B$61</f>
        <v>2.2652919599484487E-2</v>
      </c>
      <c r="D30" s="59">
        <f>'Data Sheet'!C64/'Data Sheet'!C$61</f>
        <v>7.0433211831876383E-2</v>
      </c>
      <c r="E30" s="59">
        <f>'Data Sheet'!D64/'Data Sheet'!D$61</f>
        <v>6.5052293764994273E-2</v>
      </c>
      <c r="F30" s="59">
        <f>'Data Sheet'!E64/'Data Sheet'!E$61</f>
        <v>8.6363984747743774E-2</v>
      </c>
      <c r="G30" s="59">
        <f>'Data Sheet'!F64/'Data Sheet'!F$61</f>
        <v>0.10194740608390004</v>
      </c>
      <c r="H30" s="59">
        <f>'Data Sheet'!G64/'Data Sheet'!G$61</f>
        <v>8.2667764872881161E-2</v>
      </c>
      <c r="I30" s="59">
        <f>'Data Sheet'!H64/'Data Sheet'!H$61</f>
        <v>4.7426890542992164E-2</v>
      </c>
      <c r="J30" s="59">
        <f>'Data Sheet'!I64/'Data Sheet'!I$61</f>
        <v>4.1815462194052626E-2</v>
      </c>
      <c r="K30" s="59">
        <f>'Data Sheet'!J64/'Data Sheet'!J$61</f>
        <v>4.1640947232761093E-2</v>
      </c>
      <c r="L30" s="59">
        <f>'Data Sheet'!K64/'Data Sheet'!K$61</f>
        <v>4.193768378443781E-2</v>
      </c>
    </row>
    <row r="31" spans="1:12" outlineLevel="1" x14ac:dyDescent="0.3">
      <c r="B31" s="56" t="str">
        <f>'Data Sheet'!A60</f>
        <v>Other Liabilities</v>
      </c>
      <c r="C31" s="59">
        <f>'Data Sheet'!B65/'Data Sheet'!B$61</f>
        <v>0.51688642146657415</v>
      </c>
      <c r="D31" s="59">
        <f>'Data Sheet'!C65/'Data Sheet'!C$61</f>
        <v>0.52975172843886753</v>
      </c>
      <c r="E31" s="59">
        <f>'Data Sheet'!D65/'Data Sheet'!D$61</f>
        <v>0.52861391468877239</v>
      </c>
      <c r="F31" s="59">
        <f>'Data Sheet'!E65/'Data Sheet'!E$61</f>
        <v>0.54673398608902257</v>
      </c>
      <c r="G31" s="59">
        <f>'Data Sheet'!F65/'Data Sheet'!F$61</f>
        <v>0.56437421520930009</v>
      </c>
      <c r="H31" s="59">
        <f>'Data Sheet'!G65/'Data Sheet'!G$61</f>
        <v>0.57252761214627745</v>
      </c>
      <c r="I31" s="59">
        <f>'Data Sheet'!H65/'Data Sheet'!H$61</f>
        <v>0.6520161561261133</v>
      </c>
      <c r="J31" s="59">
        <f>'Data Sheet'!I65/'Data Sheet'!I$61</f>
        <v>0.63541176791842024</v>
      </c>
      <c r="K31" s="59">
        <f>'Data Sheet'!J65/'Data Sheet'!J$61</f>
        <v>0.54145628384957289</v>
      </c>
      <c r="L31" s="59">
        <f>'Data Sheet'!K65/'Data Sheet'!K$61</f>
        <v>0.55740918634978132</v>
      </c>
    </row>
    <row r="32" spans="1:12" outlineLevel="1" x14ac:dyDescent="0.3"/>
    <row r="33" spans="2:12" outlineLevel="1" x14ac:dyDescent="0.3">
      <c r="B33" s="19" t="str">
        <f>_xlfn.CONCAT('Data Sheet'!A66," Assets")</f>
        <v>Total Assets</v>
      </c>
      <c r="C33" s="59">
        <f>'Data Sheet'!B66/'Data Sheet'!B$66</f>
        <v>1</v>
      </c>
      <c r="D33" s="59">
        <f>'Data Sheet'!C66/'Data Sheet'!C$66</f>
        <v>1</v>
      </c>
      <c r="E33" s="59">
        <f>'Data Sheet'!D66/'Data Sheet'!D$66</f>
        <v>1</v>
      </c>
      <c r="F33" s="59">
        <f>'Data Sheet'!E66/'Data Sheet'!E$66</f>
        <v>1</v>
      </c>
      <c r="G33" s="59">
        <f>'Data Sheet'!F66/'Data Sheet'!F$66</f>
        <v>1</v>
      </c>
      <c r="H33" s="59">
        <f>'Data Sheet'!G66/'Data Sheet'!G$66</f>
        <v>1</v>
      </c>
      <c r="I33" s="59">
        <f>'Data Sheet'!H66/'Data Sheet'!H$66</f>
        <v>1</v>
      </c>
      <c r="J33" s="59">
        <f>'Data Sheet'!I66/'Data Sheet'!I$66</f>
        <v>1</v>
      </c>
      <c r="K33" s="59">
        <f>'Data Sheet'!J66/'Data Sheet'!J$66</f>
        <v>1</v>
      </c>
      <c r="L33" s="59">
        <f>'Data Sheet'!K66/'Data Sheet'!K$66</f>
        <v>1</v>
      </c>
    </row>
    <row r="34" spans="2:12" outlineLevel="1" x14ac:dyDescent="0.3">
      <c r="B34" s="56" t="str">
        <f>'Data Sheet'!A62</f>
        <v>Net Block</v>
      </c>
      <c r="C34" s="59">
        <f>'Data Sheet'!B62/'Data Sheet'!B$66</f>
        <v>0.43660156637255876</v>
      </c>
      <c r="D34" s="59">
        <f>'Data Sheet'!C62/'Data Sheet'!C$66</f>
        <v>0.354364912959797</v>
      </c>
      <c r="E34" s="59">
        <f>'Data Sheet'!D62/'Data Sheet'!D$66</f>
        <v>0.3683874913105063</v>
      </c>
      <c r="F34" s="59">
        <f>'Data Sheet'!E62/'Data Sheet'!E$66</f>
        <v>0.35239705685106054</v>
      </c>
      <c r="G34" s="59">
        <f>'Data Sheet'!F62/'Data Sheet'!F$66</f>
        <v>0.31280013321751809</v>
      </c>
      <c r="H34" s="59">
        <f>'Data Sheet'!G62/'Data Sheet'!G$66</f>
        <v>0.32787150987290303</v>
      </c>
      <c r="I34" s="59">
        <f>'Data Sheet'!H62/'Data Sheet'!H$66</f>
        <v>0.29009728018634789</v>
      </c>
      <c r="J34" s="59">
        <f>'Data Sheet'!I62/'Data Sheet'!I$66</f>
        <v>0.30526622389567676</v>
      </c>
      <c r="K34" s="59">
        <f>'Data Sheet'!J62/'Data Sheet'!J$66</f>
        <v>0.39431185125687324</v>
      </c>
      <c r="L34" s="59">
        <f>'Data Sheet'!K62/'Data Sheet'!K$66</f>
        <v>0.38010349370702529</v>
      </c>
    </row>
    <row r="35" spans="2:12" outlineLevel="1" x14ac:dyDescent="0.3">
      <c r="B35" s="56" t="str">
        <f>'Data Sheet'!A63</f>
        <v>Capital Work in Progress</v>
      </c>
      <c r="C35" s="59">
        <f>'Data Sheet'!B63/'Data Sheet'!B$66</f>
        <v>2.3859092561382637E-2</v>
      </c>
      <c r="D35" s="59">
        <f>'Data Sheet'!C63/'Data Sheet'!C$66</f>
        <v>4.5450146769459056E-2</v>
      </c>
      <c r="E35" s="59">
        <f>'Data Sheet'!D63/'Data Sheet'!D$66</f>
        <v>3.7946300235727017E-2</v>
      </c>
      <c r="F35" s="59">
        <f>'Data Sheet'!E63/'Data Sheet'!E$66</f>
        <v>1.4504972312173065E-2</v>
      </c>
      <c r="G35" s="59">
        <f>'Data Sheet'!F63/'Data Sheet'!F$66</f>
        <v>2.0878245489281841E-2</v>
      </c>
      <c r="H35" s="59">
        <f>'Data Sheet'!G63/'Data Sheet'!G$66</f>
        <v>1.6933113107938189E-2</v>
      </c>
      <c r="I35" s="59">
        <f>'Data Sheet'!H63/'Data Sheet'!H$66</f>
        <v>1.045967314454656E-2</v>
      </c>
      <c r="J35" s="59">
        <f>'Data Sheet'!I63/'Data Sheet'!I$66</f>
        <v>1.7506545991850506E-2</v>
      </c>
      <c r="K35" s="59">
        <f>'Data Sheet'!J63/'Data Sheet'!J$66</f>
        <v>2.2590917660792735E-2</v>
      </c>
      <c r="L35" s="59">
        <f>'Data Sheet'!K63/'Data Sheet'!K$66</f>
        <v>2.0549636158755533E-2</v>
      </c>
    </row>
    <row r="36" spans="2:12" outlineLevel="1" x14ac:dyDescent="0.3">
      <c r="B36" s="56" t="str">
        <f>'Data Sheet'!A64</f>
        <v>Investments</v>
      </c>
      <c r="C36" s="59">
        <f>'Data Sheet'!B64/'Data Sheet'!B$66</f>
        <v>2.2652919599484487E-2</v>
      </c>
      <c r="D36" s="59">
        <f>'Data Sheet'!C64/'Data Sheet'!C$66</f>
        <v>7.0433211831876383E-2</v>
      </c>
      <c r="E36" s="59">
        <f>'Data Sheet'!D64/'Data Sheet'!D$66</f>
        <v>6.5052293764994273E-2</v>
      </c>
      <c r="F36" s="59">
        <f>'Data Sheet'!E64/'Data Sheet'!E$66</f>
        <v>8.6363984747743774E-2</v>
      </c>
      <c r="G36" s="59">
        <f>'Data Sheet'!F64/'Data Sheet'!F$66</f>
        <v>0.10194740608390004</v>
      </c>
      <c r="H36" s="59">
        <f>'Data Sheet'!G64/'Data Sheet'!G$66</f>
        <v>8.2667764872881161E-2</v>
      </c>
      <c r="I36" s="59">
        <f>'Data Sheet'!H64/'Data Sheet'!H$66</f>
        <v>4.7426890542992164E-2</v>
      </c>
      <c r="J36" s="59">
        <f>'Data Sheet'!I64/'Data Sheet'!I$66</f>
        <v>4.1815462194052626E-2</v>
      </c>
      <c r="K36" s="59">
        <f>'Data Sheet'!J64/'Data Sheet'!J$66</f>
        <v>4.1640947232761093E-2</v>
      </c>
      <c r="L36" s="59">
        <f>'Data Sheet'!K64/'Data Sheet'!K$66</f>
        <v>4.193768378443781E-2</v>
      </c>
    </row>
    <row r="37" spans="2:12" outlineLevel="1" x14ac:dyDescent="0.3">
      <c r="B37" s="56" t="str">
        <f>'Data Sheet'!A65</f>
        <v>Other Assets</v>
      </c>
      <c r="C37" s="59">
        <f>('Data Sheet'!B65/'Data Sheet'!B$66)-SUM(C38:C40)</f>
        <v>4.4446647500082648E-2</v>
      </c>
      <c r="D37" s="59">
        <f>('Data Sheet'!C65/'Data Sheet'!C$66)-SUM(D38:D40)</f>
        <v>7.2153586443448048E-2</v>
      </c>
      <c r="E37" s="59">
        <f>('Data Sheet'!D65/'Data Sheet'!D$66)-SUM(E38:E40)</f>
        <v>6.1686258317086795E-2</v>
      </c>
      <c r="F37" s="59">
        <f>('Data Sheet'!E65/'Data Sheet'!E$66)-SUM(F38:F40)</f>
        <v>4.7591446473394805E-2</v>
      </c>
      <c r="G37" s="59">
        <f>('Data Sheet'!F65/'Data Sheet'!F$66)-SUM(G38:G40)</f>
        <v>4.9375992943072045E-2</v>
      </c>
      <c r="H37" s="59">
        <f>('Data Sheet'!G65/'Data Sheet'!G$66)-SUM(H38:H40)</f>
        <v>4.540615375179069E-2</v>
      </c>
      <c r="I37" s="59">
        <f>('Data Sheet'!H65/'Data Sheet'!H$66)-SUM(I38:I40)</f>
        <v>4.4634658026175278E-2</v>
      </c>
      <c r="J37" s="59">
        <f>('Data Sheet'!I65/'Data Sheet'!I$66)-SUM(J38:J40)</f>
        <v>0.17203746461523539</v>
      </c>
      <c r="K37" s="59">
        <f>('Data Sheet'!J65/'Data Sheet'!J$66)-SUM(K38:K40)</f>
        <v>4.3918892742858096E-2</v>
      </c>
      <c r="L37" s="59">
        <f>('Data Sheet'!K65/'Data Sheet'!K$66)-SUM(L38:L40)</f>
        <v>4.7241919595607085E-2</v>
      </c>
    </row>
    <row r="38" spans="2:12" outlineLevel="1" x14ac:dyDescent="0.3">
      <c r="B38" s="56" t="str">
        <f>'Data Sheet'!A67</f>
        <v>Receivables</v>
      </c>
      <c r="C38" s="59">
        <f>'Data Sheet'!B67/'Data Sheet'!B$66</f>
        <v>0.20394236806450547</v>
      </c>
      <c r="D38" s="59">
        <f>'Data Sheet'!C67/'Data Sheet'!C$66</f>
        <v>0.19756351945636164</v>
      </c>
      <c r="E38" s="59">
        <f>'Data Sheet'!D67/'Data Sheet'!D$66</f>
        <v>0.19892015073984831</v>
      </c>
      <c r="F38" s="59">
        <f>'Data Sheet'!E67/'Data Sheet'!E$66</f>
        <v>0.22756711184349193</v>
      </c>
      <c r="G38" s="59">
        <f>'Data Sheet'!F67/'Data Sheet'!F$66</f>
        <v>0.23129441521560085</v>
      </c>
      <c r="H38" s="59">
        <f>'Data Sheet'!G67/'Data Sheet'!G$66</f>
        <v>0.17592913065002999</v>
      </c>
      <c r="I38" s="59">
        <f>'Data Sheet'!H67/'Data Sheet'!H$66</f>
        <v>0.17829225864733506</v>
      </c>
      <c r="J38" s="59">
        <f>'Data Sheet'!I67/'Data Sheet'!I$66</f>
        <v>0.14708229290241542</v>
      </c>
      <c r="K38" s="59">
        <f>'Data Sheet'!J67/'Data Sheet'!J$66</f>
        <v>0.16203372495744994</v>
      </c>
      <c r="L38" s="59">
        <f>'Data Sheet'!K67/'Data Sheet'!K$66</f>
        <v>0.16598102696849479</v>
      </c>
    </row>
    <row r="39" spans="2:12" outlineLevel="1" x14ac:dyDescent="0.3">
      <c r="B39" s="56" t="str">
        <f>'Data Sheet'!A68</f>
        <v>Inventory</v>
      </c>
      <c r="C39" s="59">
        <f>'Data Sheet'!B68/'Data Sheet'!B$66</f>
        <v>0.21387814899265278</v>
      </c>
      <c r="D39" s="59">
        <f>'Data Sheet'!C68/'Data Sheet'!C$66</f>
        <v>0.19914948980140426</v>
      </c>
      <c r="E39" s="59">
        <f>'Data Sheet'!D68/'Data Sheet'!D$66</f>
        <v>0.20211892976798398</v>
      </c>
      <c r="F39" s="59">
        <f>'Data Sheet'!E68/'Data Sheet'!E$66</f>
        <v>0.2098239092529077</v>
      </c>
      <c r="G39" s="59">
        <f>'Data Sheet'!F68/'Data Sheet'!F$66</f>
        <v>0.23981853613750209</v>
      </c>
      <c r="H39" s="59">
        <f>'Data Sheet'!G68/'Data Sheet'!G$66</f>
        <v>0.2223955207206102</v>
      </c>
      <c r="I39" s="59">
        <f>'Data Sheet'!H68/'Data Sheet'!H$66</f>
        <v>0.17190894634284731</v>
      </c>
      <c r="J39" s="59">
        <f>'Data Sheet'!I68/'Data Sheet'!I$66</f>
        <v>0.20962344238768657</v>
      </c>
      <c r="K39" s="59">
        <f>'Data Sheet'!J68/'Data Sheet'!J$66</f>
        <v>0.23216706999904441</v>
      </c>
      <c r="L39" s="59">
        <f>'Data Sheet'!K68/'Data Sheet'!K$66</f>
        <v>0.20781115942772915</v>
      </c>
    </row>
    <row r="40" spans="2:12" outlineLevel="1" x14ac:dyDescent="0.3">
      <c r="B40" s="56" t="str">
        <f>'Data Sheet'!A69</f>
        <v>Cash &amp; Bank</v>
      </c>
      <c r="C40" s="59">
        <f>'Data Sheet'!B69/'Data Sheet'!B$66</f>
        <v>5.4619256909333246E-2</v>
      </c>
      <c r="D40" s="59">
        <f>'Data Sheet'!C69/'Data Sheet'!C$66</f>
        <v>6.0885132737653627E-2</v>
      </c>
      <c r="E40" s="59">
        <f>'Data Sheet'!D69/'Data Sheet'!D$66</f>
        <v>6.5888575863853271E-2</v>
      </c>
      <c r="F40" s="59">
        <f>'Data Sheet'!E69/'Data Sheet'!E$66</f>
        <v>6.1751518519228187E-2</v>
      </c>
      <c r="G40" s="59">
        <f>'Data Sheet'!F69/'Data Sheet'!F$66</f>
        <v>4.388527091312508E-2</v>
      </c>
      <c r="H40" s="59">
        <f>'Data Sheet'!G69/'Data Sheet'!G$66</f>
        <v>0.12879680702384655</v>
      </c>
      <c r="I40" s="59">
        <f>'Data Sheet'!H69/'Data Sheet'!H$66</f>
        <v>0.25718029310975565</v>
      </c>
      <c r="J40" s="59">
        <f>'Data Sheet'!I69/'Data Sheet'!I$66</f>
        <v>0.10666856801308289</v>
      </c>
      <c r="K40" s="59">
        <f>'Data Sheet'!J69/'Data Sheet'!J$66</f>
        <v>0.10333659615022044</v>
      </c>
      <c r="L40" s="59">
        <f>'Data Sheet'!K69/'Data Sheet'!K$66</f>
        <v>0.13637508035795035</v>
      </c>
    </row>
  </sheetData>
  <pageMargins left="0.7" right="0.7" top="0.75" bottom="0.75" header="0.3" footer="0.3"/>
  <pageSetup paperSize="9" scale="6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59E09-FEB3-4183-A1B6-024948051561}">
  <sheetPr>
    <tabColor rgb="FF0275D8"/>
  </sheetPr>
  <dimension ref="B2:O40"/>
  <sheetViews>
    <sheetView showGridLines="0" zoomScaleNormal="100" workbookViewId="0">
      <pane ySplit="3" topLeftCell="A21" activePane="bottomLeft" state="frozen"/>
      <selection pane="bottomLeft" activeCell="K43" sqref="K43"/>
    </sheetView>
  </sheetViews>
  <sheetFormatPr defaultRowHeight="14.4" x14ac:dyDescent="0.3"/>
  <cols>
    <col min="1" max="1" width="2.33203125" customWidth="1"/>
    <col min="2" max="2" width="26.77734375" bestFit="1" customWidth="1"/>
    <col min="3" max="4" width="9" bestFit="1" customWidth="1"/>
    <col min="5" max="5" width="9.77734375" bestFit="1" customWidth="1"/>
    <col min="6" max="6" width="9" bestFit="1" customWidth="1"/>
    <col min="7" max="7" width="9.77734375" bestFit="1" customWidth="1"/>
    <col min="8" max="8" width="9" bestFit="1" customWidth="1"/>
    <col min="9" max="9" width="9.77734375" bestFit="1" customWidth="1"/>
    <col min="10" max="10" width="9" bestFit="1" customWidth="1"/>
    <col min="11" max="11" width="9.77734375" bestFit="1" customWidth="1"/>
    <col min="12" max="12" width="12.21875" customWidth="1"/>
    <col min="13" max="13" width="13.5546875" customWidth="1"/>
  </cols>
  <sheetData>
    <row r="2" spans="2:15" x14ac:dyDescent="0.3">
      <c r="B2" s="2"/>
      <c r="C2" s="2"/>
      <c r="D2" s="2"/>
      <c r="E2" s="2" t="str">
        <f>_xlfn.CONCAT("Ratio Analysis - ",'Data Sheet'!B1)</f>
        <v>Ratio Analysis - CARBORUNDUM UNIVERSAL LTD</v>
      </c>
      <c r="F2" s="2"/>
      <c r="G2" s="2"/>
      <c r="H2" s="2"/>
      <c r="I2" s="2"/>
      <c r="J2" s="2"/>
      <c r="K2" s="2"/>
      <c r="L2" s="2"/>
      <c r="M2" s="2"/>
      <c r="N2" s="2"/>
      <c r="O2" s="2"/>
    </row>
    <row r="3" spans="2:15" x14ac:dyDescent="0.3">
      <c r="B3" s="2" t="s">
        <v>56</v>
      </c>
      <c r="C3" s="3">
        <f>'Historcial FS'!C3</f>
        <v>42094</v>
      </c>
      <c r="D3" s="3">
        <f>'Historcial FS'!D3</f>
        <v>42460</v>
      </c>
      <c r="E3" s="3">
        <f>'Historcial FS'!E3</f>
        <v>42825</v>
      </c>
      <c r="F3" s="3">
        <f>'Historcial FS'!F3</f>
        <v>43190</v>
      </c>
      <c r="G3" s="3">
        <f>'Historcial FS'!G3</f>
        <v>43555</v>
      </c>
      <c r="H3" s="3">
        <f>'Historcial FS'!H3</f>
        <v>43921</v>
      </c>
      <c r="I3" s="3">
        <f>'Historcial FS'!I3</f>
        <v>44286</v>
      </c>
      <c r="J3" s="3">
        <f>'Historcial FS'!J3</f>
        <v>44651</v>
      </c>
      <c r="K3" s="3">
        <f>'Historcial FS'!K3</f>
        <v>45016</v>
      </c>
      <c r="L3" s="3">
        <f>'Historcial FS'!L3</f>
        <v>45382</v>
      </c>
      <c r="M3" s="37" t="s">
        <v>117</v>
      </c>
      <c r="N3" s="3" t="s">
        <v>118</v>
      </c>
      <c r="O3" s="3" t="s">
        <v>119</v>
      </c>
    </row>
    <row r="5" spans="2:15" x14ac:dyDescent="0.3">
      <c r="B5" s="26" t="s">
        <v>87</v>
      </c>
      <c r="C5" s="27" t="s">
        <v>59</v>
      </c>
      <c r="D5" s="27">
        <f>IFERROR(('Historcial FS'!D6-'Historcial FS'!C6)/'Historcial FS'!C6,0)</f>
        <v>-4.8136904470449958E-2</v>
      </c>
      <c r="E5" s="27">
        <f>IFERROR(('Historcial FS'!E6-'Historcial FS'!D6)/'Historcial FS'!D6,0)</f>
        <v>8.6677400603912449E-2</v>
      </c>
      <c r="F5" s="27">
        <f>IFERROR(('Historcial FS'!F6-'Historcial FS'!E6)/'Historcial FS'!E6,0)</f>
        <v>0.12402898948634088</v>
      </c>
      <c r="G5" s="27">
        <f>IFERROR(('Historcial FS'!G6-'Historcial FS'!F6)/'Historcial FS'!F6,0)</f>
        <v>0.13240682248894509</v>
      </c>
      <c r="H5" s="27">
        <f>IFERROR(('Historcial FS'!H6-'Historcial FS'!G6)/'Historcial FS'!G6,0)</f>
        <v>-3.3444903120235146E-2</v>
      </c>
      <c r="I5" s="27">
        <f>IFERROR(('Historcial FS'!I6-'Historcial FS'!H6)/'Historcial FS'!H6,0)</f>
        <v>1.2597298160425183E-2</v>
      </c>
      <c r="J5" s="27">
        <f>IFERROR(('Historcial FS'!J6-'Historcial FS'!I6)/'Historcial FS'!I6,0)</f>
        <v>0.26334588537490838</v>
      </c>
      <c r="K5" s="27">
        <f>IFERROR(('Historcial FS'!K6-'Historcial FS'!J6)/'Historcial FS'!J6,0)</f>
        <v>0.39988450294156552</v>
      </c>
      <c r="L5" s="27">
        <f>IFERROR(('Historcial FS'!L6-'Historcial FS'!K6)/'Historcial FS'!K6,0)</f>
        <v>1.0293751127993987E-2</v>
      </c>
      <c r="M5" s="38"/>
      <c r="N5" s="39">
        <f>IFERROR(AVERAGE(D5:L5),0)</f>
        <v>0.10529476028815626</v>
      </c>
      <c r="O5" s="39">
        <f>IFERROR(MEDIAN(C5:L5),0)</f>
        <v>8.6677400603912449E-2</v>
      </c>
    </row>
    <row r="6" spans="2:15" x14ac:dyDescent="0.3">
      <c r="B6" t="s">
        <v>88</v>
      </c>
      <c r="C6" s="28" t="s">
        <v>59</v>
      </c>
      <c r="D6" s="28">
        <f>IFERROR(('Historcial FS'!D18-'Historcial FS'!C18)/'Historcial FS'!C18,0)</f>
        <v>0.31303865517535756</v>
      </c>
      <c r="E6" s="28">
        <f>IFERROR(('Historcial FS'!E18-'Historcial FS'!D18)/'Historcial FS'!D18,0)</f>
        <v>9.049553208773245E-2</v>
      </c>
      <c r="F6" s="28">
        <f>IFERROR(('Historcial FS'!F18-'Historcial FS'!E18)/'Historcial FS'!E18,0)</f>
        <v>0.19100119189511353</v>
      </c>
      <c r="G6" s="28">
        <f>IFERROR(('Historcial FS'!G18-'Historcial FS'!F18)/'Historcial FS'!F18,0)</f>
        <v>9.8598949211909426E-2</v>
      </c>
      <c r="H6" s="28">
        <f>IFERROR(('Historcial FS'!H18-'Historcial FS'!G18)/'Historcial FS'!G18,0)</f>
        <v>-8.9476440982898531E-2</v>
      </c>
      <c r="I6" s="28">
        <f>IFERROR(('Historcial FS'!I18-'Historcial FS'!H18)/'Historcial FS'!H18,0)</f>
        <v>0.16567455354909841</v>
      </c>
      <c r="J6" s="28">
        <f>IFERROR(('Historcial FS'!J18-'Historcial FS'!I18)/'Historcial FS'!I18,0)</f>
        <v>0.15952881603227032</v>
      </c>
      <c r="K6" s="28">
        <f>IFERROR(('Historcial FS'!K18-'Historcial FS'!J18)/'Historcial FS'!J18,0)</f>
        <v>0.21228326640883716</v>
      </c>
      <c r="L6" s="28">
        <f>IFERROR(('Historcial FS'!L18-'Historcial FS'!K18)/'Historcial FS'!K18,0)</f>
        <v>0.13118007113092039</v>
      </c>
      <c r="N6" s="28">
        <f t="shared" ref="N6:N9" si="0">IFERROR(AVERAGE(D6:L6),0)</f>
        <v>0.14136939938981563</v>
      </c>
      <c r="O6" s="28">
        <f t="shared" ref="O6:O40" si="1">IFERROR(MEDIAN(C6:L6),0)</f>
        <v>0.15952881603227032</v>
      </c>
    </row>
    <row r="7" spans="2:15" x14ac:dyDescent="0.3">
      <c r="B7" t="s">
        <v>89</v>
      </c>
      <c r="C7" s="28" t="s">
        <v>59</v>
      </c>
      <c r="D7" s="28">
        <f>IFERROR(('Historcial FS'!D27-'Historcial FS'!C27)/'Historcial FS'!C27,0)</f>
        <v>0.82221404251403662</v>
      </c>
      <c r="E7" s="28">
        <f>IFERROR(('Historcial FS'!E27-'Historcial FS'!D27)/'Historcial FS'!D27,0)</f>
        <v>0.11604888395111414</v>
      </c>
      <c r="F7" s="28">
        <f>IFERROR(('Historcial FS'!F27-'Historcial FS'!E27)/'Historcial FS'!E27,0)</f>
        <v>0.29000000000000054</v>
      </c>
      <c r="G7" s="28">
        <f>IFERROR(('Historcial FS'!G27-'Historcial FS'!F27)/'Historcial FS'!F27,0)</f>
        <v>0.13073064646252136</v>
      </c>
      <c r="H7" s="28">
        <f>IFERROR(('Historcial FS'!H27-'Historcial FS'!G27)/'Historcial FS'!G27,0)</f>
        <v>-0.10357984861645549</v>
      </c>
      <c r="I7" s="28">
        <f>IFERROR(('Historcial FS'!I27-'Historcial FS'!H27)/'Historcial FS'!H27,0)</f>
        <v>0.25628958023324439</v>
      </c>
      <c r="J7" s="28">
        <f>IFERROR(('Historcial FS'!J27-'Historcial FS'!I27)/'Historcial FS'!I27,0)</f>
        <v>0.15748009806352062</v>
      </c>
      <c r="K7" s="28">
        <f>IFERROR(('Historcial FS'!K27-'Historcial FS'!J27)/'Historcial FS'!J27,0)</f>
        <v>5.7258448357923993E-2</v>
      </c>
      <c r="L7" s="28">
        <f>IFERROR(('Historcial FS'!L27-'Historcial FS'!K27)/'Historcial FS'!K27,0)</f>
        <v>0.19745194255616053</v>
      </c>
      <c r="N7" s="28">
        <f t="shared" si="0"/>
        <v>0.2137659770580074</v>
      </c>
      <c r="O7" s="28">
        <f t="shared" si="1"/>
        <v>0.15748009806352062</v>
      </c>
    </row>
    <row r="8" spans="2:15" x14ac:dyDescent="0.3">
      <c r="B8" t="s">
        <v>90</v>
      </c>
      <c r="C8" s="28" t="s">
        <v>59</v>
      </c>
      <c r="D8" s="28">
        <f>IFERROR(('Historcial FS'!D33-'Historcial FS'!C33)/'Historcial FS'!C33,0)</f>
        <v>3.3987174651075267</v>
      </c>
      <c r="E8" s="28">
        <f>IFERROR(('Historcial FS'!E33-'Historcial FS'!D33)/'Historcial FS'!D33,0)</f>
        <v>0.22562387445330251</v>
      </c>
      <c r="F8" s="28">
        <f>IFERROR(('Historcial FS'!F33-'Historcial FS'!E33)/'Historcial FS'!E33,0)</f>
        <v>0.2809263923873504</v>
      </c>
      <c r="G8" s="28">
        <f>IFERROR(('Historcial FS'!G33-'Historcial FS'!F33)/'Historcial FS'!F33,0)</f>
        <v>9.8923908887311868E-2</v>
      </c>
      <c r="H8" s="28">
        <f>IFERROR(('Historcial FS'!H33-'Historcial FS'!G33)/'Historcial FS'!G33,0)</f>
        <v>6.0841037876525367E-2</v>
      </c>
      <c r="I8" s="28">
        <f>IFERROR(('Historcial FS'!I33-'Historcial FS'!H33)/'Historcial FS'!H33,0)</f>
        <v>0.22514291069253406</v>
      </c>
      <c r="J8" s="28">
        <f>IFERROR(('Historcial FS'!J33-'Historcial FS'!I33)/'Historcial FS'!I33,0)</f>
        <v>0.12314988335181805</v>
      </c>
      <c r="K8" s="28">
        <f>IFERROR(('Historcial FS'!K33-'Historcial FS'!J33)/'Historcial FS'!J33,0)</f>
        <v>4.2156161678072859E-2</v>
      </c>
      <c r="L8" s="28">
        <f>IFERROR(('Historcial FS'!L33-'Historcial FS'!K33)/'Historcial FS'!K33,0)</f>
        <v>0.16944943636660648</v>
      </c>
      <c r="N8" s="28">
        <f t="shared" si="0"/>
        <v>0.51388123008900533</v>
      </c>
      <c r="O8" s="28">
        <f t="shared" si="1"/>
        <v>0.16944943636660648</v>
      </c>
    </row>
    <row r="9" spans="2:15" x14ac:dyDescent="0.3">
      <c r="B9" s="29" t="s">
        <v>91</v>
      </c>
      <c r="C9" s="30" t="s">
        <v>59</v>
      </c>
      <c r="D9" s="30">
        <f>IFERROR(('Historcial FS'!D41-'Historcial FS'!C41)/'Historcial FS'!C41,0)</f>
        <v>0.20025510204081642</v>
      </c>
      <c r="E9" s="30">
        <f>IFERROR(('Historcial FS'!E41-'Historcial FS'!D41)/'Historcial FS'!D41,0)</f>
        <v>0.16657834304893138</v>
      </c>
      <c r="F9" s="30">
        <f>IFERROR(('Historcial FS'!F41-'Historcial FS'!E41)/'Historcial FS'!E41,0)</f>
        <v>0.28566044629036763</v>
      </c>
      <c r="G9" s="30">
        <f>IFERROR(('Historcial FS'!G41-'Historcial FS'!F41)/'Historcial FS'!F41,0)</f>
        <v>0.22236594543744104</v>
      </c>
      <c r="H9" s="30">
        <f>IFERROR(('Historcial FS'!H41-'Historcial FS'!G41)/'Historcial FS'!G41,0)</f>
        <v>-9.5996928098332745E-5</v>
      </c>
      <c r="I9" s="30">
        <f>IFERROR(('Historcial FS'!I41-'Historcial FS'!H41)/'Historcial FS'!H41,0)</f>
        <v>9.1013824884792663E-2</v>
      </c>
      <c r="J9" s="30">
        <f>IFERROR(('Historcial FS'!J41-'Historcial FS'!I41)/'Historcial FS'!I41,0)</f>
        <v>0.16657890117605753</v>
      </c>
      <c r="K9" s="30">
        <f>IFERROR(('Historcial FS'!K41-'Historcial FS'!J41)/'Historcial FS'!J41,0)</f>
        <v>0</v>
      </c>
      <c r="L9" s="30">
        <f>IFERROR(('Historcial FS'!L41-'Historcial FS'!K41)/'Historcial FS'!K41,0)</f>
        <v>0.14294312368341866</v>
      </c>
      <c r="M9" s="40"/>
      <c r="N9" s="41">
        <f t="shared" si="0"/>
        <v>0.14169996551485856</v>
      </c>
      <c r="O9" s="41">
        <f t="shared" si="1"/>
        <v>0.16657834304893138</v>
      </c>
    </row>
    <row r="11" spans="2:15" x14ac:dyDescent="0.3">
      <c r="B11" s="26" t="s">
        <v>92</v>
      </c>
      <c r="C11" s="27">
        <f>IFERROR('Historcial FS'!C12/'Historcial FS'!C6,0)</f>
        <v>0.23470596876071093</v>
      </c>
      <c r="D11" s="27">
        <f>IFERROR('Historcial FS'!D12/'Historcial FS'!D6,0)</f>
        <v>0.31867962283756612</v>
      </c>
      <c r="E11" s="27">
        <f>IFERROR('Historcial FS'!E12/'Historcial FS'!E6,0)</f>
        <v>0.32465005751506515</v>
      </c>
      <c r="F11" s="27">
        <f>IFERROR('Historcial FS'!F12/'Historcial FS'!F6,0)</f>
        <v>0.31228890292693195</v>
      </c>
      <c r="G11" s="27">
        <f>IFERROR('Historcial FS'!G12/'Historcial FS'!G6,0)</f>
        <v>0.30321320986276923</v>
      </c>
      <c r="H11" s="27">
        <f>IFERROR('Historcial FS'!H12/'Historcial FS'!H6,0)</f>
        <v>0.30357410820440389</v>
      </c>
      <c r="I11" s="27">
        <f>IFERROR('Historcial FS'!I12/'Historcial FS'!I6,0)</f>
        <v>0.31565028061602535</v>
      </c>
      <c r="J11" s="27">
        <f>IFERROR('Historcial FS'!J12/'Historcial FS'!J6,0)</f>
        <v>0.32951551390175526</v>
      </c>
      <c r="K11" s="27">
        <f>IFERROR('Historcial FS'!K12/'Historcial FS'!K6,0)</f>
        <v>0.30612683379598987</v>
      </c>
      <c r="L11" s="27">
        <f>IFERROR('Historcial FS'!L12/'Historcial FS'!L6,0)</f>
        <v>0.31145487528151766</v>
      </c>
      <c r="M11" s="38"/>
      <c r="N11" s="39">
        <f>IFERROR(AVERAGE(C11:L11),0)</f>
        <v>0.30598593737027352</v>
      </c>
      <c r="O11" s="39">
        <f t="shared" si="1"/>
        <v>0.31187188910422481</v>
      </c>
    </row>
    <row r="12" spans="2:15" x14ac:dyDescent="0.3">
      <c r="B12" t="s">
        <v>93</v>
      </c>
      <c r="C12" s="28">
        <f>IFERROR('Historcial FS'!C18/'Historcial FS'!C6,0)</f>
        <v>0.1147627674680507</v>
      </c>
      <c r="D12" s="28">
        <f>IFERROR('Historcial FS'!D18/'Historcial FS'!D6,0)</f>
        <v>0.15830842751248733</v>
      </c>
      <c r="E12" s="28">
        <f>IFERROR('Historcial FS'!E18/'Historcial FS'!E6,0)</f>
        <v>0.15886465734749036</v>
      </c>
      <c r="F12" s="28">
        <f>IFERROR('Historcial FS'!F18/'Historcial FS'!F6,0)</f>
        <v>0.16833017477363654</v>
      </c>
      <c r="G12" s="28">
        <f>IFERROR('Historcial FS'!G18/'Historcial FS'!G6,0)</f>
        <v>0.16330469708802864</v>
      </c>
      <c r="H12" s="28">
        <f>IFERROR('Historcial FS'!H18/'Historcial FS'!H6,0)</f>
        <v>0.15383786653943662</v>
      </c>
      <c r="I12" s="28">
        <f>IFERROR('Historcial FS'!I18/'Historcial FS'!I6,0)</f>
        <v>0.17709398071976018</v>
      </c>
      <c r="J12" s="28">
        <f>IFERROR('Historcial FS'!J18/'Historcial FS'!J6,0)</f>
        <v>0.1625410555949903</v>
      </c>
      <c r="K12" s="28">
        <f>IFERROR('Historcial FS'!K18/'Historcial FS'!K6,0)</f>
        <v>0.1407586135771805</v>
      </c>
      <c r="L12" s="28">
        <f>IFERROR('Historcial FS'!L18/'Historcial FS'!L6,0)</f>
        <v>0.15760103271029022</v>
      </c>
      <c r="N12" s="28">
        <f t="shared" ref="N12:N40" si="2">IFERROR(AVERAGE(C12:L12),0)</f>
        <v>0.15554032733313511</v>
      </c>
      <c r="O12" s="28">
        <f t="shared" si="1"/>
        <v>0.15858654242998885</v>
      </c>
    </row>
    <row r="13" spans="2:15" x14ac:dyDescent="0.3">
      <c r="B13" t="s">
        <v>94</v>
      </c>
      <c r="C13" s="28">
        <f>IFERROR(('Historcial FS'!C18-'Historcial FS'!C24)/'Historcial FS'!C6,0)</f>
        <v>6.5617196298291117E-2</v>
      </c>
      <c r="D13" s="28">
        <f>IFERROR(('Historcial FS'!D18-'Historcial FS'!D24)/'Historcial FS'!D6,0)</f>
        <v>0.11364770394909451</v>
      </c>
      <c r="E13" s="28">
        <f>IFERROR(('Historcial FS'!E18-'Historcial FS'!E24)/'Historcial FS'!E6,0)</f>
        <v>0.11319343523519634</v>
      </c>
      <c r="F13" s="28">
        <f>IFERROR(('Historcial FS'!F18-'Historcial FS'!F24)/'Historcial FS'!F6,0)</f>
        <v>0.12368919772583702</v>
      </c>
      <c r="G13" s="28">
        <f>IFERROR(('Historcial FS'!G18-'Historcial FS'!G24)/'Historcial FS'!G6,0)</f>
        <v>0.12303916099520257</v>
      </c>
      <c r="H13" s="28">
        <f>IFERROR(('Historcial FS'!H18-'Historcial FS'!H24)/'Historcial FS'!H6,0)</f>
        <v>0.11362193484341859</v>
      </c>
      <c r="I13" s="28">
        <f>IFERROR(('Historcial FS'!I18-'Historcial FS'!I24)/'Historcial FS'!I6,0)</f>
        <v>0.13930486261784167</v>
      </c>
      <c r="J13" s="28">
        <f>IFERROR(('Historcial FS'!J18-'Historcial FS'!J24)/'Historcial FS'!J6,0)</f>
        <v>0.12808142542619616</v>
      </c>
      <c r="K13" s="28">
        <f>IFERROR(('Historcial FS'!K18-'Historcial FS'!K24)/'Historcial FS'!K6,0)</f>
        <v>0.10050748988028216</v>
      </c>
      <c r="L13" s="28">
        <f>IFERROR(('Historcial FS'!L18-'Historcial FS'!L24)/'Historcial FS'!L6,0)</f>
        <v>0.11703482845227427</v>
      </c>
      <c r="N13" s="28">
        <f t="shared" si="2"/>
        <v>0.11377372354236344</v>
      </c>
      <c r="O13" s="28">
        <f t="shared" si="1"/>
        <v>0.11534126620068438</v>
      </c>
    </row>
    <row r="14" spans="2:15" x14ac:dyDescent="0.3">
      <c r="B14" t="s">
        <v>95</v>
      </c>
      <c r="C14" s="28">
        <f>IFERROR('Historcial FS'!C27/'Historcial FS'!C6,0)</f>
        <v>5.3209616608725425E-2</v>
      </c>
      <c r="D14" s="28">
        <f>IFERROR('Historcial FS'!D27/'Historcial FS'!D6,0)</f>
        <v>0.10186266390259222</v>
      </c>
      <c r="E14" s="28">
        <f>IFERROR('Historcial FS'!E27/'Historcial FS'!E6,0)</f>
        <v>0.1046158798384844</v>
      </c>
      <c r="F14" s="28">
        <f>IFERROR('Historcial FS'!F27/'Historcial FS'!F6,0)</f>
        <v>0.12006317119393556</v>
      </c>
      <c r="G14" s="28">
        <f>IFERROR('Historcial FS'!G27/'Historcial FS'!G6,0)</f>
        <v>0.11988545501878098</v>
      </c>
      <c r="H14" s="28">
        <f>IFERROR('Historcial FS'!H27/'Historcial FS'!H6,0)</f>
        <v>0.1111863545943199</v>
      </c>
      <c r="I14" s="28">
        <f>IFERROR('Historcial FS'!I27/'Historcial FS'!I6,0)</f>
        <v>0.13794453036238799</v>
      </c>
      <c r="J14" s="28">
        <f>IFERROR('Historcial FS'!J27/'Historcial FS'!J6,0)</f>
        <v>0.12638506238044248</v>
      </c>
      <c r="K14" s="28">
        <f>IFERROR('Historcial FS'!K27/'Historcial FS'!K6,0)</f>
        <v>9.5451928117775392E-2</v>
      </c>
      <c r="L14" s="28">
        <f>IFERROR('Historcial FS'!L27/'Historcial FS'!L6,0)</f>
        <v>0.11313451817132006</v>
      </c>
      <c r="N14" s="28">
        <f t="shared" si="2"/>
        <v>0.10837391801887644</v>
      </c>
      <c r="O14" s="28">
        <f t="shared" si="1"/>
        <v>0.11216043638281997</v>
      </c>
    </row>
    <row r="15" spans="2:15" x14ac:dyDescent="0.3">
      <c r="B15" s="29" t="s">
        <v>96</v>
      </c>
      <c r="C15" s="30">
        <f>IFERROR('Historcial FS'!C33/'Historcial FS'!C6,0)</f>
        <v>1.2980463203251205E-2</v>
      </c>
      <c r="D15" s="30">
        <f>IFERROR('Historcial FS'!D33/'Historcial FS'!D6,0)</f>
        <v>5.998487646541404E-2</v>
      </c>
      <c r="E15" s="30">
        <f>IFERROR('Historcial FS'!E33/'Historcial FS'!E6,0)</f>
        <v>6.765475812903253E-2</v>
      </c>
      <c r="F15" s="30">
        <f>IFERROR('Historcial FS'!F33/'Historcial FS'!F6,0)</f>
        <v>7.709833649189303E-2</v>
      </c>
      <c r="G15" s="30">
        <f>IFERROR('Historcial FS'!G33/'Historcial FS'!G6,0)</f>
        <v>7.4818699096284788E-2</v>
      </c>
      <c r="H15" s="30">
        <f>IFERROR('Historcial FS'!H33/'Historcial FS'!H6,0)</f>
        <v>8.2117146407999927E-2</v>
      </c>
      <c r="I15" s="30">
        <f>IFERROR('Historcial FS'!I33/'Historcial FS'!I6,0)</f>
        <v>9.9353652188121061E-2</v>
      </c>
      <c r="J15" s="30">
        <f>IFERROR('Historcial FS'!J33/'Historcial FS'!J6,0)</f>
        <v>8.8328180079163585E-2</v>
      </c>
      <c r="K15" s="30">
        <f>IFERROR('Historcial FS'!K33/'Historcial FS'!K6,0)</f>
        <v>6.575667987314894E-2</v>
      </c>
      <c r="L15" s="30">
        <f>IFERROR('Historcial FS'!L33/'Historcial FS'!L6,0)</f>
        <v>7.61155972004533E-2</v>
      </c>
      <c r="M15" s="40"/>
      <c r="N15" s="41">
        <f t="shared" si="2"/>
        <v>7.0420838913476239E-2</v>
      </c>
      <c r="O15" s="41">
        <f t="shared" si="1"/>
        <v>7.5467148148369051E-2</v>
      </c>
    </row>
    <row r="17" spans="2:15" x14ac:dyDescent="0.3">
      <c r="B17" s="26" t="s">
        <v>97</v>
      </c>
      <c r="C17" s="27">
        <f>IFERROR('Historcial FS'!C15/'Historcial FS'!C6,0)</f>
        <v>0.11994320129266023</v>
      </c>
      <c r="D17" s="27">
        <f>IFERROR('Historcial FS'!D15/'Historcial FS'!D6,0)</f>
        <v>0.16037119532507882</v>
      </c>
      <c r="E17" s="27">
        <f>IFERROR('Historcial FS'!E15/'Historcial FS'!E6,0)</f>
        <v>0.16578540016757479</v>
      </c>
      <c r="F17" s="27">
        <f>IFERROR('Historcial FS'!F15/'Historcial FS'!F6,0)</f>
        <v>0.14395872815329541</v>
      </c>
      <c r="G17" s="27">
        <f>IFERROR('Historcial FS'!G15/'Historcial FS'!G6,0)</f>
        <v>0.13990851277474059</v>
      </c>
      <c r="H17" s="27">
        <f>IFERROR('Historcial FS'!H15/'Historcial FS'!H6,0)</f>
        <v>0.14973624166496727</v>
      </c>
      <c r="I17" s="27">
        <f>IFERROR('Historcial FS'!I15/'Historcial FS'!I6,0)</f>
        <v>0.13855629989626517</v>
      </c>
      <c r="J17" s="27">
        <f>IFERROR('Historcial FS'!J15/'Historcial FS'!J6,0)</f>
        <v>0.16697445830676499</v>
      </c>
      <c r="K17" s="27">
        <f>IFERROR('Historcial FS'!K15/'Historcial FS'!K6,0)</f>
        <v>0.16536822021880937</v>
      </c>
      <c r="L17" s="27">
        <f>IFERROR('Historcial FS'!L15/'Historcial FS'!L6,0)</f>
        <v>0.15385384257122747</v>
      </c>
      <c r="M17" s="38"/>
      <c r="N17" s="39">
        <f t="shared" si="2"/>
        <v>0.15044561003713838</v>
      </c>
      <c r="O17" s="39">
        <f t="shared" si="1"/>
        <v>0.15179504211809736</v>
      </c>
    </row>
    <row r="18" spans="2:15" x14ac:dyDescent="0.3">
      <c r="B18" t="s">
        <v>98</v>
      </c>
      <c r="C18" s="28">
        <f>IFERROR('Historcial FS'!C24/'Historcial FS'!C6,0)</f>
        <v>4.9145571169759587E-2</v>
      </c>
      <c r="D18" s="28">
        <f>IFERROR('Historcial FS'!D24/'Historcial FS'!D6,0)</f>
        <v>4.4660723563392811E-2</v>
      </c>
      <c r="E18" s="28">
        <f>IFERROR('Historcial FS'!E24/'Historcial FS'!E6,0)</f>
        <v>4.5671222112294033E-2</v>
      </c>
      <c r="F18" s="28">
        <f>IFERROR('Historcial FS'!F24/'Historcial FS'!F6,0)</f>
        <v>4.4640977047799534E-2</v>
      </c>
      <c r="G18" s="28">
        <f>IFERROR('Historcial FS'!G24/'Historcial FS'!G6,0)</f>
        <v>4.0265536092826057E-2</v>
      </c>
      <c r="H18" s="28">
        <f>IFERROR('Historcial FS'!H24/'Historcial FS'!H6,0)</f>
        <v>4.0215931696018038E-2</v>
      </c>
      <c r="I18" s="28">
        <f>IFERROR('Historcial FS'!I24/'Historcial FS'!I6,0)</f>
        <v>3.7789118101918526E-2</v>
      </c>
      <c r="J18" s="28">
        <f>IFERROR('Historcial FS'!J24/'Historcial FS'!J6,0)</f>
        <v>3.4459630168794136E-2</v>
      </c>
      <c r="K18" s="28">
        <f>IFERROR('Historcial FS'!K24/'Historcial FS'!K6,0)</f>
        <v>4.0251123696898344E-2</v>
      </c>
      <c r="L18" s="28">
        <f>IFERROR('Historcial FS'!L24/'Historcial FS'!L6,0)</f>
        <v>4.056620425801595E-2</v>
      </c>
      <c r="N18" s="28">
        <f t="shared" si="2"/>
        <v>4.1766603790771704E-2</v>
      </c>
      <c r="O18" s="28">
        <f t="shared" si="1"/>
        <v>4.0415870175421004E-2</v>
      </c>
    </row>
    <row r="19" spans="2:15" x14ac:dyDescent="0.3">
      <c r="B19" s="29" t="s">
        <v>99</v>
      </c>
      <c r="C19" s="30">
        <f>IFERROR(('Historcial FS'!C18-'Historcial FS'!C24)/'Historcial FS'!C6,0)</f>
        <v>6.5617196298291117E-2</v>
      </c>
      <c r="D19" s="30">
        <f>IFERROR(('Historcial FS'!D18-'Historcial FS'!D24)/'Historcial FS'!D6,0)</f>
        <v>0.11364770394909451</v>
      </c>
      <c r="E19" s="30">
        <f>IFERROR(('Historcial FS'!E18-'Historcial FS'!E24)/'Historcial FS'!E6,0)</f>
        <v>0.11319343523519634</v>
      </c>
      <c r="F19" s="30">
        <f>IFERROR(('Historcial FS'!F18-'Historcial FS'!F24)/'Historcial FS'!F6,0)</f>
        <v>0.12368919772583702</v>
      </c>
      <c r="G19" s="30">
        <f>IFERROR(('Historcial FS'!G18-'Historcial FS'!G24)/'Historcial FS'!G6,0)</f>
        <v>0.12303916099520257</v>
      </c>
      <c r="H19" s="30">
        <f>IFERROR(('Historcial FS'!H18-'Historcial FS'!H24)/'Historcial FS'!H6,0)</f>
        <v>0.11362193484341859</v>
      </c>
      <c r="I19" s="30">
        <f>IFERROR(('Historcial FS'!I18-'Historcial FS'!I24)/'Historcial FS'!I6,0)</f>
        <v>0.13930486261784167</v>
      </c>
      <c r="J19" s="30">
        <f>IFERROR(('Historcial FS'!J18-'Historcial FS'!J24)/'Historcial FS'!J6,0)</f>
        <v>0.12808142542619616</v>
      </c>
      <c r="K19" s="30">
        <f>IFERROR(('Historcial FS'!K18-'Historcial FS'!K24)/'Historcial FS'!K6,0)</f>
        <v>0.10050748988028216</v>
      </c>
      <c r="L19" s="30">
        <f>IFERROR(('Historcial FS'!L18-'Historcial FS'!L24)/'Historcial FS'!L6,0)</f>
        <v>0.11703482845227427</v>
      </c>
      <c r="M19" s="40"/>
      <c r="N19" s="41">
        <f t="shared" si="2"/>
        <v>0.11377372354236344</v>
      </c>
      <c r="O19" s="41">
        <f t="shared" si="1"/>
        <v>0.11534126620068438</v>
      </c>
    </row>
    <row r="21" spans="2:15" x14ac:dyDescent="0.3">
      <c r="B21" s="26" t="s">
        <v>100</v>
      </c>
      <c r="C21" s="27">
        <f>IFERROR(('Historcial FS'!C18-'Historcial FS'!C24)/SUM('Historcial FS'!C49:C51),0)</f>
        <v>9.3786742063714179E-2</v>
      </c>
      <c r="D21" s="27">
        <f>IFERROR(('Historcial FS'!D18-'Historcial FS'!D24)/SUM('Historcial FS'!D49:D51),0)</f>
        <v>0.14610612914318985</v>
      </c>
      <c r="E21" s="27">
        <f>IFERROR(('Historcial FS'!E18-'Historcial FS'!E24)/SUM('Historcial FS'!E49:E51),0)</f>
        <v>0.15539987262305516</v>
      </c>
      <c r="F21" s="27">
        <f>IFERROR(('Historcial FS'!F18-'Historcial FS'!F24)/SUM('Historcial FS'!F49:F51),0)</f>
        <v>0.17340630922649095</v>
      </c>
      <c r="G21" s="27">
        <f>IFERROR(('Historcial FS'!G18-'Historcial FS'!G24)/SUM('Historcial FS'!G49:G51),0)</f>
        <v>0.18169436420153123</v>
      </c>
      <c r="H21" s="27">
        <f>IFERROR(('Historcial FS'!H18-'Historcial FS'!H24)/SUM('Historcial FS'!H49:H51),0)</f>
        <v>0.15310910514390577</v>
      </c>
      <c r="I21" s="27">
        <f>IFERROR(('Historcial FS'!I18-'Historcial FS'!I24)/SUM('Historcial FS'!I49:I51),0)</f>
        <v>0.16715834013468969</v>
      </c>
      <c r="J21" s="27">
        <f>IFERROR(('Historcial FS'!J18-'Historcial FS'!J24)/SUM('Historcial FS'!J49:J51),0)</f>
        <v>0.16354747155086666</v>
      </c>
      <c r="K21" s="27">
        <f>IFERROR(('Historcial FS'!K18-'Historcial FS'!K24)/SUM('Historcial FS'!K49:K51),0)</f>
        <v>0.15100619145076205</v>
      </c>
      <c r="L21" s="27">
        <f>IFERROR(('Historcial FS'!L18-'Historcial FS'!L24)/SUM('Historcial FS'!L49:L51),0)</f>
        <v>0.16688500727802022</v>
      </c>
      <c r="M21" s="38"/>
      <c r="N21" s="39">
        <f t="shared" si="2"/>
        <v>0.15520995328162257</v>
      </c>
      <c r="O21" s="39">
        <f t="shared" si="1"/>
        <v>0.15947367208696089</v>
      </c>
    </row>
    <row r="22" spans="2:15" x14ac:dyDescent="0.3">
      <c r="B22" t="s">
        <v>101</v>
      </c>
      <c r="C22" s="28">
        <f>IFERROR('Historcial FS'!C44,0)</f>
        <v>0.11278762731044667</v>
      </c>
      <c r="D22" s="28">
        <f>IFERROR('Historcial FS'!D44,0)</f>
        <v>0.75765371751993871</v>
      </c>
      <c r="E22" s="28">
        <f>IFERROR('Historcial FS'!E44,0)</f>
        <v>0.76896165687097651</v>
      </c>
      <c r="F22" s="28">
        <f>IFERROR('Historcial FS'!F44,0)</f>
        <v>0.76773911618506574</v>
      </c>
      <c r="G22" s="28">
        <f>IFERROR('Historcial FS'!G44,0)</f>
        <v>0.74137588229446294</v>
      </c>
      <c r="H22" s="28">
        <f>IFERROR('Historcial FS'!H44,0)</f>
        <v>0.75597413550744963</v>
      </c>
      <c r="I22" s="28">
        <f>IFERROR('Historcial FS'!I44,0)</f>
        <v>0.78246070294871317</v>
      </c>
      <c r="J22" s="28">
        <f>IFERROR('Historcial FS'!J44,0)</f>
        <v>0.77369155855211635</v>
      </c>
      <c r="K22" s="28">
        <f>IFERROR('Historcial FS'!K44,0)</f>
        <v>0.78284594020584841</v>
      </c>
      <c r="L22" s="28">
        <f>IFERROR('Historcial FS'!L44,0)</f>
        <v>0.78732083484674886</v>
      </c>
      <c r="N22" s="28">
        <f t="shared" si="2"/>
        <v>0.70308111722417654</v>
      </c>
      <c r="O22" s="28">
        <f t="shared" si="1"/>
        <v>0.76835038652802112</v>
      </c>
    </row>
    <row r="23" spans="2:15" x14ac:dyDescent="0.3">
      <c r="B23" t="s">
        <v>102</v>
      </c>
      <c r="C23" s="28">
        <f>IFERROR('Historcial FS'!C33/SUM('Historcial FS'!C49:C50),0)</f>
        <v>2.4349918711135135E-2</v>
      </c>
      <c r="D23" s="28">
        <f>IFERROR('Historcial FS'!D33/SUM('Historcial FS'!D49:D50),0)</f>
        <v>9.7805847717779879E-2</v>
      </c>
      <c r="E23" s="28">
        <f>IFERROR('Historcial FS'!E33/SUM('Historcial FS'!E49:E50),0)</f>
        <v>0.1033562580001301</v>
      </c>
      <c r="F23" s="28">
        <f>IFERROR('Historcial FS'!F33/SUM('Historcial FS'!F49:F50),0)</f>
        <v>0.11702624093073799</v>
      </c>
      <c r="G23" s="28">
        <f>IFERROR('Historcial FS'!G33/SUM('Historcial FS'!G49:G50),0)</f>
        <v>0.11668629031790324</v>
      </c>
      <c r="H23" s="28">
        <f>IFERROR('Historcial FS'!H33/SUM('Historcial FS'!H49:H50),0)</f>
        <v>0.11484381305997231</v>
      </c>
      <c r="I23" s="28">
        <f>IFERROR('Historcial FS'!I33/SUM('Historcial FS'!I49:I50),0)</f>
        <v>0.122671208133354</v>
      </c>
      <c r="J23" s="28">
        <f>IFERROR('Historcial FS'!J33/SUM('Historcial FS'!J49:J50),0)</f>
        <v>0.12423745018571948</v>
      </c>
      <c r="K23" s="28">
        <f>IFERROR('Historcial FS'!K33/SUM('Historcial FS'!K49:K50),0)</f>
        <v>0.1085068213404429</v>
      </c>
      <c r="L23" s="28">
        <f>IFERROR('Historcial FS'!L33/SUM('Historcial FS'!L49:L50),0)</f>
        <v>0.11450518442209913</v>
      </c>
      <c r="N23" s="28">
        <f t="shared" si="2"/>
        <v>0.10439890328192743</v>
      </c>
      <c r="O23" s="28">
        <f t="shared" si="1"/>
        <v>0.11467449874103572</v>
      </c>
    </row>
    <row r="24" spans="2:15" x14ac:dyDescent="0.3">
      <c r="B24" t="s">
        <v>103</v>
      </c>
      <c r="C24" s="28">
        <f>IFERROR(C22*C23,0)</f>
        <v>2.7463695566311815E-3</v>
      </c>
      <c r="D24" s="28">
        <f t="shared" ref="D24:L24" si="3">IFERROR(D22*D23,0)</f>
        <v>7.4102964118564943E-2</v>
      </c>
      <c r="E24" s="28">
        <f t="shared" si="3"/>
        <v>7.9476999399764159E-2</v>
      </c>
      <c r="F24" s="28">
        <f t="shared" si="3"/>
        <v>8.9845622782625353E-2</v>
      </c>
      <c r="G24" s="28">
        <f t="shared" si="3"/>
        <v>8.650840143610336E-2</v>
      </c>
      <c r="H24" s="28">
        <f t="shared" si="3"/>
        <v>8.6818952296391722E-2</v>
      </c>
      <c r="I24" s="28">
        <f t="shared" si="3"/>
        <v>9.5985399747592071E-2</v>
      </c>
      <c r="J24" s="28">
        <f t="shared" si="3"/>
        <v>9.6121466464730229E-2</v>
      </c>
      <c r="K24" s="28">
        <f t="shared" si="3"/>
        <v>8.4944124571007043E-2</v>
      </c>
      <c r="L24" s="28">
        <f t="shared" si="3"/>
        <v>9.015231739348803E-2</v>
      </c>
      <c r="N24" s="28">
        <f t="shared" si="2"/>
        <v>7.8670261776689815E-2</v>
      </c>
      <c r="O24" s="28">
        <f t="shared" si="1"/>
        <v>8.6663676866247541E-2</v>
      </c>
    </row>
    <row r="25" spans="2:15" x14ac:dyDescent="0.3">
      <c r="B25" s="29" t="s">
        <v>104</v>
      </c>
      <c r="C25" s="31">
        <f>IFERROR(('Historcial FS'!C18-'Historcial FS'!C24)/'Historcial FS'!C21,0)</f>
        <v>5.28847671665351</v>
      </c>
      <c r="D25" s="31">
        <f>IFERROR(('Historcial FS'!D18-'Historcial FS'!D24)/'Historcial FS'!D21,0)</f>
        <v>9.6433871671759164</v>
      </c>
      <c r="E25" s="31">
        <f>IFERROR(('Historcial FS'!E18-'Historcial FS'!E24)/'Historcial FS'!E21,0)</f>
        <v>13.196467991169971</v>
      </c>
      <c r="F25" s="31">
        <f>IFERROR(('Historcial FS'!F18-'Historcial FS'!F24)/'Historcial FS'!F21,0)</f>
        <v>34.11149825783972</v>
      </c>
      <c r="G25" s="31">
        <f>IFERROR(('Historcial FS'!G18-'Historcial FS'!G24)/'Historcial FS'!G21,0)</f>
        <v>39.014150943396245</v>
      </c>
      <c r="H25" s="31">
        <f>IFERROR(('Historcial FS'!H18-'Historcial FS'!H24)/'Historcial FS'!H21,0)</f>
        <v>46.650868878356967</v>
      </c>
      <c r="I25" s="31">
        <f>IFERROR(('Historcial FS'!I18-'Historcial FS'!I24)/'Historcial FS'!I21,0)</f>
        <v>102.40502793296091</v>
      </c>
      <c r="J25" s="31">
        <f>IFERROR(('Historcial FS'!J18-'Historcial FS'!J24)/'Historcial FS'!J21,0)</f>
        <v>75.503546099290773</v>
      </c>
      <c r="K25" s="31">
        <f>IFERROR(('Historcial FS'!K18-'Historcial FS'!K24)/'Historcial FS'!K21,0)</f>
        <v>19.880577985550346</v>
      </c>
      <c r="L25" s="31">
        <f>IFERROR(('Historcial FS'!L18-'Historcial FS'!L24)/'Historcial FS'!L21,0)</f>
        <v>30.006543075245336</v>
      </c>
      <c r="M25" s="40"/>
      <c r="N25" s="42">
        <f t="shared" si="2"/>
        <v>37.570054504763974</v>
      </c>
      <c r="O25" s="42">
        <f t="shared" si="1"/>
        <v>32.05902066654253</v>
      </c>
    </row>
    <row r="27" spans="2:15" x14ac:dyDescent="0.3">
      <c r="B27" s="26" t="s">
        <v>105</v>
      </c>
      <c r="C27" s="32">
        <f>IFERROR('Historcial FS'!C6/'Historcial FS'!C61,0)</f>
        <v>5.5154068432849925</v>
      </c>
      <c r="D27" s="32">
        <f>IFERROR('Historcial FS'!D6/'Historcial FS'!D61,0)</f>
        <v>5.2900566017198214</v>
      </c>
      <c r="E27" s="32">
        <f>IFERROR('Historcial FS'!E6/'Historcial FS'!E61,0)</f>
        <v>5.5507120710494506</v>
      </c>
      <c r="F27" s="32">
        <f>IFERROR('Historcial FS'!F6/'Historcial FS'!F61,0)</f>
        <v>4.9983160021891972</v>
      </c>
      <c r="G27" s="32">
        <f>IFERROR('Historcial FS'!G6/'Historcial FS'!G61,0)</f>
        <v>5.2321372976338738</v>
      </c>
      <c r="H27" s="32">
        <f>IFERROR('Historcial FS'!H6/'Historcial FS'!H61,0)</f>
        <v>6.472183484410797</v>
      </c>
      <c r="I27" s="32">
        <f>IFERROR('Historcial FS'!I6/'Historcial FS'!I61,0)</f>
        <v>5.5100498304091117</v>
      </c>
      <c r="J27" s="32">
        <f>IFERROR('Historcial FS'!J6/'Historcial FS'!J61,0)</f>
        <v>6.8584277079852312</v>
      </c>
      <c r="K27" s="32">
        <f>IFERROR('Historcial FS'!K6/'Historcial FS'!K61,0)</f>
        <v>7.4185979788963623</v>
      </c>
      <c r="L27" s="32">
        <f>IFERROR('Historcial FS'!L6/'Historcial FS'!L61,0)</f>
        <v>6.9247614278982086</v>
      </c>
      <c r="M27" s="38"/>
      <c r="N27" s="43">
        <f t="shared" si="2"/>
        <v>5.9770649245477045</v>
      </c>
      <c r="O27" s="43">
        <f t="shared" si="1"/>
        <v>5.5330594571672211</v>
      </c>
    </row>
    <row r="28" spans="2:15" x14ac:dyDescent="0.3">
      <c r="B28" t="s">
        <v>106</v>
      </c>
      <c r="C28" s="33">
        <f>IFERROR('Historcial FS'!C6/'Historcial FS'!C52,0)</f>
        <v>5.2802626816277991</v>
      </c>
      <c r="D28" s="33">
        <f>IFERROR('Historcial FS'!D6/'Historcial FS'!D52,0)</f>
        <v>5.5871414611714663</v>
      </c>
      <c r="E28" s="33">
        <f>IFERROR('Historcial FS'!E6/'Historcial FS'!E52,0)</f>
        <v>5.6409783972869763</v>
      </c>
      <c r="F28" s="33">
        <f>IFERROR('Historcial FS'!F6/'Historcial FS'!F52,0)</f>
        <v>6.0289450298336931</v>
      </c>
      <c r="G28" s="33">
        <f>IFERROR('Historcial FS'!G6/'Historcial FS'!G52,0)</f>
        <v>6.7043159548208546</v>
      </c>
      <c r="H28" s="33">
        <f>IFERROR('Historcial FS'!H6/'Historcial FS'!H52,0)</f>
        <v>7.3454581425583623</v>
      </c>
      <c r="I28" s="33">
        <f>IFERROR('Historcial FS'!I6/'Historcial FS'!I52,0)</f>
        <v>5.4187205304013011</v>
      </c>
      <c r="J28" s="33">
        <f>IFERROR('Historcial FS'!J6/'Historcial FS'!J52,0)</f>
        <v>4.8035946484815213</v>
      </c>
      <c r="K28" s="33">
        <f>IFERROR('Historcial FS'!K6/'Historcial FS'!K52,0)</f>
        <v>6.0125825162448807</v>
      </c>
      <c r="L28" s="33">
        <f>IFERROR('Historcial FS'!L6/'Historcial FS'!L52,0)</f>
        <v>5.9261093677139645</v>
      </c>
      <c r="N28" s="33">
        <f t="shared" si="2"/>
        <v>5.8748108730140824</v>
      </c>
      <c r="O28" s="33">
        <f t="shared" si="1"/>
        <v>5.7835438825004708</v>
      </c>
    </row>
    <row r="29" spans="2:15" x14ac:dyDescent="0.3">
      <c r="B29" t="s">
        <v>107</v>
      </c>
      <c r="C29" s="33">
        <f>IFERROR('Historcial FS'!C6/'Historcial FS'!C62,0)</f>
        <v>5.2591867741354008</v>
      </c>
      <c r="D29" s="33">
        <f>IFERROR('Historcial FS'!D6/'Historcial FS'!D62,0)</f>
        <v>5.247928083578544</v>
      </c>
      <c r="E29" s="33">
        <f>IFERROR('Historcial FS'!E6/'Historcial FS'!E62,0)</f>
        <v>5.4628652702353238</v>
      </c>
      <c r="F29" s="33">
        <f>IFERROR('Historcial FS'!F6/'Historcial FS'!F62,0)</f>
        <v>5.4209853431350172</v>
      </c>
      <c r="G29" s="33">
        <f>IFERROR('Historcial FS'!G6/'Historcial FS'!G62,0)</f>
        <v>5.0461659723004164</v>
      </c>
      <c r="H29" s="33">
        <f>IFERROR('Historcial FS'!H6/'Historcial FS'!H62,0)</f>
        <v>5.1199125329971231</v>
      </c>
      <c r="I29" s="33">
        <f>IFERROR('Historcial FS'!I6/'Historcial FS'!I62,0)</f>
        <v>5.7146486580387394</v>
      </c>
      <c r="J29" s="33">
        <f>IFERROR('Historcial FS'!J6/'Historcial FS'!J62,0)</f>
        <v>4.8122159502098718</v>
      </c>
      <c r="K29" s="33">
        <f>IFERROR('Historcial FS'!K6/'Historcial FS'!K62,0)</f>
        <v>5.1775777869244548</v>
      </c>
      <c r="L29" s="33">
        <f>IFERROR('Historcial FS'!L6/'Historcial FS'!L62,0)</f>
        <v>5.5308820588823409</v>
      </c>
      <c r="N29" s="33">
        <f t="shared" si="2"/>
        <v>5.2792368430437229</v>
      </c>
      <c r="O29" s="33">
        <f t="shared" si="1"/>
        <v>5.253557428856972</v>
      </c>
    </row>
    <row r="30" spans="2:15" x14ac:dyDescent="0.3">
      <c r="B30" t="s">
        <v>108</v>
      </c>
      <c r="C30" s="33">
        <f>IFERROR('Historcial FS'!C6/'Historcial FS'!C55,0)</f>
        <v>2.5763195075184173</v>
      </c>
      <c r="D30" s="33">
        <f>IFERROR('Historcial FS'!D6/'Historcial FS'!D55,0)</f>
        <v>2.9492823982765421</v>
      </c>
      <c r="E30" s="33">
        <f>IFERROR('Historcial FS'!E6/'Historcial FS'!E55,0)</f>
        <v>2.9972474851378386</v>
      </c>
      <c r="F30" s="33">
        <f>IFERROR('Historcial FS'!F6/'Historcial FS'!F55,0)</f>
        <v>3.2277577652416229</v>
      </c>
      <c r="G30" s="33">
        <f>IFERROR('Historcial FS'!G6/'Historcial FS'!G55,0)</f>
        <v>3.8688095306609882</v>
      </c>
      <c r="H30" s="33">
        <f>IFERROR('Historcial FS'!H6/'Historcial FS'!H55,0)</f>
        <v>3.4728409743843285</v>
      </c>
      <c r="I30" s="33">
        <f>IFERROR('Historcial FS'!I6/'Historcial FS'!I55,0)</f>
        <v>3.3864475699046492</v>
      </c>
      <c r="J30" s="33">
        <f>IFERROR('Historcial FS'!J6/'Historcial FS'!J55,0)</f>
        <v>3.3045033941935933</v>
      </c>
      <c r="K30" s="33">
        <f>IFERROR('Historcial FS'!K6/'Historcial FS'!K55,0)</f>
        <v>3.0485085869237722</v>
      </c>
      <c r="L30" s="33">
        <f>IFERROR('Historcial FS'!L6/'Historcial FS'!L55,0)</f>
        <v>3.0238580606161936</v>
      </c>
      <c r="N30" s="33">
        <f t="shared" si="2"/>
        <v>3.1855575272857948</v>
      </c>
      <c r="O30" s="33">
        <f t="shared" si="1"/>
        <v>3.1381331760826976</v>
      </c>
    </row>
    <row r="31" spans="2:15" x14ac:dyDescent="0.3">
      <c r="B31" s="29" t="s">
        <v>109</v>
      </c>
      <c r="C31" s="31">
        <f>IFERROR('Historcial FS'!C6/SUM('Historcial FS'!C49:C50),0)</f>
        <v>1.875889814551166</v>
      </c>
      <c r="D31" s="31">
        <f>IFERROR('Historcial FS'!D6/SUM('Historcial FS'!D49:D50),0)</f>
        <v>1.6305084461442974</v>
      </c>
      <c r="E31" s="31">
        <f>IFERROR('Historcial FS'!E6/SUM('Historcial FS'!E49:E50),0)</f>
        <v>1.52770124169252</v>
      </c>
      <c r="F31" s="31">
        <f>IFERROR('Historcial FS'!F6/SUM('Historcial FS'!F49:F50),0)</f>
        <v>1.5178828267331479</v>
      </c>
      <c r="G31" s="31">
        <f>IFERROR('Historcial FS'!G6/SUM('Historcial FS'!G49:G50),0)</f>
        <v>1.559587265313698</v>
      </c>
      <c r="H31" s="31">
        <f>IFERROR('Historcial FS'!H6/SUM('Historcial FS'!H49:H50),0)</f>
        <v>1.3985363359969865</v>
      </c>
      <c r="I31" s="31">
        <f>IFERROR('Historcial FS'!I6/SUM('Historcial FS'!I49:I50),0)</f>
        <v>1.2346924892210538</v>
      </c>
      <c r="J31" s="31">
        <f>IFERROR('Historcial FS'!J6/SUM('Historcial FS'!J49:J50),0)</f>
        <v>1.4065437561871243</v>
      </c>
      <c r="K31" s="31">
        <f>IFERROR('Historcial FS'!K6/SUM('Historcial FS'!K49:K50),0)</f>
        <v>1.6501262160705674</v>
      </c>
      <c r="L31" s="31">
        <f>IFERROR('Historcial FS'!L6/SUM('Historcial FS'!L49:L50),0)</f>
        <v>1.5043590096330113</v>
      </c>
      <c r="M31" s="40"/>
      <c r="N31" s="42">
        <f t="shared" si="2"/>
        <v>1.5305827401543575</v>
      </c>
      <c r="O31" s="42">
        <f t="shared" si="1"/>
        <v>1.5227920342128338</v>
      </c>
    </row>
    <row r="33" spans="2:15" x14ac:dyDescent="0.3">
      <c r="B33" s="26" t="s">
        <v>110</v>
      </c>
      <c r="C33" s="34">
        <f>IFERROR(365/C27,0)</f>
        <v>66.178254908681396</v>
      </c>
      <c r="D33" s="34">
        <f t="shared" ref="D33:L33" si="4">IFERROR(365/D27,0)</f>
        <v>68.997371385655271</v>
      </c>
      <c r="E33" s="34">
        <f t="shared" si="4"/>
        <v>65.757329028776468</v>
      </c>
      <c r="F33" s="34">
        <f t="shared" si="4"/>
        <v>73.024594651505581</v>
      </c>
      <c r="G33" s="34">
        <f t="shared" si="4"/>
        <v>69.761166276172403</v>
      </c>
      <c r="H33" s="34">
        <f t="shared" si="4"/>
        <v>56.395187324209211</v>
      </c>
      <c r="I33" s="34">
        <f t="shared" si="4"/>
        <v>66.242595118763091</v>
      </c>
      <c r="J33" s="34">
        <f t="shared" si="4"/>
        <v>53.219194768945719</v>
      </c>
      <c r="K33" s="34">
        <f t="shared" si="4"/>
        <v>49.200671210154958</v>
      </c>
      <c r="L33" s="34">
        <f t="shared" si="4"/>
        <v>52.709397110707997</v>
      </c>
      <c r="M33" s="38"/>
      <c r="N33" s="44">
        <f t="shared" si="2"/>
        <v>62.148576178357203</v>
      </c>
      <c r="O33" s="44">
        <f t="shared" si="1"/>
        <v>65.967791968728932</v>
      </c>
    </row>
    <row r="34" spans="2:15" x14ac:dyDescent="0.3">
      <c r="B34" t="s">
        <v>111</v>
      </c>
      <c r="C34" s="35">
        <f>IFERROR(365/C28,0)</f>
        <v>69.125348871370505</v>
      </c>
      <c r="D34" s="35">
        <f t="shared" ref="D34:L34" si="5">IFERROR(365/D28,0)</f>
        <v>65.328576793090505</v>
      </c>
      <c r="E34" s="35">
        <f t="shared" si="5"/>
        <v>64.705087361360299</v>
      </c>
      <c r="F34" s="35">
        <f t="shared" si="5"/>
        <v>60.541271846704568</v>
      </c>
      <c r="G34" s="35">
        <f t="shared" si="5"/>
        <v>54.442541559745621</v>
      </c>
      <c r="H34" s="35">
        <f t="shared" si="5"/>
        <v>49.690569725699035</v>
      </c>
      <c r="I34" s="35">
        <f t="shared" si="5"/>
        <v>67.359074518089002</v>
      </c>
      <c r="J34" s="35">
        <f t="shared" si="5"/>
        <v>75.984762809947185</v>
      </c>
      <c r="K34" s="35">
        <f t="shared" si="5"/>
        <v>60.706027570322377</v>
      </c>
      <c r="L34" s="35">
        <f t="shared" si="5"/>
        <v>61.591843375108205</v>
      </c>
      <c r="N34" s="35">
        <f t="shared" si="2"/>
        <v>62.947510443143734</v>
      </c>
      <c r="O34" s="35">
        <f t="shared" si="1"/>
        <v>63.148465368234255</v>
      </c>
    </row>
    <row r="35" spans="2:15" x14ac:dyDescent="0.3">
      <c r="B35" t="s">
        <v>112</v>
      </c>
      <c r="C35" s="35">
        <f>IFERROR(365/C29,0)</f>
        <v>69.402364980659058</v>
      </c>
      <c r="D35" s="35">
        <f t="shared" ref="D35:L35" si="6">IFERROR(365/D29,0)</f>
        <v>69.551257979722109</v>
      </c>
      <c r="E35" s="35">
        <f t="shared" si="6"/>
        <v>66.814754152682383</v>
      </c>
      <c r="F35" s="35">
        <f t="shared" si="6"/>
        <v>67.330932827963778</v>
      </c>
      <c r="G35" s="35">
        <f t="shared" si="6"/>
        <v>72.332143255606383</v>
      </c>
      <c r="H35" s="35">
        <f t="shared" si="6"/>
        <v>71.290280380304509</v>
      </c>
      <c r="I35" s="35">
        <f t="shared" si="6"/>
        <v>63.87094322702729</v>
      </c>
      <c r="J35" s="35">
        <f t="shared" si="6"/>
        <v>75.848632683261343</v>
      </c>
      <c r="K35" s="35">
        <f t="shared" si="6"/>
        <v>70.496285139699367</v>
      </c>
      <c r="L35" s="35">
        <f t="shared" si="6"/>
        <v>65.993090453597162</v>
      </c>
      <c r="N35" s="35">
        <f t="shared" si="2"/>
        <v>69.293068508052329</v>
      </c>
      <c r="O35" s="35">
        <f t="shared" si="1"/>
        <v>69.476811480190577</v>
      </c>
    </row>
    <row r="36" spans="2:15" x14ac:dyDescent="0.3">
      <c r="B36" s="29" t="s">
        <v>113</v>
      </c>
      <c r="C36" s="36">
        <f>IFERROR(C33+C35-C34,0)</f>
        <v>66.455271017969949</v>
      </c>
      <c r="D36" s="36">
        <f t="shared" ref="D36:L36" si="7">IFERROR(D33+D35-D34,0)</f>
        <v>73.220052572286889</v>
      </c>
      <c r="E36" s="36">
        <f t="shared" si="7"/>
        <v>67.866995820098552</v>
      </c>
      <c r="F36" s="36">
        <f t="shared" si="7"/>
        <v>79.81425563276477</v>
      </c>
      <c r="G36" s="36">
        <f t="shared" si="7"/>
        <v>87.650767972033179</v>
      </c>
      <c r="H36" s="36">
        <f t="shared" si="7"/>
        <v>77.994897978814677</v>
      </c>
      <c r="I36" s="36">
        <f t="shared" si="7"/>
        <v>62.754463827701372</v>
      </c>
      <c r="J36" s="36">
        <f t="shared" si="7"/>
        <v>53.083064642259885</v>
      </c>
      <c r="K36" s="36">
        <f t="shared" si="7"/>
        <v>58.990928779531956</v>
      </c>
      <c r="L36" s="36">
        <f t="shared" si="7"/>
        <v>57.110644189196954</v>
      </c>
      <c r="M36" s="40"/>
      <c r="N36" s="45">
        <f t="shared" si="2"/>
        <v>68.494134243265805</v>
      </c>
      <c r="O36" s="45">
        <f t="shared" si="1"/>
        <v>67.161133419034257</v>
      </c>
    </row>
    <row r="38" spans="2:15" x14ac:dyDescent="0.3">
      <c r="B38" s="26" t="s">
        <v>114</v>
      </c>
      <c r="C38" s="27">
        <f>IFERROR('Historcial FS'!C72/'Historcial FS'!C6,0)</f>
        <v>0.15950643881897861</v>
      </c>
      <c r="D38" s="27">
        <f>IFERROR('Historcial FS'!D72/'Historcial FS'!D6,0)</f>
        <v>9.1440799592590494E-2</v>
      </c>
      <c r="E38" s="27">
        <f>IFERROR('Historcial FS'!E72/'Historcial FS'!E6,0)</f>
        <v>0.1397687089643028</v>
      </c>
      <c r="F38" s="27">
        <f>IFERROR('Historcial FS'!F72/'Historcial FS'!F6,0)</f>
        <v>8.9694672562644767E-2</v>
      </c>
      <c r="G38" s="27">
        <f>IFERROR('Historcial FS'!G72/'Historcial FS'!G6,0)</f>
        <v>7.5060433634571766E-2</v>
      </c>
      <c r="H38" s="27">
        <f>IFERROR('Historcial FS'!H72/'Historcial FS'!H6,0)</f>
        <v>0.15654663193495888</v>
      </c>
      <c r="I38" s="27">
        <f>IFERROR('Historcial FS'!I72/'Historcial FS'!I6,0)</f>
        <v>0.17128027024254192</v>
      </c>
      <c r="J38" s="27">
        <f>IFERROR('Historcial FS'!J72/'Historcial FS'!J6,0)</f>
        <v>7.3548165882650174E-2</v>
      </c>
      <c r="K38" s="27">
        <f>IFERROR('Historcial FS'!K72/'Historcial FS'!K6,0)</f>
        <v>9.242460702836959E-2</v>
      </c>
      <c r="L38" s="27">
        <f>IFERROR('Historcial FS'!L72/'Historcial FS'!L6,0)</f>
        <v>0.12792124520702056</v>
      </c>
      <c r="M38" s="38"/>
      <c r="N38" s="39">
        <f t="shared" si="2"/>
        <v>0.11771919738686296</v>
      </c>
      <c r="O38" s="39">
        <f t="shared" si="1"/>
        <v>0.11017292611769508</v>
      </c>
    </row>
    <row r="39" spans="2:15" x14ac:dyDescent="0.3">
      <c r="B39" t="s">
        <v>115</v>
      </c>
      <c r="C39" s="28">
        <f>IFERROR('Historcial FS'!C72/'Historcial FS'!C66,0)</f>
        <v>0.17941685117257636</v>
      </c>
      <c r="D39" s="28">
        <f>IFERROR('Historcial FS'!D72/'Historcial FS'!D66,0)</f>
        <v>9.5566809672806258E-2</v>
      </c>
      <c r="E39" s="28">
        <f>IFERROR('Historcial FS'!E72/'Historcial FS'!E66,0)</f>
        <v>0.15432540781819226</v>
      </c>
      <c r="F39" s="28">
        <f>IFERROR('Historcial FS'!F72/'Historcial FS'!F66,0)</f>
        <v>0.1020234148958593</v>
      </c>
      <c r="G39" s="28">
        <f>IFERROR('Historcial FS'!G72/'Historcial FS'!G66,0)</f>
        <v>9.0835444860999232E-2</v>
      </c>
      <c r="H39" s="28">
        <f>IFERROR('Historcial FS'!H72/'Historcial FS'!H66,0)</f>
        <v>0.17825113581101507</v>
      </c>
      <c r="I39" s="28">
        <f>IFERROR('Historcial FS'!I72/'Historcial FS'!I66,0)</f>
        <v>0.16826560551876543</v>
      </c>
      <c r="J39" s="28">
        <f>IFERROR('Historcial FS'!J72/'Historcial FS'!J66,0)</f>
        <v>7.4191953056970614E-2</v>
      </c>
      <c r="K39" s="28">
        <f>IFERROR('Historcial FS'!K72/'Historcial FS'!K66,0)</f>
        <v>0.11110020635810235</v>
      </c>
      <c r="L39" s="28">
        <f>IFERROR('Historcial FS'!L72/'Historcial FS'!L66,0)</f>
        <v>0.14702999459799027</v>
      </c>
      <c r="N39" s="28">
        <f t="shared" si="2"/>
        <v>0.13010068237632771</v>
      </c>
      <c r="O39" s="28">
        <f t="shared" si="1"/>
        <v>0.12906510047804631</v>
      </c>
    </row>
    <row r="40" spans="2:15" x14ac:dyDescent="0.3">
      <c r="B40" s="29" t="s">
        <v>116</v>
      </c>
      <c r="C40" s="30">
        <f>IFERROR('Historcial FS'!C72/'Historcial FS'!C51,0)</f>
        <v>0.95763882764500097</v>
      </c>
      <c r="D40" s="30">
        <f>IFERROR('Historcial FS'!D72/'Historcial FS'!D51,0)</f>
        <v>0.55574313762270988</v>
      </c>
      <c r="E40" s="30">
        <f>IFERROR('Historcial FS'!E72/'Historcial FS'!E51,0)</f>
        <v>1.8932991343379288</v>
      </c>
      <c r="F40" s="30">
        <f>IFERROR('Historcial FS'!F72/'Historcial FS'!F51,0)</f>
        <v>1.6464131106988247</v>
      </c>
      <c r="G40" s="30">
        <f>IFERROR('Historcial FS'!G72/'Historcial FS'!G51,0)</f>
        <v>2.0860981912144703</v>
      </c>
      <c r="H40" s="30">
        <f>IFERROR('Historcial FS'!H72/'Historcial FS'!H51,0)</f>
        <v>5.7841910719363092</v>
      </c>
      <c r="I40" s="30">
        <f>IFERROR('Historcial FS'!I72/'Historcial FS'!I51,0)</f>
        <v>7.3033052495139339</v>
      </c>
      <c r="J40" s="30">
        <f>IFERROR('Historcial FS'!J72/'Historcial FS'!J51,0)</f>
        <v>1.0189174548939539</v>
      </c>
      <c r="K40" s="30">
        <f>IFERROR('Historcial FS'!K72/'Historcial FS'!K51,0)</f>
        <v>1.5515040034624541</v>
      </c>
      <c r="L40" s="30">
        <f>IFERROR('Historcial FS'!L72/'Historcial FS'!L51,0)</f>
        <v>3.499389144220141</v>
      </c>
      <c r="M40" s="40"/>
      <c r="N40" s="41">
        <f t="shared" si="2"/>
        <v>2.6296499325545732</v>
      </c>
      <c r="O40" s="41">
        <f t="shared" si="1"/>
        <v>1.7698561225183767</v>
      </c>
    </row>
  </sheetData>
  <pageMargins left="0.7" right="0.7" top="0.75" bottom="0.75" header="0.3" footer="0.3"/>
  <pageSetup paperSize="9" scale="55" orientation="portrait" r:id="rId1"/>
  <extLst>
    <ext xmlns:x14="http://schemas.microsoft.com/office/spreadsheetml/2009/9/main" uri="{05C60535-1F16-4fd2-B633-F4F36F0B64E0}">
      <x14:sparklineGroups xmlns:xm="http://schemas.microsoft.com/office/excel/2006/main">
        <x14:sparklineGroup displayEmptyCellsAs="gap" markers="1" xr2:uid="{E8BC7A07-2CB4-4950-9A21-75CB4EB6B844}">
          <x14:colorSeries rgb="FF376092"/>
          <x14:colorNegative rgb="FFD00000"/>
          <x14:colorAxis rgb="FF000000"/>
          <x14:colorMarkers rgb="FFD00000"/>
          <x14:colorFirst rgb="FFD00000"/>
          <x14:colorLast rgb="FFD00000"/>
          <x14:colorHigh rgb="FFD00000"/>
          <x14:colorLow rgb="FFD00000"/>
          <x14:sparklines>
            <x14:sparkline>
              <xm:f>'Ratio Analysis'!D5:L5</xm:f>
              <xm:sqref>M5</xm:sqref>
            </x14:sparkline>
            <x14:sparkline>
              <xm:f>'Ratio Analysis'!D6:L6</xm:f>
              <xm:sqref>M6</xm:sqref>
            </x14:sparkline>
            <x14:sparkline>
              <xm:f>'Ratio Analysis'!D7:L7</xm:f>
              <xm:sqref>M7</xm:sqref>
            </x14:sparkline>
            <x14:sparkline>
              <xm:f>'Ratio Analysis'!D8:L8</xm:f>
              <xm:sqref>M8</xm:sqref>
            </x14:sparkline>
            <x14:sparkline>
              <xm:f>'Ratio Analysis'!D9:L9</xm:f>
              <xm:sqref>M9</xm:sqref>
            </x14:sparkline>
          </x14:sparklines>
        </x14:sparklineGroup>
        <x14:sparklineGroup displayEmptyCellsAs="gap" markers="1" xr2:uid="{E0EE95AA-B0F2-4D4C-851C-17A1C2DA6F43}">
          <x14:colorSeries rgb="FF376092"/>
          <x14:colorNegative rgb="FFD00000"/>
          <x14:colorAxis rgb="FF000000"/>
          <x14:colorMarkers rgb="FFD00000"/>
          <x14:colorFirst rgb="FFD00000"/>
          <x14:colorLast rgb="FFD00000"/>
          <x14:colorHigh rgb="FFD00000"/>
          <x14:colorLow rgb="FFD00000"/>
          <x14:sparklines>
            <x14:sparkline>
              <xm:f>'Ratio Analysis'!C11:L11</xm:f>
              <xm:sqref>M11</xm:sqref>
            </x14:sparkline>
            <x14:sparkline>
              <xm:f>'Ratio Analysis'!C12:L12</xm:f>
              <xm:sqref>M12</xm:sqref>
            </x14:sparkline>
            <x14:sparkline>
              <xm:f>'Ratio Analysis'!C13:L13</xm:f>
              <xm:sqref>M13</xm:sqref>
            </x14:sparkline>
            <x14:sparkline>
              <xm:f>'Ratio Analysis'!C14:L14</xm:f>
              <xm:sqref>M14</xm:sqref>
            </x14:sparkline>
            <x14:sparkline>
              <xm:f>'Ratio Analysis'!C15:L15</xm:f>
              <xm:sqref>M15</xm:sqref>
            </x14:sparkline>
            <x14:sparkline>
              <xm:f>'Ratio Analysis'!C16:L16</xm:f>
              <xm:sqref>M16</xm:sqref>
            </x14:sparkline>
            <x14:sparkline>
              <xm:f>'Ratio Analysis'!C17:L17</xm:f>
              <xm:sqref>M17</xm:sqref>
            </x14:sparkline>
            <x14:sparkline>
              <xm:f>'Ratio Analysis'!C18:L18</xm:f>
              <xm:sqref>M18</xm:sqref>
            </x14:sparkline>
            <x14:sparkline>
              <xm:f>'Ratio Analysis'!C19:L19</xm:f>
              <xm:sqref>M19</xm:sqref>
            </x14:sparkline>
            <x14:sparkline>
              <xm:f>'Ratio Analysis'!C20:L20</xm:f>
              <xm:sqref>M20</xm:sqref>
            </x14:sparkline>
            <x14:sparkline>
              <xm:f>'Ratio Analysis'!C21:L21</xm:f>
              <xm:sqref>M21</xm:sqref>
            </x14:sparkline>
            <x14:sparkline>
              <xm:f>'Ratio Analysis'!C22:L22</xm:f>
              <xm:sqref>M22</xm:sqref>
            </x14:sparkline>
            <x14:sparkline>
              <xm:f>'Ratio Analysis'!C23:L23</xm:f>
              <xm:sqref>M23</xm:sqref>
            </x14:sparkline>
            <x14:sparkline>
              <xm:f>'Ratio Analysis'!C24:L24</xm:f>
              <xm:sqref>M24</xm:sqref>
            </x14:sparkline>
            <x14:sparkline>
              <xm:f>'Ratio Analysis'!C25:L25</xm:f>
              <xm:sqref>M25</xm:sqref>
            </x14:sparkline>
            <x14:sparkline>
              <xm:f>'Ratio Analysis'!C26:L26</xm:f>
              <xm:sqref>M26</xm:sqref>
            </x14:sparkline>
            <x14:sparkline>
              <xm:f>'Ratio Analysis'!C27:L27</xm:f>
              <xm:sqref>M27</xm:sqref>
            </x14:sparkline>
            <x14:sparkline>
              <xm:f>'Ratio Analysis'!C28:L28</xm:f>
              <xm:sqref>M28</xm:sqref>
            </x14:sparkline>
            <x14:sparkline>
              <xm:f>'Ratio Analysis'!C29:L29</xm:f>
              <xm:sqref>M29</xm:sqref>
            </x14:sparkline>
            <x14:sparkline>
              <xm:f>'Ratio Analysis'!C30:L30</xm:f>
              <xm:sqref>M30</xm:sqref>
            </x14:sparkline>
            <x14:sparkline>
              <xm:f>'Ratio Analysis'!C31:L31</xm:f>
              <xm:sqref>M31</xm:sqref>
            </x14:sparkline>
            <x14:sparkline>
              <xm:f>'Ratio Analysis'!C32:L32</xm:f>
              <xm:sqref>M32</xm:sqref>
            </x14:sparkline>
            <x14:sparkline>
              <xm:f>'Ratio Analysis'!C33:L33</xm:f>
              <xm:sqref>M33</xm:sqref>
            </x14:sparkline>
            <x14:sparkline>
              <xm:f>'Ratio Analysis'!C34:L34</xm:f>
              <xm:sqref>M34</xm:sqref>
            </x14:sparkline>
            <x14:sparkline>
              <xm:f>'Ratio Analysis'!C35:L35</xm:f>
              <xm:sqref>M35</xm:sqref>
            </x14:sparkline>
            <x14:sparkline>
              <xm:f>'Ratio Analysis'!C36:L36</xm:f>
              <xm:sqref>M36</xm:sqref>
            </x14:sparkline>
            <x14:sparkline>
              <xm:f>'Ratio Analysis'!C37:L37</xm:f>
              <xm:sqref>M37</xm:sqref>
            </x14:sparkline>
            <x14:sparkline>
              <xm:f>'Ratio Analysis'!C38:L38</xm:f>
              <xm:sqref>M38</xm:sqref>
            </x14:sparkline>
            <x14:sparkline>
              <xm:f>'Ratio Analysis'!C39:L39</xm:f>
              <xm:sqref>M39</xm:sqref>
            </x14:sparkline>
            <x14:sparkline>
              <xm:f>'Ratio Analysis'!C40:L40</xm:f>
              <xm:sqref>M40</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ABE95-4C28-4532-9464-155128EAEAEB}">
  <sheetPr>
    <tabColor rgb="FF0070C0"/>
  </sheetPr>
  <dimension ref="B1:O18"/>
  <sheetViews>
    <sheetView showGridLines="0" topLeftCell="B62" zoomScaleNormal="100" workbookViewId="0">
      <selection activeCell="M91" sqref="M91"/>
    </sheetView>
  </sheetViews>
  <sheetFormatPr defaultRowHeight="14.4" x14ac:dyDescent="0.3"/>
  <cols>
    <col min="1" max="1" width="2.33203125" customWidth="1"/>
    <col min="2" max="2" width="12.88671875" customWidth="1"/>
    <col min="3" max="3" width="11.33203125" customWidth="1"/>
    <col min="4" max="4" width="12.77734375" customWidth="1"/>
    <col min="5" max="5" width="13.6640625" customWidth="1"/>
    <col min="7" max="7" width="10.5546875" bestFit="1" customWidth="1"/>
    <col min="9" max="9" width="14.109375" customWidth="1"/>
    <col min="10" max="10" width="16.5546875" customWidth="1"/>
    <col min="12" max="12" width="10.77734375" customWidth="1"/>
    <col min="14" max="14" width="9.5546875" customWidth="1"/>
    <col min="15" max="15" width="16.5546875" customWidth="1"/>
  </cols>
  <sheetData>
    <row r="1" spans="2:15" x14ac:dyDescent="0.3">
      <c r="B1" s="75" t="s">
        <v>223</v>
      </c>
    </row>
    <row r="2" spans="2:15" x14ac:dyDescent="0.3">
      <c r="B2" s="116" t="str">
        <f>_xlfn.CONCAT('Data Sheet'!B1," - Sales Forecast")</f>
        <v>CARBORUNDUM UNIVERSAL LTD - Sales Forecast</v>
      </c>
      <c r="C2" s="116"/>
      <c r="D2" s="116"/>
      <c r="E2" s="116"/>
      <c r="G2" s="116" t="str">
        <f>_xlfn.CONCAT('Data Sheet'!B1," - EBITDA Forecast")</f>
        <v>CARBORUNDUM UNIVERSAL LTD - EBITDA Forecast</v>
      </c>
      <c r="H2" s="116"/>
      <c r="I2" s="116"/>
      <c r="J2" s="116"/>
      <c r="L2" s="116" t="str">
        <f>_xlfn.CONCAT('Data Sheet'!B1," - EPS Forecast")</f>
        <v>CARBORUNDUM UNIVERSAL LTD - EPS Forecast</v>
      </c>
      <c r="M2" s="116"/>
      <c r="N2" s="116"/>
      <c r="O2" s="116"/>
    </row>
    <row r="3" spans="2:15" x14ac:dyDescent="0.3">
      <c r="B3" s="2" t="s">
        <v>120</v>
      </c>
      <c r="C3" s="55" t="s">
        <v>121</v>
      </c>
      <c r="D3" s="55" t="s">
        <v>122</v>
      </c>
      <c r="E3" s="55" t="s">
        <v>10</v>
      </c>
      <c r="G3" s="2" t="s">
        <v>120</v>
      </c>
      <c r="H3" s="55" t="s">
        <v>121</v>
      </c>
      <c r="I3" s="55" t="s">
        <v>65</v>
      </c>
      <c r="J3" s="55" t="s">
        <v>88</v>
      </c>
      <c r="L3" s="2" t="s">
        <v>120</v>
      </c>
      <c r="M3" s="55" t="s">
        <v>121</v>
      </c>
      <c r="N3" s="55" t="s">
        <v>31</v>
      </c>
      <c r="O3" s="55" t="s">
        <v>123</v>
      </c>
    </row>
    <row r="4" spans="2:15" x14ac:dyDescent="0.3">
      <c r="B4" s="46">
        <v>1</v>
      </c>
      <c r="C4" s="49" cm="1">
        <f t="array" ref="C4:C13">TRANSPOSE('Historcial FS'!C3:L3)</f>
        <v>42094</v>
      </c>
      <c r="D4" s="50" cm="1">
        <f t="array" ref="D4:D13">TRANSPOSE('Historcial FS'!C6:L6)</f>
        <v>2042.3</v>
      </c>
      <c r="E4" s="48"/>
      <c r="G4">
        <v>1</v>
      </c>
      <c r="H4" s="49">
        <f>Forecast!C4</f>
        <v>42094</v>
      </c>
      <c r="I4" s="50" cm="1">
        <f t="array" ref="I4:I13">TRANSPOSE('Historcial FS'!C18:L18)</f>
        <v>234.37999999999994</v>
      </c>
      <c r="L4">
        <v>1</v>
      </c>
      <c r="M4" s="49">
        <f>H4</f>
        <v>42094</v>
      </c>
      <c r="N4" s="50" cm="1">
        <f t="array" ref="N4:N13">TRANSPOSE('Historcial FS'!C38:L38)</f>
        <v>1.4086078639744917</v>
      </c>
    </row>
    <row r="5" spans="2:15" x14ac:dyDescent="0.3">
      <c r="B5" s="46">
        <f>1+B4</f>
        <v>2</v>
      </c>
      <c r="C5" s="49">
        <v>42460</v>
      </c>
      <c r="D5" s="50">
        <v>1943.99</v>
      </c>
      <c r="E5" s="51">
        <f>(D5-D4)/D4</f>
        <v>-4.8136904470449958E-2</v>
      </c>
      <c r="G5">
        <f>1+G4</f>
        <v>2</v>
      </c>
      <c r="H5" s="49">
        <f>Forecast!C5</f>
        <v>42460</v>
      </c>
      <c r="I5" s="50">
        <v>307.75000000000023</v>
      </c>
      <c r="J5" s="51">
        <f>(I5-I4)/I4</f>
        <v>0.31303865517535756</v>
      </c>
      <c r="L5">
        <f>1+L4</f>
        <v>2</v>
      </c>
      <c r="M5" s="49">
        <f t="shared" ref="M5:M18" si="0">H5</f>
        <v>42460</v>
      </c>
      <c r="N5" s="50">
        <v>6.1894904458598852</v>
      </c>
      <c r="O5" s="51">
        <f>(N5-N4)/N4</f>
        <v>3.3940479136583677</v>
      </c>
    </row>
    <row r="6" spans="2:15" x14ac:dyDescent="0.3">
      <c r="B6" s="46">
        <f t="shared" ref="B6:B18" si="1">1+B5</f>
        <v>3</v>
      </c>
      <c r="C6" s="49">
        <v>42825</v>
      </c>
      <c r="D6" s="50">
        <v>2112.4899999999998</v>
      </c>
      <c r="E6" s="51">
        <f t="shared" ref="E6:E18" si="2">(D6-D5)/D5</f>
        <v>8.6677400603912449E-2</v>
      </c>
      <c r="G6">
        <f t="shared" ref="G6:G18" si="3">1+G5</f>
        <v>3</v>
      </c>
      <c r="H6" s="49">
        <f>Forecast!C6</f>
        <v>42825</v>
      </c>
      <c r="I6" s="50">
        <v>335.59999999999991</v>
      </c>
      <c r="J6" s="51">
        <f t="shared" ref="J6:J18" si="4">(I6-I5)/I5</f>
        <v>9.049553208773245E-2</v>
      </c>
      <c r="L6">
        <f t="shared" ref="L6:L18" si="5">1+L5</f>
        <v>3</v>
      </c>
      <c r="M6" s="49">
        <f t="shared" si="0"/>
        <v>42825</v>
      </c>
      <c r="N6" s="50">
        <v>7.5739268680445093</v>
      </c>
      <c r="O6" s="51">
        <f t="shared" ref="O6:O18" si="6">(N6-N5)/N5</f>
        <v>0.22367534683096019</v>
      </c>
    </row>
    <row r="7" spans="2:15" x14ac:dyDescent="0.3">
      <c r="B7" s="46">
        <f t="shared" si="1"/>
        <v>4</v>
      </c>
      <c r="C7" s="49">
        <v>43190</v>
      </c>
      <c r="D7" s="50">
        <v>2374.5</v>
      </c>
      <c r="E7" s="51">
        <f t="shared" si="2"/>
        <v>0.12402898948634088</v>
      </c>
      <c r="G7">
        <f t="shared" si="3"/>
        <v>4</v>
      </c>
      <c r="H7" s="49">
        <f>Forecast!C7</f>
        <v>43190</v>
      </c>
      <c r="I7" s="50">
        <v>399.7</v>
      </c>
      <c r="J7" s="51">
        <f t="shared" si="4"/>
        <v>0.19100119189511353</v>
      </c>
      <c r="L7">
        <f t="shared" si="5"/>
        <v>4</v>
      </c>
      <c r="M7" s="49">
        <f t="shared" si="0"/>
        <v>43190</v>
      </c>
      <c r="N7" s="50">
        <v>9.6862433862433868</v>
      </c>
      <c r="O7" s="51">
        <f t="shared" si="6"/>
        <v>0.2788931758914977</v>
      </c>
    </row>
    <row r="8" spans="2:15" x14ac:dyDescent="0.3">
      <c r="B8" s="46">
        <f t="shared" si="1"/>
        <v>5</v>
      </c>
      <c r="C8" s="49">
        <v>43555</v>
      </c>
      <c r="D8" s="50">
        <v>2688.9</v>
      </c>
      <c r="E8" s="51">
        <f t="shared" si="2"/>
        <v>0.13240682248894509</v>
      </c>
      <c r="G8">
        <f t="shared" si="3"/>
        <v>5</v>
      </c>
      <c r="H8" s="49">
        <f>Forecast!C8</f>
        <v>43555</v>
      </c>
      <c r="I8" s="50">
        <v>439.11000000000018</v>
      </c>
      <c r="J8" s="51">
        <f t="shared" si="4"/>
        <v>9.8598949211909426E-2</v>
      </c>
      <c r="L8">
        <f t="shared" si="5"/>
        <v>5</v>
      </c>
      <c r="M8" s="49">
        <f t="shared" si="0"/>
        <v>43555</v>
      </c>
      <c r="N8" s="50">
        <v>10.633192389006352</v>
      </c>
      <c r="O8" s="51">
        <f t="shared" si="6"/>
        <v>9.7762255706669784E-2</v>
      </c>
    </row>
    <row r="9" spans="2:15" x14ac:dyDescent="0.3">
      <c r="B9" s="46">
        <f t="shared" si="1"/>
        <v>6</v>
      </c>
      <c r="C9" s="49">
        <v>43921</v>
      </c>
      <c r="D9" s="50">
        <v>2598.9699999999998</v>
      </c>
      <c r="E9" s="51">
        <f t="shared" si="2"/>
        <v>-3.3444903120235146E-2</v>
      </c>
      <c r="G9">
        <f t="shared" si="3"/>
        <v>6</v>
      </c>
      <c r="H9" s="49">
        <f>Forecast!C9</f>
        <v>43921</v>
      </c>
      <c r="I9" s="50">
        <v>399.8199999999996</v>
      </c>
      <c r="J9" s="51">
        <f t="shared" si="4"/>
        <v>-8.9476440982898531E-2</v>
      </c>
      <c r="L9">
        <f t="shared" si="5"/>
        <v>6</v>
      </c>
      <c r="M9" s="49">
        <f t="shared" si="0"/>
        <v>43921</v>
      </c>
      <c r="N9" s="50">
        <v>11.268215417106628</v>
      </c>
      <c r="O9" s="51">
        <f t="shared" si="6"/>
        <v>5.9720825587320885E-2</v>
      </c>
    </row>
    <row r="10" spans="2:15" x14ac:dyDescent="0.3">
      <c r="B10" s="46">
        <f t="shared" si="1"/>
        <v>7</v>
      </c>
      <c r="C10" s="49">
        <v>44286</v>
      </c>
      <c r="D10" s="50">
        <v>2631.71</v>
      </c>
      <c r="E10" s="51">
        <f t="shared" si="2"/>
        <v>1.2597298160425183E-2</v>
      </c>
      <c r="G10">
        <f t="shared" si="3"/>
        <v>7</v>
      </c>
      <c r="H10" s="49">
        <f>Forecast!C10</f>
        <v>44286</v>
      </c>
      <c r="I10" s="50">
        <v>466.06000000000006</v>
      </c>
      <c r="J10" s="51">
        <f t="shared" si="4"/>
        <v>0.16567455354909841</v>
      </c>
      <c r="L10">
        <f t="shared" si="5"/>
        <v>7</v>
      </c>
      <c r="M10" s="49">
        <f t="shared" si="0"/>
        <v>44286</v>
      </c>
      <c r="N10" s="50">
        <v>13.790611814345995</v>
      </c>
      <c r="O10" s="51">
        <f t="shared" si="6"/>
        <v>0.22385056585003149</v>
      </c>
    </row>
    <row r="11" spans="2:15" x14ac:dyDescent="0.3">
      <c r="B11" s="46">
        <f t="shared" si="1"/>
        <v>8</v>
      </c>
      <c r="C11" s="49">
        <v>44651</v>
      </c>
      <c r="D11" s="50">
        <v>3324.76</v>
      </c>
      <c r="E11" s="51">
        <f t="shared" si="2"/>
        <v>0.26334588537490838</v>
      </c>
      <c r="G11">
        <f t="shared" si="3"/>
        <v>8</v>
      </c>
      <c r="H11" s="49">
        <f>Forecast!C11</f>
        <v>44651</v>
      </c>
      <c r="I11" s="50">
        <v>540.41</v>
      </c>
      <c r="J11" s="51">
        <f t="shared" si="4"/>
        <v>0.15952881603227032</v>
      </c>
      <c r="L11">
        <f t="shared" si="5"/>
        <v>8</v>
      </c>
      <c r="M11" s="49">
        <f t="shared" si="0"/>
        <v>44651</v>
      </c>
      <c r="N11" s="50">
        <v>15.464454976303317</v>
      </c>
      <c r="O11" s="51">
        <f t="shared" si="6"/>
        <v>0.12137555494209973</v>
      </c>
    </row>
    <row r="12" spans="2:15" x14ac:dyDescent="0.3">
      <c r="B12" s="46">
        <f t="shared" si="1"/>
        <v>9</v>
      </c>
      <c r="C12" s="49">
        <v>45016</v>
      </c>
      <c r="D12" s="50">
        <v>4654.28</v>
      </c>
      <c r="E12" s="51">
        <f t="shared" si="2"/>
        <v>0.39988450294156552</v>
      </c>
      <c r="G12">
        <f t="shared" si="3"/>
        <v>9</v>
      </c>
      <c r="H12" s="49">
        <f>Forecast!C12</f>
        <v>45016</v>
      </c>
      <c r="I12" s="50">
        <v>655.12999999999965</v>
      </c>
      <c r="J12" s="51">
        <f t="shared" si="4"/>
        <v>0.21228326640883716</v>
      </c>
      <c r="L12">
        <f t="shared" si="5"/>
        <v>9</v>
      </c>
      <c r="M12" s="49">
        <f t="shared" si="0"/>
        <v>45016</v>
      </c>
      <c r="N12" s="50">
        <v>16.116377040547636</v>
      </c>
      <c r="O12" s="51">
        <f t="shared" si="6"/>
        <v>4.2156161678072734E-2</v>
      </c>
    </row>
    <row r="13" spans="2:15" x14ac:dyDescent="0.3">
      <c r="B13" s="46">
        <f t="shared" si="1"/>
        <v>10</v>
      </c>
      <c r="C13" s="49">
        <v>45382</v>
      </c>
      <c r="D13" s="50">
        <v>4702.1899999999996</v>
      </c>
      <c r="E13" s="51">
        <f t="shared" si="2"/>
        <v>1.0293751127993987E-2</v>
      </c>
      <c r="G13">
        <f t="shared" si="3"/>
        <v>10</v>
      </c>
      <c r="H13" s="49">
        <f>Forecast!C13</f>
        <v>45382</v>
      </c>
      <c r="I13" s="50">
        <v>741.06999999999948</v>
      </c>
      <c r="J13" s="51">
        <f t="shared" si="4"/>
        <v>0.13118007113092039</v>
      </c>
      <c r="L13">
        <f t="shared" si="5"/>
        <v>10</v>
      </c>
      <c r="M13" s="49">
        <f t="shared" si="0"/>
        <v>45382</v>
      </c>
      <c r="N13" s="50">
        <v>18.807672096689409</v>
      </c>
      <c r="O13" s="51">
        <f t="shared" si="6"/>
        <v>0.16699131879147958</v>
      </c>
    </row>
    <row r="14" spans="2:15" x14ac:dyDescent="0.3">
      <c r="B14" s="47">
        <f t="shared" si="1"/>
        <v>11</v>
      </c>
      <c r="C14" s="52">
        <f>C13+365</f>
        <v>45747</v>
      </c>
      <c r="D14" s="53">
        <f>FORECAST(B14,$D$4:$D$13,$B$4:$B$13)</f>
        <v>4562.5453333333326</v>
      </c>
      <c r="E14" s="54">
        <f t="shared" si="2"/>
        <v>-2.9697793297732981E-2</v>
      </c>
      <c r="G14">
        <f t="shared" si="3"/>
        <v>11</v>
      </c>
      <c r="H14" s="52">
        <f>Forecast!C14</f>
        <v>45747</v>
      </c>
      <c r="I14" s="53">
        <f>FORECAST(G14,$I$4:$I$13,$G$4:$G$13)</f>
        <v>724.42666666666628</v>
      </c>
      <c r="J14" s="54">
        <f t="shared" si="4"/>
        <v>-2.2458517189109281E-2</v>
      </c>
      <c r="L14">
        <f t="shared" si="5"/>
        <v>11</v>
      </c>
      <c r="M14" s="52">
        <f t="shared" si="0"/>
        <v>45747</v>
      </c>
      <c r="N14" s="53">
        <f>FORECAST(L14,_xlfn.ANCHORARRAY($N$4),$L$4:$L$13)</f>
        <v>20.376564333510515</v>
      </c>
      <c r="O14" s="54">
        <f t="shared" si="6"/>
        <v>8.3417672785632432E-2</v>
      </c>
    </row>
    <row r="15" spans="2:15" x14ac:dyDescent="0.3">
      <c r="B15" s="47">
        <f t="shared" si="1"/>
        <v>12</v>
      </c>
      <c r="C15" s="52">
        <f t="shared" ref="C15:C18" si="7">C14+365</f>
        <v>46112</v>
      </c>
      <c r="D15" s="53">
        <f t="shared" ref="D15:D18" si="8">FORECAST(B15,$D$4:$D$13,$B$4:$B$13)</f>
        <v>4863.4792121212113</v>
      </c>
      <c r="E15" s="54">
        <f t="shared" si="2"/>
        <v>6.5957455061168804E-2</v>
      </c>
      <c r="G15">
        <f t="shared" si="3"/>
        <v>12</v>
      </c>
      <c r="H15" s="52">
        <f>Forecast!C15</f>
        <v>46112</v>
      </c>
      <c r="I15" s="53">
        <f t="shared" ref="I15:I18" si="9">FORECAST(G15,$I$4:$I$13,$G$4:$G$13)</f>
        <v>773.97642424242372</v>
      </c>
      <c r="J15" s="54">
        <f t="shared" si="4"/>
        <v>6.8398583121950421E-2</v>
      </c>
      <c r="L15">
        <f t="shared" si="5"/>
        <v>12</v>
      </c>
      <c r="M15" s="52">
        <f t="shared" si="0"/>
        <v>46112</v>
      </c>
      <c r="N15" s="53">
        <f t="shared" ref="N15:N18" si="10">FORECAST(L15,_xlfn.ANCHORARRAY($N$4),$L$4:$L$13)</f>
        <v>22.064325261455672</v>
      </c>
      <c r="O15" s="54">
        <f t="shared" si="6"/>
        <v>8.2828532834140711E-2</v>
      </c>
    </row>
    <row r="16" spans="2:15" x14ac:dyDescent="0.3">
      <c r="B16" s="47">
        <f t="shared" si="1"/>
        <v>13</v>
      </c>
      <c r="C16" s="52">
        <f t="shared" si="7"/>
        <v>46477</v>
      </c>
      <c r="D16" s="53">
        <f t="shared" si="8"/>
        <v>5164.41309090909</v>
      </c>
      <c r="E16" s="54">
        <f t="shared" si="2"/>
        <v>6.1876254767957793E-2</v>
      </c>
      <c r="G16">
        <f t="shared" si="3"/>
        <v>13</v>
      </c>
      <c r="H16" s="52">
        <f>Forecast!C16</f>
        <v>46477</v>
      </c>
      <c r="I16" s="53">
        <f t="shared" si="9"/>
        <v>823.52618181818127</v>
      </c>
      <c r="J16" s="54">
        <f t="shared" si="4"/>
        <v>6.4019724663134769E-2</v>
      </c>
      <c r="L16">
        <f t="shared" si="5"/>
        <v>13</v>
      </c>
      <c r="M16" s="52">
        <f t="shared" si="0"/>
        <v>46477</v>
      </c>
      <c r="N16" s="53">
        <f t="shared" si="10"/>
        <v>23.752086189400828</v>
      </c>
      <c r="O16" s="54">
        <f t="shared" si="6"/>
        <v>7.6492750534888007E-2</v>
      </c>
    </row>
    <row r="17" spans="2:15" x14ac:dyDescent="0.3">
      <c r="B17" s="47">
        <f t="shared" si="1"/>
        <v>14</v>
      </c>
      <c r="C17" s="52">
        <f t="shared" si="7"/>
        <v>46842</v>
      </c>
      <c r="D17" s="53">
        <f t="shared" si="8"/>
        <v>5465.3469696969687</v>
      </c>
      <c r="E17" s="54">
        <f t="shared" si="2"/>
        <v>5.8270683132922163E-2</v>
      </c>
      <c r="G17">
        <f t="shared" si="3"/>
        <v>14</v>
      </c>
      <c r="H17" s="52">
        <f>Forecast!C17</f>
        <v>46842</v>
      </c>
      <c r="I17" s="53">
        <f t="shared" si="9"/>
        <v>873.07593939393882</v>
      </c>
      <c r="J17" s="54">
        <f t="shared" si="4"/>
        <v>6.0167798753357891E-2</v>
      </c>
      <c r="L17">
        <f t="shared" si="5"/>
        <v>14</v>
      </c>
      <c r="M17" s="52">
        <f t="shared" si="0"/>
        <v>46842</v>
      </c>
      <c r="N17" s="53">
        <f t="shared" si="10"/>
        <v>25.43984711734598</v>
      </c>
      <c r="O17" s="54">
        <f t="shared" si="6"/>
        <v>7.105737637051443E-2</v>
      </c>
    </row>
    <row r="18" spans="2:15" x14ac:dyDescent="0.3">
      <c r="B18" s="47">
        <f t="shared" si="1"/>
        <v>15</v>
      </c>
      <c r="C18" s="52">
        <f t="shared" si="7"/>
        <v>47207</v>
      </c>
      <c r="D18" s="53">
        <f t="shared" si="8"/>
        <v>5766.2808484848474</v>
      </c>
      <c r="E18" s="54">
        <f t="shared" si="2"/>
        <v>5.5062172714089232E-2</v>
      </c>
      <c r="G18">
        <f t="shared" si="3"/>
        <v>15</v>
      </c>
      <c r="H18" s="52">
        <f>Forecast!C18</f>
        <v>47207</v>
      </c>
      <c r="I18" s="53">
        <f t="shared" si="9"/>
        <v>922.62569696969626</v>
      </c>
      <c r="J18" s="54">
        <f t="shared" si="4"/>
        <v>5.6753090241100083E-2</v>
      </c>
      <c r="L18">
        <f t="shared" si="5"/>
        <v>15</v>
      </c>
      <c r="M18" s="52">
        <f t="shared" si="0"/>
        <v>47207</v>
      </c>
      <c r="N18" s="53">
        <f t="shared" si="10"/>
        <v>27.127608045291137</v>
      </c>
      <c r="O18" s="54">
        <f t="shared" si="6"/>
        <v>6.6343202463444384E-2</v>
      </c>
    </row>
  </sheetData>
  <mergeCells count="3">
    <mergeCell ref="G2:J2"/>
    <mergeCell ref="B2:E2"/>
    <mergeCell ref="L2:O2"/>
  </mergeCells>
  <pageMargins left="0.7" right="0.7" top="0.75" bottom="0.75" header="0.3" footer="0.3"/>
  <pageSetup paperSize="9" scale="52" orientation="portrait" r:id="rId1"/>
  <colBreaks count="1" manualBreakCount="1">
    <brk id="15" max="87" man="1"/>
  </col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77BD6-3707-48A7-BE66-0963C7DE2770}">
  <sheetPr>
    <tabColor rgb="FF0070C0"/>
  </sheetPr>
  <dimension ref="B1:I44"/>
  <sheetViews>
    <sheetView showGridLines="0" topLeftCell="A21" zoomScale="102" zoomScaleNormal="102" workbookViewId="0">
      <selection activeCell="J50" sqref="J50"/>
    </sheetView>
  </sheetViews>
  <sheetFormatPr defaultRowHeight="14.4" x14ac:dyDescent="0.3"/>
  <cols>
    <col min="1" max="1" width="8.88671875" customWidth="1"/>
    <col min="2" max="2" width="25.6640625" customWidth="1"/>
  </cols>
  <sheetData>
    <row r="1" spans="2:9" x14ac:dyDescent="0.3">
      <c r="B1" s="75" t="s">
        <v>223</v>
      </c>
    </row>
    <row r="2" spans="2:9" x14ac:dyDescent="0.3">
      <c r="B2" s="71" t="str">
        <f>'Data Sheet'!B1</f>
        <v>CARBORUNDUM UNIVERSAL LTD</v>
      </c>
      <c r="C2" s="2"/>
      <c r="D2" s="2"/>
      <c r="E2" s="2"/>
      <c r="F2" s="2"/>
      <c r="G2" s="2"/>
      <c r="H2" s="2"/>
      <c r="I2" s="2"/>
    </row>
    <row r="6" spans="2:9" x14ac:dyDescent="0.3">
      <c r="B6" s="116" t="s">
        <v>125</v>
      </c>
      <c r="C6" s="116"/>
      <c r="D6" s="116"/>
      <c r="E6" s="116"/>
      <c r="F6" s="116"/>
      <c r="G6" s="116"/>
      <c r="H6" s="116"/>
      <c r="I6" s="116"/>
    </row>
    <row r="7" spans="2:9" x14ac:dyDescent="0.3">
      <c r="C7" s="60">
        <f>'Historcial FS'!F3</f>
        <v>43190</v>
      </c>
      <c r="D7" s="60">
        <f>'Historcial FS'!G3</f>
        <v>43555</v>
      </c>
      <c r="E7" s="60">
        <f>'Historcial FS'!H3</f>
        <v>43921</v>
      </c>
      <c r="F7" s="60">
        <f>'Historcial FS'!I3</f>
        <v>44286</v>
      </c>
      <c r="G7" s="60">
        <f>'Historcial FS'!J3</f>
        <v>44651</v>
      </c>
      <c r="H7" s="60">
        <f>'Historcial FS'!K3</f>
        <v>45016</v>
      </c>
      <c r="I7" s="60">
        <f>'Historcial FS'!L3</f>
        <v>45382</v>
      </c>
    </row>
    <row r="8" spans="2:9" x14ac:dyDescent="0.3">
      <c r="B8" t="s">
        <v>126</v>
      </c>
      <c r="C8" s="61">
        <f>'Data Sheet'!B30</f>
        <v>132.6</v>
      </c>
      <c r="D8" s="61">
        <f>'Data Sheet'!C30</f>
        <v>144.1</v>
      </c>
      <c r="E8" s="61">
        <f>'Data Sheet'!D30</f>
        <v>174.87</v>
      </c>
      <c r="F8" s="61">
        <f>'Data Sheet'!E30</f>
        <v>215.6</v>
      </c>
      <c r="G8" s="61">
        <f>'Data Sheet'!F30</f>
        <v>247.68</v>
      </c>
      <c r="H8" s="61">
        <f>'Data Sheet'!G30</f>
        <v>272.42</v>
      </c>
      <c r="I8" s="61">
        <f>'Data Sheet'!H30</f>
        <v>284.31</v>
      </c>
    </row>
    <row r="9" spans="2:9" x14ac:dyDescent="0.3">
      <c r="B9" t="s">
        <v>127</v>
      </c>
      <c r="C9" s="61">
        <f>(('Data Sheet'!D58+'Data Sheet'!D57)+('Data Sheet'!E57+'Data Sheet'!E58))/2</f>
        <v>1473.5700000000002</v>
      </c>
      <c r="D9" s="61">
        <f>(('Data Sheet'!E58+'Data Sheet'!E57)+('Data Sheet'!F57+'Data Sheet'!F58))/2</f>
        <v>1644.23</v>
      </c>
      <c r="E9" s="61">
        <f>(('Data Sheet'!F58+'Data Sheet'!F57)+('Data Sheet'!G57+'Data Sheet'!G58))/2</f>
        <v>1791.23</v>
      </c>
      <c r="F9" s="61">
        <f>(('Data Sheet'!G58+'Data Sheet'!G57)+('Data Sheet'!H57+'Data Sheet'!H58))/2</f>
        <v>1994.9100000000003</v>
      </c>
      <c r="G9" s="61">
        <f>(('Data Sheet'!H58+'Data Sheet'!H57)+('Data Sheet'!I57+'Data Sheet'!I58))/2</f>
        <v>2247.625</v>
      </c>
      <c r="H9" s="61">
        <f>(('Data Sheet'!I58+'Data Sheet'!I57)+('Data Sheet'!J57+'Data Sheet'!J58))/2</f>
        <v>2592.17</v>
      </c>
      <c r="I9" s="61">
        <f>(('Data Sheet'!J58+'Data Sheet'!J57)+('Data Sheet'!K57+'Data Sheet'!K58))/2</f>
        <v>2973.1350000000002</v>
      </c>
    </row>
    <row r="10" spans="2:9" x14ac:dyDescent="0.3">
      <c r="B10" s="62" t="s">
        <v>128</v>
      </c>
      <c r="C10" s="63">
        <f>C8/C9</f>
        <v>8.9985545308332804E-2</v>
      </c>
      <c r="D10" s="63">
        <f t="shared" ref="D10:I10" si="0">D8/D9</f>
        <v>8.7639807082950674E-2</v>
      </c>
      <c r="E10" s="63">
        <f t="shared" si="0"/>
        <v>9.7625653880294552E-2</v>
      </c>
      <c r="F10" s="63">
        <f t="shared" si="0"/>
        <v>0.10807505100480722</v>
      </c>
      <c r="G10" s="63">
        <f t="shared" si="0"/>
        <v>0.11019631833602136</v>
      </c>
      <c r="H10" s="63">
        <f t="shared" si="0"/>
        <v>0.10509341594108411</v>
      </c>
      <c r="I10" s="63">
        <f t="shared" si="0"/>
        <v>9.5626333819352288E-2</v>
      </c>
    </row>
    <row r="12" spans="2:9" x14ac:dyDescent="0.3">
      <c r="B12" s="116" t="s">
        <v>129</v>
      </c>
      <c r="C12" s="116"/>
      <c r="D12" s="116"/>
      <c r="E12" s="116"/>
      <c r="F12" s="116"/>
      <c r="G12" s="116"/>
      <c r="H12" s="116"/>
      <c r="I12" s="116"/>
    </row>
    <row r="13" spans="2:9" x14ac:dyDescent="0.3">
      <c r="C13" s="60">
        <f>C7</f>
        <v>43190</v>
      </c>
      <c r="D13" s="60">
        <f t="shared" ref="D13:I13" si="1">D7</f>
        <v>43555</v>
      </c>
      <c r="E13" s="60">
        <f t="shared" si="1"/>
        <v>43921</v>
      </c>
      <c r="F13" s="60">
        <f t="shared" si="1"/>
        <v>44286</v>
      </c>
      <c r="G13" s="60">
        <f t="shared" si="1"/>
        <v>44651</v>
      </c>
      <c r="H13" s="60">
        <f t="shared" si="1"/>
        <v>45016</v>
      </c>
      <c r="I13" s="60">
        <f t="shared" si="1"/>
        <v>45382</v>
      </c>
    </row>
    <row r="14" spans="2:9" x14ac:dyDescent="0.3">
      <c r="B14" t="s">
        <v>126</v>
      </c>
      <c r="C14" s="61">
        <f>C8</f>
        <v>132.6</v>
      </c>
      <c r="D14" s="61">
        <f t="shared" ref="D14:I14" si="2">D8</f>
        <v>144.1</v>
      </c>
      <c r="E14" s="61">
        <f t="shared" si="2"/>
        <v>174.87</v>
      </c>
      <c r="F14" s="61">
        <f t="shared" si="2"/>
        <v>215.6</v>
      </c>
      <c r="G14" s="61">
        <f t="shared" si="2"/>
        <v>247.68</v>
      </c>
      <c r="H14" s="61">
        <f t="shared" si="2"/>
        <v>272.42</v>
      </c>
      <c r="I14" s="61">
        <f t="shared" si="2"/>
        <v>284.31</v>
      </c>
    </row>
    <row r="15" spans="2:9" x14ac:dyDescent="0.3">
      <c r="B15" t="s">
        <v>130</v>
      </c>
      <c r="C15" s="61">
        <f>'Data Sheet'!E17</f>
        <v>2374.5</v>
      </c>
      <c r="D15" s="61">
        <f>'Data Sheet'!F17</f>
        <v>2688.9</v>
      </c>
      <c r="E15" s="61">
        <f>'Data Sheet'!G17</f>
        <v>2598.9699999999998</v>
      </c>
      <c r="F15" s="61">
        <f>'Data Sheet'!H17</f>
        <v>2631.71</v>
      </c>
      <c r="G15" s="61">
        <f>'Data Sheet'!I17</f>
        <v>3324.76</v>
      </c>
      <c r="H15" s="61">
        <f>'Data Sheet'!J17</f>
        <v>4654.28</v>
      </c>
      <c r="I15" s="61">
        <f>'Data Sheet'!K17</f>
        <v>4702.1899999999996</v>
      </c>
    </row>
    <row r="16" spans="2:9" x14ac:dyDescent="0.3">
      <c r="B16" s="62" t="s">
        <v>131</v>
      </c>
      <c r="C16" s="63">
        <f>C14/C15</f>
        <v>5.5843335439039798E-2</v>
      </c>
      <c r="D16" s="63">
        <f t="shared" ref="D16:I16" si="3">D14/D15</f>
        <v>5.3590687641786601E-2</v>
      </c>
      <c r="E16" s="63">
        <f t="shared" si="3"/>
        <v>6.7284347260645569E-2</v>
      </c>
      <c r="F16" s="63">
        <f t="shared" si="3"/>
        <v>8.192392018877459E-2</v>
      </c>
      <c r="G16" s="63">
        <f t="shared" si="3"/>
        <v>7.4495602690118984E-2</v>
      </c>
      <c r="H16" s="63">
        <f t="shared" si="3"/>
        <v>5.8531072475227111E-2</v>
      </c>
      <c r="I16" s="63">
        <f t="shared" si="3"/>
        <v>6.0463316029339527E-2</v>
      </c>
    </row>
    <row r="18" spans="2:9" x14ac:dyDescent="0.3">
      <c r="B18" t="str">
        <f>B15</f>
        <v>Revenue</v>
      </c>
      <c r="C18" s="61">
        <f>C15</f>
        <v>2374.5</v>
      </c>
      <c r="D18" s="61">
        <f t="shared" ref="D18:I18" si="4">D15</f>
        <v>2688.9</v>
      </c>
      <c r="E18" s="61">
        <f t="shared" si="4"/>
        <v>2598.9699999999998</v>
      </c>
      <c r="F18" s="61">
        <f t="shared" si="4"/>
        <v>2631.71</v>
      </c>
      <c r="G18" s="61">
        <f t="shared" si="4"/>
        <v>3324.76</v>
      </c>
      <c r="H18" s="61">
        <f t="shared" si="4"/>
        <v>4654.28</v>
      </c>
      <c r="I18" s="61">
        <f t="shared" si="4"/>
        <v>4702.1899999999996</v>
      </c>
    </row>
    <row r="19" spans="2:9" x14ac:dyDescent="0.3">
      <c r="B19" t="s">
        <v>132</v>
      </c>
      <c r="C19" s="61">
        <f>('Data Sheet'!E66+'Data Sheet'!D66)/2</f>
        <v>2000.395</v>
      </c>
      <c r="D19" s="61">
        <f>('Data Sheet'!F66+'Data Sheet'!E66)/2</f>
        <v>2154.7449999999999</v>
      </c>
      <c r="E19" s="61">
        <f>('Data Sheet'!G66+'Data Sheet'!F66)/2</f>
        <v>2252.2200000000003</v>
      </c>
      <c r="F19" s="61">
        <f>('Data Sheet'!H66+'Data Sheet'!G66)/2</f>
        <v>2480.6850000000004</v>
      </c>
      <c r="G19" s="61">
        <f>('Data Sheet'!I66+'Data Sheet'!H66)/2</f>
        <v>2987.3850000000002</v>
      </c>
      <c r="H19" s="61">
        <f>('Data Sheet'!J66+'Data Sheet'!I66)/2</f>
        <v>3583.91</v>
      </c>
      <c r="I19" s="61">
        <f>('Data Sheet'!K66+'Data Sheet'!J66)/2</f>
        <v>3981.49</v>
      </c>
    </row>
    <row r="20" spans="2:9" x14ac:dyDescent="0.3">
      <c r="B20" s="62" t="s">
        <v>133</v>
      </c>
      <c r="C20" s="64">
        <f>C18/C19</f>
        <v>1.1870155644260258</v>
      </c>
      <c r="D20" s="64">
        <f t="shared" ref="D20:I20" si="5">D18/D19</f>
        <v>1.2478970829494906</v>
      </c>
      <c r="E20" s="64">
        <f t="shared" si="5"/>
        <v>1.1539592046958109</v>
      </c>
      <c r="F20" s="64">
        <f t="shared" si="5"/>
        <v>1.0608803616742954</v>
      </c>
      <c r="G20" s="64">
        <f t="shared" si="5"/>
        <v>1.1129332175129754</v>
      </c>
      <c r="H20" s="64">
        <f t="shared" si="5"/>
        <v>1.2986598435786614</v>
      </c>
      <c r="I20" s="64">
        <f t="shared" si="5"/>
        <v>1.1810126359729649</v>
      </c>
    </row>
    <row r="22" spans="2:9" x14ac:dyDescent="0.3">
      <c r="B22" t="str">
        <f>B19</f>
        <v>Average Total Asset</v>
      </c>
      <c r="C22" s="61">
        <f>C19</f>
        <v>2000.395</v>
      </c>
      <c r="D22" s="61">
        <f t="shared" ref="D22:I22" si="6">D19</f>
        <v>2154.7449999999999</v>
      </c>
      <c r="E22" s="61">
        <f t="shared" si="6"/>
        <v>2252.2200000000003</v>
      </c>
      <c r="F22" s="61">
        <f t="shared" si="6"/>
        <v>2480.6850000000004</v>
      </c>
      <c r="G22" s="61">
        <f t="shared" si="6"/>
        <v>2987.3850000000002</v>
      </c>
      <c r="H22" s="61">
        <f t="shared" si="6"/>
        <v>3583.91</v>
      </c>
      <c r="I22" s="61">
        <f t="shared" si="6"/>
        <v>3981.49</v>
      </c>
    </row>
    <row r="23" spans="2:9" x14ac:dyDescent="0.3">
      <c r="B23" t="str">
        <f>B9</f>
        <v>Average Shareholder Equity</v>
      </c>
      <c r="C23" s="61">
        <f>C9</f>
        <v>1473.5700000000002</v>
      </c>
      <c r="D23" s="61">
        <f t="shared" ref="D23:I23" si="7">D9</f>
        <v>1644.23</v>
      </c>
      <c r="E23" s="61">
        <f t="shared" si="7"/>
        <v>1791.23</v>
      </c>
      <c r="F23" s="61">
        <f t="shared" si="7"/>
        <v>1994.9100000000003</v>
      </c>
      <c r="G23" s="61">
        <f t="shared" si="7"/>
        <v>2247.625</v>
      </c>
      <c r="H23" s="61">
        <f t="shared" si="7"/>
        <v>2592.17</v>
      </c>
      <c r="I23" s="61">
        <f t="shared" si="7"/>
        <v>2973.1350000000002</v>
      </c>
    </row>
    <row r="24" spans="2:9" x14ac:dyDescent="0.3">
      <c r="B24" s="62" t="s">
        <v>134</v>
      </c>
      <c r="C24" s="65">
        <f>C22/C23</f>
        <v>1.3575161003549201</v>
      </c>
      <c r="D24" s="65">
        <f t="shared" ref="D24:I24" si="8">D22/D23</f>
        <v>1.3104888002286783</v>
      </c>
      <c r="E24" s="65">
        <f t="shared" si="8"/>
        <v>1.25735946807501</v>
      </c>
      <c r="F24" s="65">
        <f t="shared" si="8"/>
        <v>1.2435072258898898</v>
      </c>
      <c r="G24" s="65">
        <f t="shared" si="8"/>
        <v>1.3291296368388856</v>
      </c>
      <c r="H24" s="65">
        <f t="shared" si="8"/>
        <v>1.3825906479899079</v>
      </c>
      <c r="I24" s="65">
        <f t="shared" si="8"/>
        <v>1.3391554705723081</v>
      </c>
    </row>
    <row r="26" spans="2:9" x14ac:dyDescent="0.3">
      <c r="B26" s="62" t="s">
        <v>135</v>
      </c>
      <c r="C26" s="63">
        <f>C24*C20*C16</f>
        <v>8.9985545308332804E-2</v>
      </c>
      <c r="D26" s="63">
        <f t="shared" ref="D26:I26" si="9">D24*D20*D16</f>
        <v>8.7639807082950674E-2</v>
      </c>
      <c r="E26" s="63">
        <f t="shared" si="9"/>
        <v>9.7625653880294525E-2</v>
      </c>
      <c r="F26" s="63">
        <f t="shared" si="9"/>
        <v>0.10807505100480722</v>
      </c>
      <c r="G26" s="63">
        <f t="shared" si="9"/>
        <v>0.11019631833602135</v>
      </c>
      <c r="H26" s="63">
        <f t="shared" si="9"/>
        <v>0.10509341594108412</v>
      </c>
      <c r="I26" s="63">
        <f t="shared" si="9"/>
        <v>9.5626333819352302E-2</v>
      </c>
    </row>
    <row r="28" spans="2:9" x14ac:dyDescent="0.3">
      <c r="B28" s="116" t="s">
        <v>136</v>
      </c>
      <c r="C28" s="116"/>
      <c r="D28" s="116"/>
      <c r="E28" s="116"/>
      <c r="F28" s="116"/>
      <c r="G28" s="116"/>
      <c r="H28" s="116"/>
      <c r="I28" s="116"/>
    </row>
    <row r="29" spans="2:9" x14ac:dyDescent="0.3">
      <c r="C29" s="60">
        <f>C13</f>
        <v>43190</v>
      </c>
      <c r="D29" s="60">
        <f t="shared" ref="D29:I29" si="10">D13</f>
        <v>43555</v>
      </c>
      <c r="E29" s="60">
        <f t="shared" si="10"/>
        <v>43921</v>
      </c>
      <c r="F29" s="60">
        <f t="shared" si="10"/>
        <v>44286</v>
      </c>
      <c r="G29" s="60">
        <f t="shared" si="10"/>
        <v>44651</v>
      </c>
      <c r="H29" s="60">
        <f t="shared" si="10"/>
        <v>45016</v>
      </c>
      <c r="I29" s="60">
        <f t="shared" si="10"/>
        <v>45382</v>
      </c>
    </row>
    <row r="30" spans="2:9" x14ac:dyDescent="0.3">
      <c r="B30" t="s">
        <v>126</v>
      </c>
      <c r="C30" s="61">
        <f>C14</f>
        <v>132.6</v>
      </c>
      <c r="D30" s="61">
        <f t="shared" ref="D30:I30" si="11">D14</f>
        <v>144.1</v>
      </c>
      <c r="E30" s="61">
        <f t="shared" si="11"/>
        <v>174.87</v>
      </c>
      <c r="F30" s="61">
        <f t="shared" si="11"/>
        <v>215.6</v>
      </c>
      <c r="G30" s="61">
        <f t="shared" si="11"/>
        <v>247.68</v>
      </c>
      <c r="H30" s="61">
        <f t="shared" si="11"/>
        <v>272.42</v>
      </c>
      <c r="I30" s="61">
        <f t="shared" si="11"/>
        <v>284.31</v>
      </c>
    </row>
    <row r="31" spans="2:9" x14ac:dyDescent="0.3">
      <c r="B31" t="str">
        <f>B22</f>
        <v>Average Total Asset</v>
      </c>
      <c r="C31" s="61">
        <f>C19</f>
        <v>2000.395</v>
      </c>
      <c r="D31" s="61">
        <f t="shared" ref="D31:I31" si="12">D19</f>
        <v>2154.7449999999999</v>
      </c>
      <c r="E31" s="61">
        <f t="shared" si="12"/>
        <v>2252.2200000000003</v>
      </c>
      <c r="F31" s="61">
        <f t="shared" si="12"/>
        <v>2480.6850000000004</v>
      </c>
      <c r="G31" s="61">
        <f t="shared" si="12"/>
        <v>2987.3850000000002</v>
      </c>
      <c r="H31" s="61">
        <f t="shared" si="12"/>
        <v>3583.91</v>
      </c>
      <c r="I31" s="61">
        <f t="shared" si="12"/>
        <v>3981.49</v>
      </c>
    </row>
    <row r="32" spans="2:9" x14ac:dyDescent="0.3">
      <c r="B32" s="62" t="s">
        <v>137</v>
      </c>
      <c r="C32" s="63">
        <f>C30/C31</f>
        <v>6.6286908335603717E-2</v>
      </c>
      <c r="D32" s="63">
        <f t="shared" ref="D32:I32" si="13">D30/D31</f>
        <v>6.6875662781442816E-2</v>
      </c>
      <c r="E32" s="63">
        <f t="shared" si="13"/>
        <v>7.7643391853371338E-2</v>
      </c>
      <c r="F32" s="63">
        <f t="shared" si="13"/>
        <v>8.6911478079643306E-2</v>
      </c>
      <c r="G32" s="63">
        <f t="shared" si="13"/>
        <v>8.2908630792482382E-2</v>
      </c>
      <c r="H32" s="63">
        <f t="shared" si="13"/>
        <v>7.6011953425169726E-2</v>
      </c>
      <c r="I32" s="63">
        <f t="shared" si="13"/>
        <v>7.1407940243476686E-2</v>
      </c>
    </row>
    <row r="34" spans="2:9" x14ac:dyDescent="0.3">
      <c r="B34" s="116" t="s">
        <v>138</v>
      </c>
      <c r="C34" s="116"/>
      <c r="D34" s="116"/>
      <c r="E34" s="116"/>
      <c r="F34" s="116"/>
      <c r="G34" s="116"/>
      <c r="H34" s="116"/>
      <c r="I34" s="116"/>
    </row>
    <row r="35" spans="2:9" x14ac:dyDescent="0.3">
      <c r="C35" s="60">
        <f>C29</f>
        <v>43190</v>
      </c>
      <c r="D35" s="60">
        <f t="shared" ref="D35:H35" si="14">D29</f>
        <v>43555</v>
      </c>
      <c r="E35" s="60">
        <f t="shared" si="14"/>
        <v>43921</v>
      </c>
      <c r="F35" s="60">
        <f t="shared" si="14"/>
        <v>44286</v>
      </c>
      <c r="G35" s="60">
        <f t="shared" si="14"/>
        <v>44651</v>
      </c>
      <c r="H35" s="60">
        <f t="shared" si="14"/>
        <v>45016</v>
      </c>
      <c r="I35" s="60">
        <f>I29</f>
        <v>45382</v>
      </c>
    </row>
    <row r="36" spans="2:9" x14ac:dyDescent="0.3">
      <c r="B36" t="str">
        <f>B30</f>
        <v>Net Profit</v>
      </c>
      <c r="C36" s="61">
        <f>C30</f>
        <v>132.6</v>
      </c>
      <c r="D36" s="61">
        <f t="shared" ref="D36:I36" si="15">D30</f>
        <v>144.1</v>
      </c>
      <c r="E36" s="61">
        <f t="shared" si="15"/>
        <v>174.87</v>
      </c>
      <c r="F36" s="61">
        <f t="shared" si="15"/>
        <v>215.6</v>
      </c>
      <c r="G36" s="61">
        <f t="shared" si="15"/>
        <v>247.68</v>
      </c>
      <c r="H36" s="61">
        <f t="shared" si="15"/>
        <v>272.42</v>
      </c>
      <c r="I36" s="61">
        <f t="shared" si="15"/>
        <v>284.31</v>
      </c>
    </row>
    <row r="37" spans="2:9" x14ac:dyDescent="0.3">
      <c r="B37" t="s">
        <v>130</v>
      </c>
      <c r="C37" s="61">
        <f>C18</f>
        <v>2374.5</v>
      </c>
      <c r="D37" s="61">
        <f t="shared" ref="D37:I37" si="16">D18</f>
        <v>2688.9</v>
      </c>
      <c r="E37" s="61">
        <f t="shared" si="16"/>
        <v>2598.9699999999998</v>
      </c>
      <c r="F37" s="61">
        <f t="shared" si="16"/>
        <v>2631.71</v>
      </c>
      <c r="G37" s="61">
        <f t="shared" si="16"/>
        <v>3324.76</v>
      </c>
      <c r="H37" s="61">
        <f t="shared" si="16"/>
        <v>4654.28</v>
      </c>
      <c r="I37" s="61">
        <f t="shared" si="16"/>
        <v>4702.1899999999996</v>
      </c>
    </row>
    <row r="38" spans="2:9" x14ac:dyDescent="0.3">
      <c r="B38" s="62" t="s">
        <v>131</v>
      </c>
      <c r="C38" s="63">
        <f>C36/C37</f>
        <v>5.5843335439039798E-2</v>
      </c>
      <c r="D38" s="63">
        <f t="shared" ref="D38:I38" si="17">D36/D37</f>
        <v>5.3590687641786601E-2</v>
      </c>
      <c r="E38" s="63">
        <f t="shared" si="17"/>
        <v>6.7284347260645569E-2</v>
      </c>
      <c r="F38" s="63">
        <f t="shared" si="17"/>
        <v>8.192392018877459E-2</v>
      </c>
      <c r="G38" s="63">
        <f t="shared" si="17"/>
        <v>7.4495602690118984E-2</v>
      </c>
      <c r="H38" s="63">
        <f t="shared" si="17"/>
        <v>5.8531072475227111E-2</v>
      </c>
      <c r="I38" s="63">
        <f t="shared" si="17"/>
        <v>6.0463316029339527E-2</v>
      </c>
    </row>
    <row r="40" spans="2:9" x14ac:dyDescent="0.3">
      <c r="B40" t="s">
        <v>130</v>
      </c>
      <c r="C40" s="61">
        <f>C37</f>
        <v>2374.5</v>
      </c>
      <c r="D40" s="61">
        <f t="shared" ref="D40:I40" si="18">D37</f>
        <v>2688.9</v>
      </c>
      <c r="E40" s="61">
        <f t="shared" si="18"/>
        <v>2598.9699999999998</v>
      </c>
      <c r="F40" s="61">
        <f t="shared" si="18"/>
        <v>2631.71</v>
      </c>
      <c r="G40" s="61">
        <f t="shared" si="18"/>
        <v>3324.76</v>
      </c>
      <c r="H40" s="61">
        <f t="shared" si="18"/>
        <v>4654.28</v>
      </c>
      <c r="I40" s="61">
        <f t="shared" si="18"/>
        <v>4702.1899999999996</v>
      </c>
    </row>
    <row r="41" spans="2:9" x14ac:dyDescent="0.3">
      <c r="B41" t="s">
        <v>132</v>
      </c>
      <c r="C41" s="61">
        <f>C31</f>
        <v>2000.395</v>
      </c>
      <c r="D41" s="61">
        <f t="shared" ref="D41:I41" si="19">D31</f>
        <v>2154.7449999999999</v>
      </c>
      <c r="E41" s="61">
        <f t="shared" si="19"/>
        <v>2252.2200000000003</v>
      </c>
      <c r="F41" s="61">
        <f t="shared" si="19"/>
        <v>2480.6850000000004</v>
      </c>
      <c r="G41" s="61">
        <f t="shared" si="19"/>
        <v>2987.3850000000002</v>
      </c>
      <c r="H41" s="61">
        <f t="shared" si="19"/>
        <v>3583.91</v>
      </c>
      <c r="I41" s="61">
        <f t="shared" si="19"/>
        <v>3981.49</v>
      </c>
    </row>
    <row r="42" spans="2:9" x14ac:dyDescent="0.3">
      <c r="B42" s="62" t="s">
        <v>133</v>
      </c>
      <c r="C42" s="64">
        <f>C40/C41</f>
        <v>1.1870155644260258</v>
      </c>
      <c r="D42" s="64">
        <f t="shared" ref="D42:I42" si="20">D40/D41</f>
        <v>1.2478970829494906</v>
      </c>
      <c r="E42" s="64">
        <f t="shared" si="20"/>
        <v>1.1539592046958109</v>
      </c>
      <c r="F42" s="64">
        <f t="shared" si="20"/>
        <v>1.0608803616742954</v>
      </c>
      <c r="G42" s="64">
        <f t="shared" si="20"/>
        <v>1.1129332175129754</v>
      </c>
      <c r="H42" s="64">
        <f t="shared" si="20"/>
        <v>1.2986598435786614</v>
      </c>
      <c r="I42" s="64">
        <f t="shared" si="20"/>
        <v>1.1810126359729649</v>
      </c>
    </row>
    <row r="44" spans="2:9" x14ac:dyDescent="0.3">
      <c r="B44" s="62" t="s">
        <v>139</v>
      </c>
      <c r="C44" s="63">
        <f>C38*C42</f>
        <v>6.6286908335603717E-2</v>
      </c>
      <c r="D44" s="63">
        <f t="shared" ref="D44:I44" si="21">D38*D42</f>
        <v>6.6875662781442816E-2</v>
      </c>
      <c r="E44" s="63">
        <f t="shared" si="21"/>
        <v>7.7643391853371324E-2</v>
      </c>
      <c r="F44" s="63">
        <f t="shared" si="21"/>
        <v>8.6911478079643306E-2</v>
      </c>
      <c r="G44" s="63">
        <f t="shared" si="21"/>
        <v>8.2908630792482382E-2</v>
      </c>
      <c r="H44" s="63">
        <f t="shared" si="21"/>
        <v>7.6011953425169726E-2</v>
      </c>
      <c r="I44" s="63">
        <f t="shared" si="21"/>
        <v>7.14079402434767E-2</v>
      </c>
    </row>
  </sheetData>
  <mergeCells count="4">
    <mergeCell ref="B34:I34"/>
    <mergeCell ref="B6:I6"/>
    <mergeCell ref="B12:I12"/>
    <mergeCell ref="B28:I28"/>
  </mergeCells>
  <pageMargins left="0.7" right="0.7" top="0.75" bottom="0.75" header="0.3" footer="0.3"/>
  <pageSetup paperSize="9" scale="5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7D985-316D-4B8F-97F2-F827C792CA37}">
  <sheetPr>
    <tabColor rgb="FF0070C0"/>
  </sheetPr>
  <dimension ref="B2:L2"/>
  <sheetViews>
    <sheetView showGridLines="0" zoomScaleNormal="100" workbookViewId="0">
      <selection activeCell="Z17" sqref="Z17:Z20"/>
    </sheetView>
  </sheetViews>
  <sheetFormatPr defaultRowHeight="14.4" x14ac:dyDescent="0.3"/>
  <cols>
    <col min="1" max="1" width="2.44140625" customWidth="1"/>
    <col min="6" max="6" width="5.88671875" customWidth="1"/>
    <col min="7" max="7" width="3.21875" customWidth="1"/>
    <col min="11" max="11" width="2.33203125" customWidth="1"/>
  </cols>
  <sheetData>
    <row r="2" spans="2:12" ht="21" x14ac:dyDescent="0.4">
      <c r="B2" s="117" t="str">
        <f>_xlfn.CONCAT("Dupont Summary : ",'Data Sheet'!B1)</f>
        <v>Dupont Summary : CARBORUNDUM UNIVERSAL LTD</v>
      </c>
      <c r="C2" s="117"/>
      <c r="D2" s="117"/>
      <c r="E2" s="117"/>
      <c r="F2" s="117"/>
      <c r="G2" s="117"/>
      <c r="H2" s="117"/>
      <c r="I2" s="117"/>
      <c r="J2" s="117"/>
      <c r="K2" s="117"/>
      <c r="L2" s="117"/>
    </row>
  </sheetData>
  <mergeCells count="1">
    <mergeCell ref="B2:L2"/>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84D58-EEBE-4175-B07B-0EE762A1AE5F}">
  <sheetPr>
    <tabColor rgb="FF0275D8"/>
  </sheetPr>
  <dimension ref="A4:K39"/>
  <sheetViews>
    <sheetView showGridLines="0" zoomScaleNormal="100" zoomScaleSheetLayoutView="100" workbookViewId="0">
      <selection activeCell="M21" sqref="M21"/>
    </sheetView>
  </sheetViews>
  <sheetFormatPr defaultRowHeight="14.4" x14ac:dyDescent="0.3"/>
  <cols>
    <col min="1" max="1" width="32.77734375" bestFit="1" customWidth="1"/>
    <col min="8" max="8" width="10" customWidth="1"/>
    <col min="11" max="11" width="11.6640625" customWidth="1"/>
  </cols>
  <sheetData>
    <row r="4" spans="1:11" ht="23.4" x14ac:dyDescent="0.45">
      <c r="A4" s="119" t="str">
        <f>_xlfn.CONCAT("Altman's Z Score Analysis Calculation - ",'Data Sheet'!B1)</f>
        <v>Altman's Z Score Analysis Calculation - CARBORUNDUM UNIVERSAL LTD</v>
      </c>
      <c r="B4" s="119"/>
      <c r="C4" s="119"/>
      <c r="D4" s="119"/>
      <c r="E4" s="119"/>
      <c r="F4" s="119"/>
      <c r="G4" s="119"/>
      <c r="H4" s="119"/>
      <c r="I4" s="119"/>
      <c r="J4" s="119"/>
      <c r="K4" s="119"/>
    </row>
    <row r="5" spans="1:11" x14ac:dyDescent="0.3">
      <c r="A5" s="75" t="s">
        <v>223</v>
      </c>
    </row>
    <row r="6" spans="1:11" x14ac:dyDescent="0.3">
      <c r="A6" s="118" t="s">
        <v>140</v>
      </c>
      <c r="B6" s="118"/>
      <c r="C6" s="118"/>
      <c r="D6" s="118"/>
      <c r="E6" s="118"/>
      <c r="F6" s="118"/>
      <c r="G6" s="118"/>
      <c r="H6" s="118"/>
      <c r="I6" s="68"/>
      <c r="J6" s="68"/>
      <c r="K6" s="68"/>
    </row>
    <row r="7" spans="1:11" x14ac:dyDescent="0.3">
      <c r="B7" s="60">
        <f>'Historcial FS'!C3</f>
        <v>42094</v>
      </c>
      <c r="C7" s="60">
        <f>'Historcial FS'!D3</f>
        <v>42460</v>
      </c>
      <c r="D7" s="60">
        <f>'Historcial FS'!E3</f>
        <v>42825</v>
      </c>
      <c r="E7" s="60">
        <f>'Historcial FS'!F3</f>
        <v>43190</v>
      </c>
      <c r="F7" s="60">
        <f>'Historcial FS'!G3</f>
        <v>43555</v>
      </c>
      <c r="G7" s="60">
        <f>'Historcial FS'!H3</f>
        <v>43921</v>
      </c>
      <c r="H7" s="60">
        <f>'Historcial FS'!I3</f>
        <v>44286</v>
      </c>
      <c r="I7" s="60">
        <f>'Historcial FS'!J3</f>
        <v>44651</v>
      </c>
      <c r="J7" s="60">
        <f>'Historcial FS'!K3</f>
        <v>45016</v>
      </c>
      <c r="K7" s="60">
        <f>'Historcial FS'!L3</f>
        <v>45382</v>
      </c>
    </row>
    <row r="8" spans="1:11" x14ac:dyDescent="0.3">
      <c r="A8" t="s">
        <v>141</v>
      </c>
      <c r="B8" s="61">
        <f>'Data Sheet'!B65-'Data Sheet'!B60</f>
        <v>551.71</v>
      </c>
      <c r="C8" s="61">
        <f>'Data Sheet'!C65-'Data Sheet'!C60</f>
        <v>637.43000000000006</v>
      </c>
      <c r="D8" s="61">
        <f>'Data Sheet'!D65-'Data Sheet'!D60</f>
        <v>636.87</v>
      </c>
      <c r="E8" s="61">
        <f>'Data Sheet'!E65-'Data Sheet'!E60</f>
        <v>747.4899999999999</v>
      </c>
      <c r="F8" s="61">
        <f>'Data Sheet'!F65-'Data Sheet'!F60</f>
        <v>852.93000000000006</v>
      </c>
      <c r="G8" s="61">
        <f>'Data Sheet'!G65-'Data Sheet'!G60</f>
        <v>952.98</v>
      </c>
      <c r="H8" s="61">
        <f>'Data Sheet'!H65-'Data Sheet'!H60</f>
        <v>1260.99</v>
      </c>
      <c r="I8" s="61">
        <f>'Data Sheet'!I65-'Data Sheet'!I60</f>
        <v>1402.1200000000003</v>
      </c>
      <c r="J8" s="61">
        <f>'Data Sheet'!J65-'Data Sheet'!J60</f>
        <v>1322.3799999999997</v>
      </c>
      <c r="K8" s="61">
        <f>'Data Sheet'!K65-'Data Sheet'!K60</f>
        <v>1486.93</v>
      </c>
    </row>
    <row r="9" spans="1:11" x14ac:dyDescent="0.3">
      <c r="A9" t="s">
        <v>84</v>
      </c>
      <c r="B9" s="61">
        <f>'Data Sheet'!B66</f>
        <v>1815.66</v>
      </c>
      <c r="C9" s="61">
        <f>'Data Sheet'!C66</f>
        <v>1860.06</v>
      </c>
      <c r="D9" s="61">
        <f>'Data Sheet'!D66</f>
        <v>1913.23</v>
      </c>
      <c r="E9" s="61">
        <f>'Data Sheet'!E66</f>
        <v>2087.56</v>
      </c>
      <c r="F9" s="61">
        <f>'Data Sheet'!F66</f>
        <v>2221.9299999999998</v>
      </c>
      <c r="G9" s="61">
        <f>'Data Sheet'!G66</f>
        <v>2282.5100000000002</v>
      </c>
      <c r="H9" s="61">
        <f>'Data Sheet'!H66</f>
        <v>2678.86</v>
      </c>
      <c r="I9" s="61">
        <f>'Data Sheet'!I66</f>
        <v>3295.91</v>
      </c>
      <c r="J9" s="61">
        <f>'Data Sheet'!J66</f>
        <v>3871.91</v>
      </c>
      <c r="K9" s="61">
        <f>'Data Sheet'!K66</f>
        <v>4091.07</v>
      </c>
    </row>
    <row r="10" spans="1:11" x14ac:dyDescent="0.3">
      <c r="A10" s="62" t="s">
        <v>142</v>
      </c>
      <c r="B10" s="63">
        <f>B8/B9</f>
        <v>0.30386195653371229</v>
      </c>
      <c r="C10" s="63">
        <f t="shared" ref="C10:K10" si="0">C8/C9</f>
        <v>0.34269324645441551</v>
      </c>
      <c r="D10" s="63">
        <f t="shared" si="0"/>
        <v>0.33287686268770611</v>
      </c>
      <c r="E10" s="63">
        <f t="shared" si="0"/>
        <v>0.35806875011975697</v>
      </c>
      <c r="F10" s="63">
        <f t="shared" si="0"/>
        <v>0.38386897877070841</v>
      </c>
      <c r="G10" s="63">
        <f t="shared" si="0"/>
        <v>0.41751405251236573</v>
      </c>
      <c r="H10" s="63">
        <f t="shared" si="0"/>
        <v>0.47071888788514515</v>
      </c>
      <c r="I10" s="63">
        <f t="shared" si="0"/>
        <v>0.42541210166539756</v>
      </c>
      <c r="J10" s="63">
        <f t="shared" si="0"/>
        <v>0.3415316988256441</v>
      </c>
      <c r="K10" s="63">
        <f t="shared" si="0"/>
        <v>0.3634574817834943</v>
      </c>
    </row>
    <row r="11" spans="1:11" x14ac:dyDescent="0.3">
      <c r="A11" t="s">
        <v>158</v>
      </c>
      <c r="B11">
        <v>1.2</v>
      </c>
    </row>
    <row r="12" spans="1:11" x14ac:dyDescent="0.3">
      <c r="A12" s="118" t="s">
        <v>143</v>
      </c>
      <c r="B12" s="118"/>
      <c r="C12" s="118"/>
      <c r="D12" s="118"/>
      <c r="E12" s="118"/>
      <c r="F12" s="118"/>
      <c r="G12" s="118"/>
      <c r="H12" s="118"/>
      <c r="I12" s="68"/>
      <c r="J12" s="68"/>
      <c r="K12" s="68"/>
    </row>
    <row r="13" spans="1:11" x14ac:dyDescent="0.3">
      <c r="B13" s="60">
        <f>B7</f>
        <v>42094</v>
      </c>
      <c r="C13" s="60">
        <f t="shared" ref="C13:K13" si="1">C7</f>
        <v>42460</v>
      </c>
      <c r="D13" s="60">
        <f t="shared" si="1"/>
        <v>42825</v>
      </c>
      <c r="E13" s="60">
        <f t="shared" si="1"/>
        <v>43190</v>
      </c>
      <c r="F13" s="60">
        <f t="shared" si="1"/>
        <v>43555</v>
      </c>
      <c r="G13" s="60">
        <f t="shared" si="1"/>
        <v>43921</v>
      </c>
      <c r="H13" s="60">
        <f t="shared" si="1"/>
        <v>44286</v>
      </c>
      <c r="I13" s="60">
        <f t="shared" si="1"/>
        <v>44651</v>
      </c>
      <c r="J13" s="60">
        <f t="shared" si="1"/>
        <v>45016</v>
      </c>
      <c r="K13" s="60">
        <f t="shared" si="1"/>
        <v>45382</v>
      </c>
    </row>
    <row r="14" spans="1:11" x14ac:dyDescent="0.3">
      <c r="A14" t="s">
        <v>78</v>
      </c>
      <c r="B14" s="61">
        <f>'Historcial FS'!C36*'Historcial FS'!C38*'Historcial FS'!C44</f>
        <v>2.9899999999999336</v>
      </c>
      <c r="C14" s="61">
        <f>'Historcial FS'!D36*'Historcial FS'!D38*'Historcial FS'!D44</f>
        <v>88.350000000000236</v>
      </c>
      <c r="D14" s="61">
        <f>'Historcial FS'!E36*'Historcial FS'!E38*'Historcial FS'!E44</f>
        <v>109.89999999999989</v>
      </c>
      <c r="E14" s="61">
        <f>'Historcial FS'!F36*'Historcial FS'!F38*'Historcial FS'!F44</f>
        <v>140.54999999999998</v>
      </c>
      <c r="F14" s="61">
        <f>'Historcial FS'!G36*'Historcial FS'!G38*'Historcial FS'!G44</f>
        <v>149.1500000000002</v>
      </c>
      <c r="G14" s="61">
        <f>'Historcial FS'!H36*'Historcial FS'!H38*'Historcial FS'!H44</f>
        <v>161.33999999999958</v>
      </c>
      <c r="H14" s="61">
        <f>'Historcial FS'!I36*'Historcial FS'!I38*'Historcial FS'!I44</f>
        <v>204.59000000000009</v>
      </c>
      <c r="I14" s="61">
        <f>'Historcial FS'!J36*'Historcial FS'!J38*'Historcial FS'!J44</f>
        <v>227.20999999999998</v>
      </c>
      <c r="J14" s="61">
        <f>'Historcial FS'!K36*'Historcial FS'!K38*'Historcial FS'!K44</f>
        <v>239.58999999999961</v>
      </c>
      <c r="K14" s="61">
        <f>'Historcial FS'!L36*'Historcial FS'!L38*'Historcial FS'!L44</f>
        <v>281.78999999999945</v>
      </c>
    </row>
    <row r="15" spans="1:11" x14ac:dyDescent="0.3">
      <c r="A15" t="s">
        <v>84</v>
      </c>
      <c r="B15" s="61">
        <f>B9</f>
        <v>1815.66</v>
      </c>
      <c r="C15" s="61">
        <f t="shared" ref="C15:K15" si="2">C9</f>
        <v>1860.06</v>
      </c>
      <c r="D15" s="61">
        <f t="shared" si="2"/>
        <v>1913.23</v>
      </c>
      <c r="E15" s="61">
        <f t="shared" si="2"/>
        <v>2087.56</v>
      </c>
      <c r="F15" s="61">
        <f t="shared" si="2"/>
        <v>2221.9299999999998</v>
      </c>
      <c r="G15" s="61">
        <f t="shared" si="2"/>
        <v>2282.5100000000002</v>
      </c>
      <c r="H15" s="61">
        <f t="shared" si="2"/>
        <v>2678.86</v>
      </c>
      <c r="I15" s="61">
        <f t="shared" si="2"/>
        <v>3295.91</v>
      </c>
      <c r="J15" s="61">
        <f t="shared" si="2"/>
        <v>3871.91</v>
      </c>
      <c r="K15" s="61">
        <f t="shared" si="2"/>
        <v>4091.07</v>
      </c>
    </row>
    <row r="16" spans="1:11" x14ac:dyDescent="0.3">
      <c r="A16" s="62" t="s">
        <v>144</v>
      </c>
      <c r="B16" s="63">
        <f>B14/B15</f>
        <v>1.6467840895321446E-3</v>
      </c>
      <c r="C16" s="63">
        <f t="shared" ref="C16:K16" si="3">C14/C15</f>
        <v>4.7498467791361694E-2</v>
      </c>
      <c r="D16" s="63">
        <f t="shared" si="3"/>
        <v>5.744212666537734E-2</v>
      </c>
      <c r="E16" s="63">
        <f t="shared" si="3"/>
        <v>6.7327406158385866E-2</v>
      </c>
      <c r="F16" s="63">
        <f t="shared" si="3"/>
        <v>6.7126327112015327E-2</v>
      </c>
      <c r="G16" s="63">
        <f t="shared" si="3"/>
        <v>7.0685342013835459E-2</v>
      </c>
      <c r="H16" s="63">
        <f t="shared" si="3"/>
        <v>7.6372038852347668E-2</v>
      </c>
      <c r="I16" s="63">
        <f t="shared" si="3"/>
        <v>6.8936955195985319E-2</v>
      </c>
      <c r="J16" s="63">
        <f t="shared" si="3"/>
        <v>6.1879020948317397E-2</v>
      </c>
      <c r="K16" s="63">
        <f t="shared" si="3"/>
        <v>6.8879290747897115E-2</v>
      </c>
    </row>
    <row r="17" spans="1:11" x14ac:dyDescent="0.3">
      <c r="A17" t="s">
        <v>158</v>
      </c>
      <c r="B17">
        <v>1.4</v>
      </c>
    </row>
    <row r="18" spans="1:11" x14ac:dyDescent="0.3">
      <c r="A18" s="118" t="s">
        <v>145</v>
      </c>
      <c r="B18" s="118"/>
      <c r="C18" s="118"/>
      <c r="D18" s="118"/>
      <c r="E18" s="118"/>
      <c r="F18" s="118"/>
      <c r="G18" s="118"/>
      <c r="H18" s="118"/>
      <c r="I18" s="68"/>
      <c r="J18" s="68"/>
      <c r="K18" s="68"/>
    </row>
    <row r="19" spans="1:11" x14ac:dyDescent="0.3">
      <c r="B19" s="69">
        <f>B13</f>
        <v>42094</v>
      </c>
      <c r="C19" s="69">
        <f t="shared" ref="C19:K19" si="4">C13</f>
        <v>42460</v>
      </c>
      <c r="D19" s="69">
        <f t="shared" si="4"/>
        <v>42825</v>
      </c>
      <c r="E19" s="69">
        <f t="shared" si="4"/>
        <v>43190</v>
      </c>
      <c r="F19" s="69">
        <f t="shared" si="4"/>
        <v>43555</v>
      </c>
      <c r="G19" s="69">
        <f t="shared" si="4"/>
        <v>43921</v>
      </c>
      <c r="H19" s="69">
        <f t="shared" si="4"/>
        <v>44286</v>
      </c>
      <c r="I19" s="69">
        <f t="shared" si="4"/>
        <v>44651</v>
      </c>
      <c r="J19" s="69">
        <f t="shared" si="4"/>
        <v>45016</v>
      </c>
      <c r="K19" s="69">
        <f t="shared" si="4"/>
        <v>45382</v>
      </c>
    </row>
    <row r="20" spans="1:11" x14ac:dyDescent="0.3">
      <c r="A20" t="s">
        <v>146</v>
      </c>
      <c r="B20" s="61">
        <f>'Historcial FS'!C18-'Historcial FS'!C24</f>
        <v>134.00999999999993</v>
      </c>
      <c r="C20" s="61">
        <f>'Historcial FS'!D18-'Historcial FS'!D24</f>
        <v>220.93000000000023</v>
      </c>
      <c r="D20" s="61">
        <f>'Historcial FS'!E18-'Historcial FS'!E24</f>
        <v>239.11999999999989</v>
      </c>
      <c r="E20" s="61">
        <f>'Historcial FS'!F18-'Historcial FS'!F24</f>
        <v>293.7</v>
      </c>
      <c r="F20" s="61">
        <f>'Historcial FS'!G18-'Historcial FS'!G24</f>
        <v>330.8400000000002</v>
      </c>
      <c r="G20" s="61">
        <f>'Historcial FS'!H18-'Historcial FS'!H24</f>
        <v>295.29999999999961</v>
      </c>
      <c r="H20" s="61">
        <f>'Historcial FS'!I18-'Historcial FS'!I24</f>
        <v>366.61000000000007</v>
      </c>
      <c r="I20" s="61">
        <f>'Historcial FS'!J18-'Historcial FS'!J24</f>
        <v>425.84</v>
      </c>
      <c r="J20" s="61">
        <f>'Historcial FS'!K18-'Historcial FS'!K24</f>
        <v>467.78999999999962</v>
      </c>
      <c r="K20" s="61">
        <f>'Historcial FS'!L18-'Historcial FS'!L24</f>
        <v>550.31999999999948</v>
      </c>
    </row>
    <row r="21" spans="1:11" x14ac:dyDescent="0.3">
      <c r="A21" t="s">
        <v>84</v>
      </c>
      <c r="B21" s="61">
        <f>B15</f>
        <v>1815.66</v>
      </c>
      <c r="C21" s="61">
        <f t="shared" ref="C21:K21" si="5">C15</f>
        <v>1860.06</v>
      </c>
      <c r="D21" s="61">
        <f t="shared" si="5"/>
        <v>1913.23</v>
      </c>
      <c r="E21" s="61">
        <f t="shared" si="5"/>
        <v>2087.56</v>
      </c>
      <c r="F21" s="61">
        <f t="shared" si="5"/>
        <v>2221.9299999999998</v>
      </c>
      <c r="G21" s="61">
        <f t="shared" si="5"/>
        <v>2282.5100000000002</v>
      </c>
      <c r="H21" s="61">
        <f t="shared" si="5"/>
        <v>2678.86</v>
      </c>
      <c r="I21" s="61">
        <f t="shared" si="5"/>
        <v>3295.91</v>
      </c>
      <c r="J21" s="61">
        <f t="shared" si="5"/>
        <v>3871.91</v>
      </c>
      <c r="K21" s="61">
        <f t="shared" si="5"/>
        <v>4091.07</v>
      </c>
    </row>
    <row r="22" spans="1:11" x14ac:dyDescent="0.3">
      <c r="A22" s="62" t="s">
        <v>147</v>
      </c>
      <c r="B22" s="63">
        <f>B20/B21</f>
        <v>7.3807871517795137E-2</v>
      </c>
      <c r="C22" s="63">
        <f t="shared" ref="C22:K22" si="6">C20/C21</f>
        <v>0.11877573841704044</v>
      </c>
      <c r="D22" s="63">
        <f t="shared" si="6"/>
        <v>0.12498235967447713</v>
      </c>
      <c r="E22" s="63">
        <f t="shared" si="6"/>
        <v>0.14069056697771562</v>
      </c>
      <c r="F22" s="63">
        <f t="shared" si="6"/>
        <v>0.14889758003177428</v>
      </c>
      <c r="G22" s="63">
        <f t="shared" si="6"/>
        <v>0.12937511774318605</v>
      </c>
      <c r="H22" s="63">
        <f t="shared" si="6"/>
        <v>0.13685298970457585</v>
      </c>
      <c r="I22" s="63">
        <f t="shared" si="6"/>
        <v>0.12920255710865891</v>
      </c>
      <c r="J22" s="63">
        <f t="shared" si="6"/>
        <v>0.12081634128892449</v>
      </c>
      <c r="K22" s="63">
        <f t="shared" si="6"/>
        <v>0.13451737564989097</v>
      </c>
    </row>
    <row r="23" spans="1:11" x14ac:dyDescent="0.3">
      <c r="A23" t="s">
        <v>158</v>
      </c>
      <c r="B23">
        <v>3.3</v>
      </c>
    </row>
    <row r="24" spans="1:11" ht="15.6" x14ac:dyDescent="0.3">
      <c r="A24" s="120" t="s">
        <v>148</v>
      </c>
      <c r="B24" s="120"/>
      <c r="C24" s="120"/>
      <c r="D24" s="120"/>
      <c r="E24" s="120"/>
      <c r="F24" s="120"/>
      <c r="G24" s="120"/>
      <c r="H24" s="120"/>
      <c r="I24" s="68"/>
      <c r="J24" s="68"/>
      <c r="K24" s="68"/>
    </row>
    <row r="25" spans="1:11" x14ac:dyDescent="0.3">
      <c r="B25" s="69">
        <f>B19</f>
        <v>42094</v>
      </c>
      <c r="C25" s="69">
        <f t="shared" ref="C25:K25" si="7">C19</f>
        <v>42460</v>
      </c>
      <c r="D25" s="69">
        <f t="shared" si="7"/>
        <v>42825</v>
      </c>
      <c r="E25" s="69">
        <f t="shared" si="7"/>
        <v>43190</v>
      </c>
      <c r="F25" s="69">
        <f t="shared" si="7"/>
        <v>43555</v>
      </c>
      <c r="G25" s="69">
        <f t="shared" si="7"/>
        <v>43921</v>
      </c>
      <c r="H25" s="69">
        <f t="shared" si="7"/>
        <v>44286</v>
      </c>
      <c r="I25" s="69">
        <f t="shared" si="7"/>
        <v>44651</v>
      </c>
      <c r="J25" s="69">
        <f t="shared" si="7"/>
        <v>45016</v>
      </c>
      <c r="K25" s="69">
        <f t="shared" si="7"/>
        <v>45382</v>
      </c>
    </row>
    <row r="26" spans="1:11" x14ac:dyDescent="0.3">
      <c r="A26" t="s">
        <v>149</v>
      </c>
      <c r="B26" s="61">
        <f>('Data Sheet'!B70*'Data Sheet'!B90)/10000000</f>
        <v>3579.1653788400004</v>
      </c>
      <c r="C26" s="61">
        <f>('Data Sheet'!C70*'Data Sheet'!C90)/10000000</f>
        <v>3305.1193801999998</v>
      </c>
      <c r="D26" s="61">
        <f>('Data Sheet'!D70*'Data Sheet'!D90)/10000000</f>
        <v>5480.5175145000003</v>
      </c>
      <c r="E26" s="61">
        <f>('Data Sheet'!E70*'Data Sheet'!E90)/10000000</f>
        <v>6564.3227897399993</v>
      </c>
      <c r="F26" s="61">
        <f>('Data Sheet'!F70*'Data Sheet'!F90)/10000000</f>
        <v>7761.9415711250003</v>
      </c>
      <c r="G26" s="61">
        <f>('Data Sheet'!G70*'Data Sheet'!G90)/10000000</f>
        <v>4204.9507512</v>
      </c>
      <c r="H26" s="61">
        <f>('Data Sheet'!H70*'Data Sheet'!H90)/10000000</f>
        <v>9659.6532470500006</v>
      </c>
      <c r="I26" s="61">
        <f>('Data Sheet'!I70*'Data Sheet'!I90)/10000000</f>
        <v>15145.818481824999</v>
      </c>
      <c r="J26" s="61">
        <f>('Data Sheet'!J70*'Data Sheet'!J90)/10000000</f>
        <v>18722.777517180002</v>
      </c>
      <c r="K26" s="61">
        <f>('Data Sheet'!K70*'Data Sheet'!K90)/10000000</f>
        <v>24131.323710679997</v>
      </c>
    </row>
    <row r="27" spans="1:11" x14ac:dyDescent="0.3">
      <c r="A27" t="s">
        <v>150</v>
      </c>
      <c r="B27" s="61">
        <f>'Data Sheet'!B59</f>
        <v>340.17</v>
      </c>
      <c r="C27" s="61">
        <f>'Data Sheet'!C59</f>
        <v>319.86</v>
      </c>
      <c r="D27" s="61">
        <f>'Data Sheet'!D59</f>
        <v>155.94999999999999</v>
      </c>
      <c r="E27" s="61">
        <f>'Data Sheet'!E59</f>
        <v>129.36000000000001</v>
      </c>
      <c r="F27" s="61">
        <f>'Data Sheet'!F59</f>
        <v>96.75</v>
      </c>
      <c r="G27" s="61">
        <f>'Data Sheet'!G59</f>
        <v>70.34</v>
      </c>
      <c r="H27" s="61">
        <f>'Data Sheet'!H59</f>
        <v>61.72</v>
      </c>
      <c r="I27" s="61">
        <f>'Data Sheet'!I59</f>
        <v>239.99</v>
      </c>
      <c r="J27" s="61">
        <f>'Data Sheet'!J59</f>
        <v>277.26</v>
      </c>
      <c r="K27" s="61">
        <f>'Data Sheet'!K59</f>
        <v>171.89</v>
      </c>
    </row>
    <row r="28" spans="1:11" x14ac:dyDescent="0.3">
      <c r="A28" s="62" t="s">
        <v>151</v>
      </c>
      <c r="B28" s="63">
        <f>B26/B27</f>
        <v>10.521696148513978</v>
      </c>
      <c r="C28" s="63">
        <f t="shared" ref="C28:K28" si="8">C26/C27</f>
        <v>10.333018758831988</v>
      </c>
      <c r="D28" s="63">
        <f t="shared" si="8"/>
        <v>35.142786242385384</v>
      </c>
      <c r="E28" s="63">
        <f t="shared" si="8"/>
        <v>50.744610310296835</v>
      </c>
      <c r="F28" s="63">
        <f t="shared" si="8"/>
        <v>80.226786264857878</v>
      </c>
      <c r="G28" s="63">
        <f t="shared" si="8"/>
        <v>59.780363252772247</v>
      </c>
      <c r="H28" s="63">
        <f t="shared" si="8"/>
        <v>156.50766764500975</v>
      </c>
      <c r="I28" s="63">
        <f t="shared" si="8"/>
        <v>63.110206599545812</v>
      </c>
      <c r="J28" s="63">
        <f t="shared" si="8"/>
        <v>67.527871013417013</v>
      </c>
      <c r="K28" s="63">
        <f t="shared" si="8"/>
        <v>140.38817680307173</v>
      </c>
    </row>
    <row r="29" spans="1:11" x14ac:dyDescent="0.3">
      <c r="B29">
        <v>0.6</v>
      </c>
    </row>
    <row r="30" spans="1:11" x14ac:dyDescent="0.3">
      <c r="A30" s="118" t="s">
        <v>152</v>
      </c>
      <c r="B30" s="118"/>
      <c r="C30" s="118"/>
      <c r="D30" s="118"/>
      <c r="E30" s="118"/>
      <c r="F30" s="118"/>
      <c r="G30" s="118"/>
      <c r="H30" s="118"/>
      <c r="I30" s="68"/>
      <c r="J30" s="68"/>
      <c r="K30" s="68"/>
    </row>
    <row r="31" spans="1:11" x14ac:dyDescent="0.3">
      <c r="B31" s="60">
        <f>B25</f>
        <v>42094</v>
      </c>
      <c r="C31" s="60">
        <f t="shared" ref="C31:K31" si="9">C25</f>
        <v>42460</v>
      </c>
      <c r="D31" s="60">
        <f t="shared" si="9"/>
        <v>42825</v>
      </c>
      <c r="E31" s="60">
        <f t="shared" si="9"/>
        <v>43190</v>
      </c>
      <c r="F31" s="60">
        <f t="shared" si="9"/>
        <v>43555</v>
      </c>
      <c r="G31" s="60">
        <f t="shared" si="9"/>
        <v>43921</v>
      </c>
      <c r="H31" s="60">
        <f t="shared" si="9"/>
        <v>44286</v>
      </c>
      <c r="I31" s="60">
        <f t="shared" si="9"/>
        <v>44651</v>
      </c>
      <c r="J31" s="60">
        <f t="shared" si="9"/>
        <v>45016</v>
      </c>
      <c r="K31" s="60">
        <f t="shared" si="9"/>
        <v>45382</v>
      </c>
    </row>
    <row r="32" spans="1:11" x14ac:dyDescent="0.3">
      <c r="A32" t="s">
        <v>153</v>
      </c>
      <c r="B32" s="61">
        <f>'Data Sheet'!B17</f>
        <v>2042.3</v>
      </c>
      <c r="C32" s="61">
        <f>'Data Sheet'!C17</f>
        <v>1943.99</v>
      </c>
      <c r="D32" s="61">
        <f>'Data Sheet'!D17</f>
        <v>2112.4899999999998</v>
      </c>
      <c r="E32" s="61">
        <f>'Data Sheet'!E17</f>
        <v>2374.5</v>
      </c>
      <c r="F32" s="61">
        <f>'Data Sheet'!F17</f>
        <v>2688.9</v>
      </c>
      <c r="G32" s="61">
        <f>'Data Sheet'!G17</f>
        <v>2598.9699999999998</v>
      </c>
      <c r="H32" s="61">
        <f>'Data Sheet'!H17</f>
        <v>2631.71</v>
      </c>
      <c r="I32" s="61">
        <f>'Data Sheet'!I17</f>
        <v>3324.76</v>
      </c>
      <c r="J32" s="61">
        <f>'Data Sheet'!J17</f>
        <v>4654.28</v>
      </c>
      <c r="K32" s="61">
        <f>'Data Sheet'!K17</f>
        <v>4702.1899999999996</v>
      </c>
    </row>
    <row r="33" spans="1:11" x14ac:dyDescent="0.3">
      <c r="A33" t="s">
        <v>84</v>
      </c>
      <c r="B33" s="61">
        <f>'Data Sheet'!B66</f>
        <v>1815.66</v>
      </c>
      <c r="C33" s="61">
        <f>'Data Sheet'!C66</f>
        <v>1860.06</v>
      </c>
      <c r="D33" s="61">
        <f>'Data Sheet'!D66</f>
        <v>1913.23</v>
      </c>
      <c r="E33" s="61">
        <f>'Data Sheet'!E66</f>
        <v>2087.56</v>
      </c>
      <c r="F33" s="61">
        <f>'Data Sheet'!F66</f>
        <v>2221.9299999999998</v>
      </c>
      <c r="G33" s="61">
        <f>'Data Sheet'!G66</f>
        <v>2282.5100000000002</v>
      </c>
      <c r="H33" s="61">
        <f>'Data Sheet'!H66</f>
        <v>2678.86</v>
      </c>
      <c r="I33" s="61">
        <f>'Data Sheet'!I66</f>
        <v>3295.91</v>
      </c>
      <c r="J33" s="61">
        <f>'Data Sheet'!J66</f>
        <v>3871.91</v>
      </c>
      <c r="K33" s="61">
        <f>'Data Sheet'!K66</f>
        <v>4091.07</v>
      </c>
    </row>
    <row r="34" spans="1:11" x14ac:dyDescent="0.3">
      <c r="A34" s="62" t="s">
        <v>154</v>
      </c>
      <c r="B34" s="63">
        <f>B32/B33</f>
        <v>1.1248251324587202</v>
      </c>
      <c r="C34" s="63">
        <f t="shared" ref="C34:K34" si="10">C32/C33</f>
        <v>1.0451222003591283</v>
      </c>
      <c r="D34" s="63">
        <f t="shared" si="10"/>
        <v>1.1041484818866523</v>
      </c>
      <c r="E34" s="63">
        <f t="shared" si="10"/>
        <v>1.1374523366993046</v>
      </c>
      <c r="F34" s="63">
        <f t="shared" si="10"/>
        <v>1.2101641365839608</v>
      </c>
      <c r="G34" s="63">
        <f t="shared" si="10"/>
        <v>1.1386456138198735</v>
      </c>
      <c r="H34" s="63">
        <f t="shared" si="10"/>
        <v>0.98239922952300607</v>
      </c>
      <c r="I34" s="63">
        <f t="shared" si="10"/>
        <v>1.0087532729959254</v>
      </c>
      <c r="J34" s="63">
        <f t="shared" si="10"/>
        <v>1.2020630644823873</v>
      </c>
      <c r="K34" s="63">
        <f t="shared" si="10"/>
        <v>1.1493790133143651</v>
      </c>
    </row>
    <row r="35" spans="1:11" x14ac:dyDescent="0.3">
      <c r="A35" t="s">
        <v>158</v>
      </c>
      <c r="B35">
        <v>1</v>
      </c>
    </row>
    <row r="36" spans="1:11" x14ac:dyDescent="0.3">
      <c r="A36" s="118" t="s">
        <v>155</v>
      </c>
      <c r="B36" s="118"/>
      <c r="C36" s="118"/>
      <c r="D36" s="118"/>
      <c r="E36" s="118"/>
      <c r="F36" s="118"/>
      <c r="G36" s="118"/>
      <c r="H36" s="118"/>
      <c r="I36" s="68"/>
      <c r="J36" s="68"/>
      <c r="K36" s="68"/>
    </row>
    <row r="37" spans="1:11" x14ac:dyDescent="0.3">
      <c r="B37" s="60">
        <f>B31</f>
        <v>42094</v>
      </c>
      <c r="C37" s="60">
        <f t="shared" ref="C37:K37" si="11">C31</f>
        <v>42460</v>
      </c>
      <c r="D37" s="60">
        <f t="shared" si="11"/>
        <v>42825</v>
      </c>
      <c r="E37" s="60">
        <f t="shared" si="11"/>
        <v>43190</v>
      </c>
      <c r="F37" s="60">
        <f t="shared" si="11"/>
        <v>43555</v>
      </c>
      <c r="G37" s="60">
        <f t="shared" si="11"/>
        <v>43921</v>
      </c>
      <c r="H37" s="60">
        <f t="shared" si="11"/>
        <v>44286</v>
      </c>
      <c r="I37" s="60">
        <f t="shared" si="11"/>
        <v>44651</v>
      </c>
      <c r="J37" s="60">
        <f t="shared" si="11"/>
        <v>45016</v>
      </c>
      <c r="K37" s="60">
        <f t="shared" si="11"/>
        <v>45382</v>
      </c>
    </row>
    <row r="38" spans="1:11" x14ac:dyDescent="0.3">
      <c r="A38" s="62" t="s">
        <v>156</v>
      </c>
      <c r="B38" s="66">
        <f>(B10*$B$11)+(B16*$B$17)+(B22*$B$23)+(B28*$B$29)+(B34*$B$35)</f>
        <v>8.0483486431416313</v>
      </c>
      <c r="C38" s="66">
        <f t="shared" ref="C38:K38" si="12">(C10*$B$11)+(C16*$B$17)+(C22*$B$23)+(C28*$B$29)+(C34*$B$35)</f>
        <v>8.1146231430877585</v>
      </c>
      <c r="D38" s="66">
        <f t="shared" si="12"/>
        <v>23.082133226800433</v>
      </c>
      <c r="E38" s="66">
        <f t="shared" si="12"/>
        <v>32.572438262669309</v>
      </c>
      <c r="F38" s="66">
        <f t="shared" si="12"/>
        <v>50.392217542085213</v>
      </c>
      <c r="G38" s="66">
        <f t="shared" si="12"/>
        <v>38.033777795869945</v>
      </c>
      <c r="H38" s="66">
        <f t="shared" si="12"/>
        <v>96.010398202409419</v>
      </c>
      <c r="I38" s="66">
        <f t="shared" si="12"/>
        <v>39.908251930454846</v>
      </c>
      <c r="J38" s="66">
        <f t="shared" si="12"/>
        <v>42.613948266704462</v>
      </c>
      <c r="K38" s="66">
        <f t="shared" si="12"/>
        <v>86.358772419989293</v>
      </c>
    </row>
    <row r="39" spans="1:11" x14ac:dyDescent="0.3">
      <c r="A39" s="67" t="s">
        <v>157</v>
      </c>
      <c r="B39" s="70" t="str">
        <f>IF(B38&lt;1.81,"Distressed",IF(B38&gt;3,"Strong","Grey"))</f>
        <v>Strong</v>
      </c>
      <c r="C39" s="70" t="str">
        <f t="shared" ref="C39:K39" si="13">IF(C38&lt;1.81,"Distressed",IF(C38&gt;3,"Strong","Grey"))</f>
        <v>Strong</v>
      </c>
      <c r="D39" s="70" t="str">
        <f t="shared" si="13"/>
        <v>Strong</v>
      </c>
      <c r="E39" s="70" t="str">
        <f t="shared" si="13"/>
        <v>Strong</v>
      </c>
      <c r="F39" s="70" t="str">
        <f t="shared" si="13"/>
        <v>Strong</v>
      </c>
      <c r="G39" s="70" t="str">
        <f t="shared" si="13"/>
        <v>Strong</v>
      </c>
      <c r="H39" s="70" t="str">
        <f t="shared" si="13"/>
        <v>Strong</v>
      </c>
      <c r="I39" s="70" t="str">
        <f t="shared" si="13"/>
        <v>Strong</v>
      </c>
      <c r="J39" s="70" t="str">
        <f t="shared" si="13"/>
        <v>Strong</v>
      </c>
      <c r="K39" s="70" t="str">
        <f t="shared" si="13"/>
        <v>Strong</v>
      </c>
    </row>
  </sheetData>
  <mergeCells count="7">
    <mergeCell ref="A30:H30"/>
    <mergeCell ref="A36:H36"/>
    <mergeCell ref="A4:K4"/>
    <mergeCell ref="A6:H6"/>
    <mergeCell ref="A12:H12"/>
    <mergeCell ref="A18:H18"/>
    <mergeCell ref="A24:H24"/>
  </mergeCells>
  <pageMargins left="0.7" right="0.7" top="0.75" bottom="0.75" header="0.3" footer="0.3"/>
  <pageSetup paperSize="9" scale="69" orientation="portrait" r:id="rId1"/>
  <ignoredErrors>
    <ignoredError sqref="B14:J14 B20:K20" formula="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2FBCA-6D96-4DD3-874F-E4850525D6BA}">
  <sheetPr>
    <tabColor rgb="FF0070C0"/>
  </sheetPr>
  <dimension ref="B2:O27"/>
  <sheetViews>
    <sheetView showGridLines="0" topLeftCell="B1" zoomScale="79" zoomScaleNormal="100" workbookViewId="0">
      <selection activeCell="O8" sqref="O8"/>
    </sheetView>
  </sheetViews>
  <sheetFormatPr defaultRowHeight="14.4" x14ac:dyDescent="0.3"/>
  <cols>
    <col min="1" max="1" width="2.33203125" customWidth="1"/>
    <col min="2" max="2" width="23.5546875" customWidth="1"/>
    <col min="3" max="3" width="8" customWidth="1"/>
    <col min="4" max="4" width="15.77734375" customWidth="1"/>
    <col min="5" max="5" width="10.109375" customWidth="1"/>
    <col min="6" max="6" width="12" customWidth="1"/>
    <col min="7" max="7" width="12.109375" customWidth="1"/>
    <col min="8" max="8" width="2.77734375" customWidth="1"/>
    <col min="9" max="9" width="11.33203125" customWidth="1"/>
    <col min="10" max="10" width="10.5546875" customWidth="1"/>
    <col min="11" max="11" width="12.5546875" customWidth="1"/>
    <col min="12" max="12" width="2.77734375" customWidth="1"/>
    <col min="13" max="13" width="15.5546875" customWidth="1"/>
    <col min="14" max="14" width="12.88671875" customWidth="1"/>
    <col min="15" max="15" width="12.6640625" customWidth="1"/>
  </cols>
  <sheetData>
    <row r="2" spans="2:15" x14ac:dyDescent="0.3">
      <c r="B2" s="74" t="str">
        <f>_xlfn.CONCAT("Valuation using Relative Pricing - ",'Data Sheet'!B1)</f>
        <v>Valuation using Relative Pricing - CARBORUNDUM UNIVERSAL LTD</v>
      </c>
      <c r="C2" s="74"/>
      <c r="D2" s="74"/>
      <c r="E2" s="74"/>
      <c r="F2" s="74"/>
      <c r="G2" s="74"/>
      <c r="H2" s="74"/>
      <c r="I2" s="74"/>
      <c r="J2" s="74"/>
      <c r="K2" s="74"/>
      <c r="L2" s="74"/>
      <c r="M2" s="74"/>
      <c r="N2" s="74"/>
      <c r="O2" s="74"/>
    </row>
    <row r="3" spans="2:15" x14ac:dyDescent="0.3">
      <c r="B3" s="75" t="s">
        <v>223</v>
      </c>
    </row>
    <row r="4" spans="2:15" x14ac:dyDescent="0.3">
      <c r="H4" s="76"/>
      <c r="L4" s="76"/>
    </row>
    <row r="5" spans="2:15" x14ac:dyDescent="0.3">
      <c r="B5" s="77"/>
      <c r="C5" s="121" t="s">
        <v>202</v>
      </c>
      <c r="D5" s="121"/>
      <c r="E5" s="121"/>
      <c r="F5" s="121"/>
      <c r="G5" s="121"/>
      <c r="H5" s="77"/>
      <c r="I5" s="121" t="s">
        <v>203</v>
      </c>
      <c r="J5" s="121"/>
      <c r="K5" s="121"/>
      <c r="L5" s="77"/>
      <c r="M5" s="121" t="s">
        <v>204</v>
      </c>
      <c r="N5" s="121"/>
      <c r="O5" s="121"/>
    </row>
    <row r="6" spans="2:15" ht="28.8" x14ac:dyDescent="0.3">
      <c r="B6" s="77" t="s">
        <v>205</v>
      </c>
      <c r="C6" s="78" t="s">
        <v>206</v>
      </c>
      <c r="D6" s="78" t="s">
        <v>207</v>
      </c>
      <c r="E6" s="78" t="s">
        <v>208</v>
      </c>
      <c r="F6" s="78" t="s">
        <v>209</v>
      </c>
      <c r="G6" s="78" t="s">
        <v>210</v>
      </c>
      <c r="H6" s="78"/>
      <c r="I6" s="79" t="s">
        <v>130</v>
      </c>
      <c r="J6" s="79" t="s">
        <v>65</v>
      </c>
      <c r="K6" s="79" t="s">
        <v>211</v>
      </c>
      <c r="L6" s="79"/>
      <c r="M6" s="79" t="s">
        <v>212</v>
      </c>
      <c r="N6" s="79" t="s">
        <v>213</v>
      </c>
      <c r="O6" s="79" t="s">
        <v>214</v>
      </c>
    </row>
    <row r="7" spans="2:15" ht="3.6" customHeight="1" x14ac:dyDescent="0.3"/>
    <row r="8" spans="2:15" x14ac:dyDescent="0.3">
      <c r="B8" s="80" t="s">
        <v>198</v>
      </c>
      <c r="C8" s="81">
        <f>'Data_for_Relative pricing'!C2</f>
        <v>1595.95</v>
      </c>
      <c r="D8" s="81">
        <f>'Data_for_Relative pricing'!D2</f>
        <v>19.03</v>
      </c>
      <c r="E8" s="81">
        <f>'Data_for_Relative pricing'!E2</f>
        <v>30481.22</v>
      </c>
      <c r="F8" s="81">
        <f>'Data_for_Relative pricing'!F2-'Data_for_Relative pricing'!G2</f>
        <v>-386.03</v>
      </c>
      <c r="G8" s="81">
        <f>E8+F8</f>
        <v>30095.190000000002</v>
      </c>
      <c r="H8" s="81"/>
      <c r="I8" s="81">
        <f>'Data_for_Relative pricing'!H2</f>
        <v>4696.51</v>
      </c>
      <c r="J8" s="81">
        <f>'Data_for_Relative pricing'!I2</f>
        <v>861.4</v>
      </c>
      <c r="K8" s="81">
        <f>'Data_for_Relative pricing'!J2</f>
        <v>476.18</v>
      </c>
      <c r="L8" s="80"/>
      <c r="M8" s="82">
        <f>G8/I8</f>
        <v>6.40799018845909</v>
      </c>
      <c r="N8" s="82">
        <f>G8/J8</f>
        <v>34.93753192477363</v>
      </c>
      <c r="O8" s="82">
        <f>E8/K8</f>
        <v>64.011970263345802</v>
      </c>
    </row>
    <row r="9" spans="2:15" x14ac:dyDescent="0.3">
      <c r="B9" s="83" t="s">
        <v>199</v>
      </c>
      <c r="C9" s="84">
        <f>'Data_for_Relative pricing'!C3</f>
        <v>2435</v>
      </c>
      <c r="D9" s="84">
        <f>'Data_for_Relative pricing'!D3</f>
        <v>11.07</v>
      </c>
      <c r="E9" s="84">
        <f>'Data_for_Relative pricing'!E3</f>
        <v>26909.53</v>
      </c>
      <c r="F9" s="84">
        <f>'Data_for_Relative pricing'!F3-'Data_for_Relative pricing'!G3</f>
        <v>-130.46</v>
      </c>
      <c r="G9" s="84">
        <f t="shared" ref="G9:G11" si="0">E9+F9</f>
        <v>26779.07</v>
      </c>
      <c r="H9" s="84"/>
      <c r="I9" s="84">
        <f>'Data_for_Relative pricing'!H3</f>
        <v>2724.02</v>
      </c>
      <c r="J9" s="84">
        <f>'Data_for_Relative pricing'!I3</f>
        <v>564.85</v>
      </c>
      <c r="K9" s="84">
        <f>'Data_for_Relative pricing'!J3</f>
        <v>383.96</v>
      </c>
      <c r="L9" s="84"/>
      <c r="M9" s="84">
        <f t="shared" ref="M9:M11" si="1">G9/I9</f>
        <v>9.8307171019302348</v>
      </c>
      <c r="N9" s="84">
        <f t="shared" ref="N9:N11" si="2">G9/J9</f>
        <v>47.409170576259179</v>
      </c>
      <c r="O9" s="84">
        <f t="shared" ref="O9:O11" si="3">E9/K9</f>
        <v>70.084201479320768</v>
      </c>
    </row>
    <row r="10" spans="2:15" x14ac:dyDescent="0.3">
      <c r="B10" s="83" t="s">
        <v>200</v>
      </c>
      <c r="C10" s="84">
        <f>'Data_for_Relative pricing'!C4</f>
        <v>14980</v>
      </c>
      <c r="D10" s="84">
        <f>'Data_for_Relative pricing'!D4</f>
        <v>0.2</v>
      </c>
      <c r="E10" s="84">
        <f>'Data_for_Relative pricing'!E4</f>
        <v>2973.16</v>
      </c>
      <c r="F10" s="84">
        <f>'Data_for_Relative pricing'!F4-'Data_for_Relative pricing'!G4</f>
        <v>-18.04</v>
      </c>
      <c r="G10" s="84">
        <f t="shared" si="0"/>
        <v>2955.12</v>
      </c>
      <c r="H10" s="84"/>
      <c r="I10" s="84">
        <f>'Data_for_Relative pricing'!H4</f>
        <v>224.63</v>
      </c>
      <c r="J10" s="84">
        <f>'Data_for_Relative pricing'!I4</f>
        <v>58</v>
      </c>
      <c r="K10" s="84">
        <f>'Data_for_Relative pricing'!J4</f>
        <v>40.950000000000003</v>
      </c>
      <c r="L10" s="84"/>
      <c r="M10" s="84">
        <f t="shared" si="1"/>
        <v>13.155500155811779</v>
      </c>
      <c r="N10" s="84">
        <f t="shared" si="2"/>
        <v>50.950344827586207</v>
      </c>
      <c r="O10" s="84">
        <f t="shared" si="3"/>
        <v>72.604639804639802</v>
      </c>
    </row>
    <row r="11" spans="2:15" x14ac:dyDescent="0.3">
      <c r="B11" s="83" t="s">
        <v>201</v>
      </c>
      <c r="C11" s="84">
        <f>'Data_for_Relative pricing'!C5</f>
        <v>1600</v>
      </c>
      <c r="D11" s="84">
        <f>'Data_for_Relative pricing'!D5</f>
        <v>0.06</v>
      </c>
      <c r="E11" s="84">
        <f>'Data_for_Relative pricing'!E5</f>
        <v>102.4</v>
      </c>
      <c r="F11" s="84">
        <f>'Data_for_Relative pricing'!F5-'Data_for_Relative pricing'!G5</f>
        <v>-3.82</v>
      </c>
      <c r="G11" s="84">
        <f t="shared" si="0"/>
        <v>98.580000000000013</v>
      </c>
      <c r="H11" s="84"/>
      <c r="I11" s="84">
        <f>'Data_for_Relative pricing'!H5</f>
        <v>91.07</v>
      </c>
      <c r="J11" s="84">
        <f>'Data_for_Relative pricing'!I5</f>
        <v>7.86</v>
      </c>
      <c r="K11" s="84">
        <f>'Data_for_Relative pricing'!J5</f>
        <v>5.25</v>
      </c>
      <c r="L11" s="84"/>
      <c r="M11" s="84">
        <f t="shared" si="1"/>
        <v>1.0824640386515869</v>
      </c>
      <c r="N11" s="84">
        <f t="shared" si="2"/>
        <v>12.541984732824428</v>
      </c>
      <c r="O11" s="84">
        <f t="shared" si="3"/>
        <v>19.504761904761907</v>
      </c>
    </row>
    <row r="12" spans="2:15" ht="9" customHeight="1" x14ac:dyDescent="0.3"/>
    <row r="13" spans="2:15" x14ac:dyDescent="0.3">
      <c r="B13" s="80" t="s">
        <v>215</v>
      </c>
      <c r="C13" s="80"/>
      <c r="D13" s="80"/>
      <c r="E13" s="80"/>
      <c r="F13" s="80"/>
      <c r="G13" s="80"/>
      <c r="H13" s="80"/>
      <c r="I13" s="80"/>
      <c r="J13" s="80"/>
      <c r="K13" s="80"/>
      <c r="L13" s="80"/>
      <c r="M13" s="82">
        <f>MAX(M8:M11)</f>
        <v>13.155500155811779</v>
      </c>
      <c r="N13" s="82">
        <f t="shared" ref="N13:O13" si="4">MAX(N8:N11)</f>
        <v>50.950344827586207</v>
      </c>
      <c r="O13" s="82">
        <f t="shared" si="4"/>
        <v>72.604639804639802</v>
      </c>
    </row>
    <row r="14" spans="2:15" ht="16.2" x14ac:dyDescent="0.3">
      <c r="B14" s="80" t="s">
        <v>216</v>
      </c>
      <c r="C14" s="80"/>
      <c r="D14" s="80"/>
      <c r="E14" s="80"/>
      <c r="F14" s="80"/>
      <c r="G14" s="80"/>
      <c r="H14" s="80"/>
      <c r="I14" s="80"/>
      <c r="J14" s="80"/>
      <c r="K14" s="80"/>
      <c r="L14" s="80"/>
      <c r="M14" s="82">
        <f>QUARTILE(M8:M11,3)</f>
        <v>10.661912865400621</v>
      </c>
      <c r="N14" s="82">
        <f t="shared" ref="N14:O14" si="5">QUARTILE(N8:N11,3)</f>
        <v>48.294464139090934</v>
      </c>
      <c r="O14" s="82">
        <f t="shared" si="5"/>
        <v>70.71431106065053</v>
      </c>
    </row>
    <row r="15" spans="2:15" x14ac:dyDescent="0.3">
      <c r="B15" s="85" t="s">
        <v>217</v>
      </c>
      <c r="C15" s="85"/>
      <c r="D15" s="85"/>
      <c r="E15" s="85"/>
      <c r="F15" s="85"/>
      <c r="G15" s="85"/>
      <c r="H15" s="85"/>
      <c r="I15" s="85"/>
      <c r="J15" s="85"/>
      <c r="K15" s="85"/>
      <c r="L15" s="85"/>
      <c r="M15" s="86">
        <f>AVERAGE(M8:M11)</f>
        <v>7.6191678712131727</v>
      </c>
      <c r="N15" s="86">
        <f t="shared" ref="N15:O15" si="6">AVERAGE(N8:N11)</f>
        <v>36.459758015360862</v>
      </c>
      <c r="O15" s="86">
        <f t="shared" si="6"/>
        <v>56.55139336301707</v>
      </c>
    </row>
    <row r="16" spans="2:15" x14ac:dyDescent="0.3">
      <c r="B16" s="85" t="s">
        <v>119</v>
      </c>
      <c r="C16" s="85"/>
      <c r="D16" s="85"/>
      <c r="E16" s="85"/>
      <c r="F16" s="85"/>
      <c r="G16" s="85"/>
      <c r="H16" s="85"/>
      <c r="I16" s="85"/>
      <c r="J16" s="85"/>
      <c r="K16" s="85"/>
      <c r="L16" s="85"/>
      <c r="M16" s="86">
        <f>MEDIAN(M8:M11)</f>
        <v>8.1193536451946624</v>
      </c>
      <c r="N16" s="86">
        <f t="shared" ref="N16:O16" si="7">MEDIAN(N8:N11)</f>
        <v>41.173351250516404</v>
      </c>
      <c r="O16" s="86">
        <f t="shared" si="7"/>
        <v>67.048085871333285</v>
      </c>
    </row>
    <row r="17" spans="2:15" ht="16.2" x14ac:dyDescent="0.3">
      <c r="B17" s="80" t="s">
        <v>218</v>
      </c>
      <c r="C17" s="80"/>
      <c r="D17" s="80"/>
      <c r="E17" s="80"/>
      <c r="F17" s="80"/>
      <c r="G17" s="80"/>
      <c r="H17" s="80"/>
      <c r="I17" s="80"/>
      <c r="J17" s="80"/>
      <c r="K17" s="80"/>
      <c r="L17" s="80"/>
      <c r="M17" s="82">
        <f>QUARTILE(M8:M11,1)</f>
        <v>5.0766086510072146</v>
      </c>
      <c r="N17" s="82">
        <f t="shared" ref="N17:O17" si="8">QUARTILE(N8:N11,1)</f>
        <v>29.338645126786329</v>
      </c>
      <c r="O17" s="82">
        <f t="shared" si="8"/>
        <v>52.885168173699824</v>
      </c>
    </row>
    <row r="18" spans="2:15" x14ac:dyDescent="0.3">
      <c r="B18" s="80" t="s">
        <v>219</v>
      </c>
      <c r="C18" s="80"/>
      <c r="D18" s="80"/>
      <c r="E18" s="80"/>
      <c r="F18" s="80"/>
      <c r="G18" s="80"/>
      <c r="H18" s="80"/>
      <c r="I18" s="80"/>
      <c r="J18" s="80"/>
      <c r="K18" s="80"/>
      <c r="L18" s="80"/>
      <c r="M18" s="82">
        <f>MIN(M8:M11)</f>
        <v>1.0824640386515869</v>
      </c>
      <c r="N18" s="82">
        <f t="shared" ref="N18:O18" si="9">MIN(N8:N11)</f>
        <v>12.541984732824428</v>
      </c>
      <c r="O18" s="82">
        <f t="shared" si="9"/>
        <v>19.504761904761907</v>
      </c>
    </row>
    <row r="20" spans="2:15" x14ac:dyDescent="0.3">
      <c r="B20" s="77" t="s">
        <v>270</v>
      </c>
      <c r="C20" s="77"/>
      <c r="D20" s="77"/>
      <c r="E20" s="77"/>
      <c r="F20" s="77"/>
      <c r="G20" s="77"/>
      <c r="H20" s="77"/>
      <c r="I20" s="77"/>
      <c r="J20" s="77"/>
      <c r="K20" s="77"/>
      <c r="L20" s="77"/>
      <c r="M20" s="77"/>
      <c r="N20" s="77"/>
      <c r="O20" s="77"/>
    </row>
    <row r="21" spans="2:15" ht="4.8" customHeight="1" x14ac:dyDescent="0.3"/>
    <row r="22" spans="2:15" x14ac:dyDescent="0.3">
      <c r="B22" t="s">
        <v>220</v>
      </c>
      <c r="M22" s="87">
        <f>M16*I8</f>
        <v>38132.625588193187</v>
      </c>
      <c r="N22" s="87">
        <f>N16*J8</f>
        <v>35466.724767194828</v>
      </c>
      <c r="O22" s="87">
        <f>O16*K8</f>
        <v>31926.957530211483</v>
      </c>
    </row>
    <row r="23" spans="2:15" x14ac:dyDescent="0.3">
      <c r="B23" t="s">
        <v>209</v>
      </c>
      <c r="M23" s="87">
        <f>$F$8</f>
        <v>-386.03</v>
      </c>
      <c r="N23" s="87">
        <f t="shared" ref="N23:O23" si="10">$F$8</f>
        <v>-386.03</v>
      </c>
      <c r="O23" s="87">
        <f t="shared" si="10"/>
        <v>-386.03</v>
      </c>
    </row>
    <row r="24" spans="2:15" x14ac:dyDescent="0.3">
      <c r="B24" t="s">
        <v>221</v>
      </c>
      <c r="M24" s="87">
        <f>M22-M23</f>
        <v>38518.655588193185</v>
      </c>
      <c r="N24" s="87">
        <f>N22-N23</f>
        <v>35852.754767194827</v>
      </c>
      <c r="O24" s="87">
        <f>O16*K8</f>
        <v>31926.957530211483</v>
      </c>
    </row>
    <row r="25" spans="2:15" x14ac:dyDescent="0.3">
      <c r="B25" t="s">
        <v>207</v>
      </c>
      <c r="M25" s="87">
        <f>$D$8</f>
        <v>19.03</v>
      </c>
      <c r="N25" s="87">
        <f t="shared" ref="N25:O25" si="11">$D$8</f>
        <v>19.03</v>
      </c>
      <c r="O25" s="87">
        <f t="shared" si="11"/>
        <v>19.03</v>
      </c>
    </row>
    <row r="26" spans="2:15" x14ac:dyDescent="0.3">
      <c r="B26" s="88" t="s">
        <v>222</v>
      </c>
      <c r="C26" s="88"/>
      <c r="D26" s="88"/>
      <c r="E26" s="88"/>
      <c r="F26" s="88"/>
      <c r="G26" s="88"/>
      <c r="H26" s="88"/>
      <c r="I26" s="88"/>
      <c r="J26" s="88"/>
      <c r="K26" s="88"/>
      <c r="L26" s="88"/>
      <c r="M26" s="89">
        <f>M24/M25</f>
        <v>2024.1017124641714</v>
      </c>
      <c r="N26" s="89">
        <f t="shared" ref="N26:O26" si="12">N24/N25</f>
        <v>1884.0123366891657</v>
      </c>
      <c r="O26" s="89">
        <f t="shared" si="12"/>
        <v>1677.7171587079076</v>
      </c>
    </row>
    <row r="27" spans="2:15" x14ac:dyDescent="0.3">
      <c r="M27" t="str">
        <f>IF(M26&gt;$C$8,"Undervalued","Overvalued")</f>
        <v>Undervalued</v>
      </c>
      <c r="N27" t="str">
        <f t="shared" ref="N27:O27" si="13">IF(N26&gt;$C$8,"Undervalued","Overvalued")</f>
        <v>Undervalued</v>
      </c>
      <c r="O27" t="str">
        <f t="shared" si="13"/>
        <v>Undervalued</v>
      </c>
    </row>
  </sheetData>
  <mergeCells count="3">
    <mergeCell ref="C5:G5"/>
    <mergeCell ref="I5:K5"/>
    <mergeCell ref="M5:O5"/>
  </mergeCells>
  <pageMargins left="0.7" right="0.7" top="0.75" bottom="0.75" header="0.3" footer="0.3"/>
  <pageSetup paperSize="9" scale="53"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7B74F-8CA3-459D-8B4D-DD54AA919B41}">
  <sheetPr>
    <tabColor rgb="FF0070C0"/>
  </sheetPr>
  <dimension ref="B1:K60"/>
  <sheetViews>
    <sheetView showGridLines="0" zoomScale="95" zoomScaleNormal="95" workbookViewId="0">
      <selection activeCell="J39" sqref="J39"/>
    </sheetView>
  </sheetViews>
  <sheetFormatPr defaultRowHeight="14.4" x14ac:dyDescent="0.3"/>
  <cols>
    <col min="1" max="1" width="2.33203125" customWidth="1"/>
    <col min="2" max="2" width="10.77734375" customWidth="1"/>
    <col min="6" max="6" width="22.33203125" customWidth="1"/>
    <col min="7" max="7" width="26.109375" customWidth="1"/>
    <col min="8" max="10" width="9" bestFit="1" customWidth="1"/>
    <col min="11" max="11" width="9.5546875" bestFit="1" customWidth="1"/>
  </cols>
  <sheetData>
    <row r="1" spans="2:11" x14ac:dyDescent="0.3">
      <c r="B1" s="75" t="s">
        <v>223</v>
      </c>
    </row>
    <row r="2" spans="2:11" x14ac:dyDescent="0.3">
      <c r="B2" s="90" t="str">
        <f>_xlfn.CONCAT("Calculation of ROIC - ",'Data Sheet'!$B$1)</f>
        <v>Calculation of ROIC - CARBORUNDUM UNIVERSAL LTD</v>
      </c>
      <c r="C2" s="90"/>
      <c r="D2" s="90"/>
      <c r="E2" s="90"/>
      <c r="F2" s="90"/>
      <c r="G2" s="91">
        <f>Data_for_Intrinsic_growth!I4</f>
        <v>43891</v>
      </c>
      <c r="H2" s="91">
        <f>Data_for_Intrinsic_growth!J4</f>
        <v>44256</v>
      </c>
      <c r="I2" s="91">
        <f>Data_for_Intrinsic_growth!K4</f>
        <v>44621</v>
      </c>
      <c r="J2" s="91">
        <f>Data_for_Intrinsic_growth!L4</f>
        <v>44986</v>
      </c>
      <c r="K2" s="91">
        <f>Data_for_Intrinsic_growth!M4</f>
        <v>45352</v>
      </c>
    </row>
    <row r="4" spans="2:11" x14ac:dyDescent="0.3">
      <c r="B4" s="67" t="s">
        <v>224</v>
      </c>
    </row>
    <row r="5" spans="2:11" x14ac:dyDescent="0.3">
      <c r="B5" s="92" t="s">
        <v>183</v>
      </c>
      <c r="C5" s="92"/>
      <c r="D5" s="92"/>
      <c r="E5" s="92"/>
      <c r="F5" s="92"/>
      <c r="G5" s="93">
        <f>Data_for_Intrinsic_growth!I32</f>
        <v>533</v>
      </c>
      <c r="H5" s="93">
        <f>Data_for_Intrinsic_growth!J32</f>
        <v>508</v>
      </c>
      <c r="I5" s="93">
        <f>Data_for_Intrinsic_growth!K32</f>
        <v>461</v>
      </c>
      <c r="J5" s="93">
        <f>Data_for_Intrinsic_growth!L32</f>
        <v>691</v>
      </c>
      <c r="K5" s="93">
        <f>Data_for_Intrinsic_growth!M32</f>
        <v>899</v>
      </c>
    </row>
    <row r="6" spans="2:11" x14ac:dyDescent="0.3">
      <c r="B6" s="92" t="s">
        <v>184</v>
      </c>
      <c r="C6" s="92"/>
      <c r="D6" s="92"/>
      <c r="E6" s="92"/>
      <c r="F6" s="92"/>
      <c r="G6" s="93">
        <f>Data_for_Intrinsic_growth!I33</f>
        <v>514</v>
      </c>
      <c r="H6" s="93">
        <f>Data_for_Intrinsic_growth!J33</f>
        <v>402</v>
      </c>
      <c r="I6" s="93">
        <f>Data_for_Intrinsic_growth!K33</f>
        <v>478</v>
      </c>
      <c r="J6" s="93">
        <f>Data_for_Intrinsic_growth!L33</f>
        <v>485</v>
      </c>
      <c r="K6" s="93">
        <f>Data_for_Intrinsic_growth!M33</f>
        <v>627</v>
      </c>
    </row>
    <row r="7" spans="2:11" x14ac:dyDescent="0.3">
      <c r="B7" s="92" t="s">
        <v>269</v>
      </c>
      <c r="C7" s="92"/>
      <c r="D7" s="92"/>
      <c r="E7" s="92"/>
      <c r="F7" s="92"/>
      <c r="G7" s="93">
        <f>Data_for_Intrinsic_growth!I35</f>
        <v>2</v>
      </c>
      <c r="H7" s="93">
        <f>Data_for_Intrinsic_growth!J35</f>
        <v>2</v>
      </c>
      <c r="I7" s="93">
        <f>Data_for_Intrinsic_growth!K35</f>
        <v>1</v>
      </c>
      <c r="J7" s="93">
        <f>Data_for_Intrinsic_growth!L35</f>
        <v>0</v>
      </c>
      <c r="K7" s="93">
        <f>Data_for_Intrinsic_growth!M35</f>
        <v>0</v>
      </c>
    </row>
    <row r="8" spans="2:11" x14ac:dyDescent="0.3">
      <c r="B8" t="s">
        <v>187</v>
      </c>
      <c r="G8" s="93">
        <f>Data_for_Intrinsic_growth!I36</f>
        <v>108</v>
      </c>
      <c r="H8" s="93">
        <f>Data_for_Intrinsic_growth!J36</f>
        <v>102</v>
      </c>
      <c r="I8" s="93">
        <f>Data_for_Intrinsic_growth!K36</f>
        <v>118</v>
      </c>
      <c r="J8" s="93">
        <f>Data_for_Intrinsic_growth!L36</f>
        <v>567</v>
      </c>
      <c r="K8" s="93">
        <f>Data_for_Intrinsic_growth!M36</f>
        <v>170</v>
      </c>
    </row>
    <row r="9" spans="2:11" x14ac:dyDescent="0.3">
      <c r="B9" s="94" t="s">
        <v>225</v>
      </c>
      <c r="C9" s="95"/>
      <c r="D9" s="95"/>
      <c r="E9" s="95"/>
      <c r="F9" s="95"/>
      <c r="G9" s="96">
        <f>SUM(G5:G8)</f>
        <v>1157</v>
      </c>
      <c r="H9" s="96">
        <f t="shared" ref="H9:K9" si="0">SUM(H5:H8)</f>
        <v>1014</v>
      </c>
      <c r="I9" s="96">
        <f t="shared" si="0"/>
        <v>1058</v>
      </c>
      <c r="J9" s="96">
        <f t="shared" si="0"/>
        <v>1743</v>
      </c>
      <c r="K9" s="96">
        <f t="shared" si="0"/>
        <v>1696</v>
      </c>
    </row>
    <row r="11" spans="2:11" x14ac:dyDescent="0.3">
      <c r="B11" s="67" t="s">
        <v>226</v>
      </c>
    </row>
    <row r="12" spans="2:11" x14ac:dyDescent="0.3">
      <c r="B12" s="92" t="s">
        <v>168</v>
      </c>
      <c r="C12" s="92"/>
      <c r="D12" s="92"/>
      <c r="E12" s="92"/>
      <c r="F12" s="92"/>
      <c r="G12" s="93">
        <f>Data_for_Intrinsic_growth!I15</f>
        <v>209</v>
      </c>
      <c r="H12" s="93">
        <f>Data_for_Intrinsic_growth!J15</f>
        <v>195</v>
      </c>
      <c r="I12" s="93">
        <f>Data_for_Intrinsic_growth!K15</f>
        <v>303</v>
      </c>
      <c r="J12" s="93">
        <f>Data_for_Intrinsic_growth!L15</f>
        <v>370</v>
      </c>
      <c r="K12" s="93">
        <f>Data_for_Intrinsic_growth!M15</f>
        <v>336</v>
      </c>
    </row>
    <row r="13" spans="2:11" x14ac:dyDescent="0.3">
      <c r="B13" s="92" t="s">
        <v>169</v>
      </c>
      <c r="C13" s="92"/>
      <c r="D13" s="92"/>
      <c r="E13" s="92"/>
      <c r="F13" s="92"/>
      <c r="G13" s="93">
        <f>Data_for_Intrinsic_growth!I16</f>
        <v>0</v>
      </c>
      <c r="H13" s="93">
        <f>Data_for_Intrinsic_growth!J16</f>
        <v>0</v>
      </c>
      <c r="I13" s="93">
        <f>Data_for_Intrinsic_growth!K16</f>
        <v>0</v>
      </c>
      <c r="J13" s="93">
        <f>Data_for_Intrinsic_growth!L16</f>
        <v>0</v>
      </c>
      <c r="K13" s="93">
        <f>Data_for_Intrinsic_growth!M16</f>
        <v>0</v>
      </c>
    </row>
    <row r="14" spans="2:11" x14ac:dyDescent="0.3">
      <c r="B14" s="92" t="s">
        <v>170</v>
      </c>
      <c r="C14" s="92"/>
      <c r="D14" s="92"/>
      <c r="E14" s="92"/>
      <c r="F14" s="92"/>
      <c r="G14" s="93">
        <f>Data_for_Intrinsic_growth!I17</f>
        <v>140</v>
      </c>
      <c r="H14" s="93">
        <f>Data_for_Intrinsic_growth!J17</f>
        <v>113</v>
      </c>
      <c r="I14" s="93">
        <f>Data_for_Intrinsic_growth!K17</f>
        <v>136</v>
      </c>
      <c r="J14" s="93">
        <f>Data_for_Intrinsic_growth!L17</f>
        <v>236</v>
      </c>
      <c r="K14" s="93">
        <f>Data_for_Intrinsic_growth!M17</f>
        <v>310</v>
      </c>
    </row>
    <row r="15" spans="2:11" x14ac:dyDescent="0.3">
      <c r="B15" s="94" t="s">
        <v>227</v>
      </c>
      <c r="C15" s="94"/>
      <c r="D15" s="94"/>
      <c r="E15" s="94"/>
      <c r="F15" s="94"/>
      <c r="G15" s="96">
        <f>SUM(G12:G14)</f>
        <v>349</v>
      </c>
      <c r="H15" s="96">
        <f t="shared" ref="H15:K15" si="1">SUM(H12:H14)</f>
        <v>308</v>
      </c>
      <c r="I15" s="96">
        <f t="shared" si="1"/>
        <v>439</v>
      </c>
      <c r="J15" s="96">
        <f t="shared" si="1"/>
        <v>606</v>
      </c>
      <c r="K15" s="96">
        <f t="shared" si="1"/>
        <v>646</v>
      </c>
    </row>
    <row r="17" spans="2:11" ht="15" thickBot="1" x14ac:dyDescent="0.35">
      <c r="B17" s="97" t="s">
        <v>228</v>
      </c>
      <c r="C17" s="98"/>
      <c r="D17" s="98"/>
      <c r="E17" s="98"/>
      <c r="F17" s="98"/>
      <c r="G17" s="99">
        <f>G9-G15</f>
        <v>808</v>
      </c>
      <c r="H17" s="99">
        <f t="shared" ref="H17:K17" si="2">H9-H15</f>
        <v>706</v>
      </c>
      <c r="I17" s="99">
        <f t="shared" si="2"/>
        <v>619</v>
      </c>
      <c r="J17" s="99">
        <f t="shared" si="2"/>
        <v>1137</v>
      </c>
      <c r="K17" s="99">
        <f t="shared" si="2"/>
        <v>1050</v>
      </c>
    </row>
    <row r="19" spans="2:11" x14ac:dyDescent="0.3">
      <c r="B19" s="67" t="s">
        <v>229</v>
      </c>
    </row>
    <row r="20" spans="2:11" x14ac:dyDescent="0.3">
      <c r="B20" s="92" t="s">
        <v>172</v>
      </c>
      <c r="C20" s="92"/>
      <c r="D20" s="92"/>
      <c r="E20" s="92"/>
      <c r="F20" s="92"/>
      <c r="G20" s="93">
        <f>Data_for_Intrinsic_growth!I20</f>
        <v>10</v>
      </c>
      <c r="H20" s="93">
        <f>Data_for_Intrinsic_growth!J20</f>
        <v>33</v>
      </c>
      <c r="I20" s="93">
        <f>Data_for_Intrinsic_growth!K20</f>
        <v>35</v>
      </c>
      <c r="J20" s="93">
        <f>Data_for_Intrinsic_growth!L20</f>
        <v>49</v>
      </c>
      <c r="K20" s="93">
        <f>Data_for_Intrinsic_growth!M20</f>
        <v>94</v>
      </c>
    </row>
    <row r="21" spans="2:11" x14ac:dyDescent="0.3">
      <c r="B21" s="92" t="s">
        <v>173</v>
      </c>
      <c r="C21" s="92"/>
      <c r="D21" s="92"/>
      <c r="E21" s="92"/>
      <c r="F21" s="92"/>
      <c r="G21" s="93">
        <f>Data_for_Intrinsic_growth!I21</f>
        <v>217</v>
      </c>
      <c r="H21" s="93">
        <f>Data_for_Intrinsic_growth!J21</f>
        <v>241</v>
      </c>
      <c r="I21" s="93">
        <f>Data_for_Intrinsic_growth!K21</f>
        <v>283</v>
      </c>
      <c r="J21" s="93">
        <f>Data_for_Intrinsic_growth!L21</f>
        <v>336</v>
      </c>
      <c r="K21" s="93">
        <f>Data_for_Intrinsic_growth!M21</f>
        <v>447</v>
      </c>
    </row>
    <row r="22" spans="2:11" x14ac:dyDescent="0.3">
      <c r="B22" s="92" t="s">
        <v>174</v>
      </c>
      <c r="C22" s="92"/>
      <c r="D22" s="92"/>
      <c r="E22" s="92"/>
      <c r="F22" s="92"/>
      <c r="G22" s="93">
        <f>Data_for_Intrinsic_growth!I22</f>
        <v>683</v>
      </c>
      <c r="H22" s="93">
        <f>Data_for_Intrinsic_growth!J22</f>
        <v>769</v>
      </c>
      <c r="I22" s="93">
        <f>Data_for_Intrinsic_growth!K22</f>
        <v>842</v>
      </c>
      <c r="J22" s="93">
        <f>Data_for_Intrinsic_growth!L22</f>
        <v>939</v>
      </c>
      <c r="K22" s="93">
        <f>Data_for_Intrinsic_growth!M22</f>
        <v>1207</v>
      </c>
    </row>
    <row r="23" spans="2:11" x14ac:dyDescent="0.3">
      <c r="B23" s="92" t="s">
        <v>175</v>
      </c>
      <c r="C23" s="92"/>
      <c r="D23" s="92"/>
      <c r="E23" s="92"/>
      <c r="F23" s="92"/>
      <c r="G23" s="93">
        <f>Data_for_Intrinsic_growth!I23</f>
        <v>12</v>
      </c>
      <c r="H23" s="93">
        <f>Data_for_Intrinsic_growth!J23</f>
        <v>12</v>
      </c>
      <c r="I23" s="93">
        <f>Data_for_Intrinsic_growth!K23</f>
        <v>13</v>
      </c>
      <c r="J23" s="93">
        <f>Data_for_Intrinsic_growth!L23</f>
        <v>13</v>
      </c>
      <c r="K23" s="93">
        <f>Data_for_Intrinsic_growth!M23</f>
        <v>55</v>
      </c>
    </row>
    <row r="24" spans="2:11" x14ac:dyDescent="0.3">
      <c r="B24" s="92" t="s">
        <v>176</v>
      </c>
      <c r="C24" s="92"/>
      <c r="D24" s="92"/>
      <c r="E24" s="92"/>
      <c r="F24" s="92"/>
      <c r="G24" s="93">
        <f>Data_for_Intrinsic_growth!I24</f>
        <v>16</v>
      </c>
      <c r="H24" s="93">
        <f>Data_for_Intrinsic_growth!J24</f>
        <v>15</v>
      </c>
      <c r="I24" s="93">
        <f>Data_for_Intrinsic_growth!K24</f>
        <v>18</v>
      </c>
      <c r="J24" s="93">
        <f>Data_for_Intrinsic_growth!L24</f>
        <v>21</v>
      </c>
      <c r="K24" s="93">
        <f>Data_for_Intrinsic_growth!M24</f>
        <v>43</v>
      </c>
    </row>
    <row r="25" spans="2:11" x14ac:dyDescent="0.3">
      <c r="B25" s="92" t="s">
        <v>177</v>
      </c>
      <c r="C25" s="92"/>
      <c r="D25" s="92"/>
      <c r="E25" s="92"/>
      <c r="F25" s="92"/>
      <c r="G25" s="93">
        <f>Data_for_Intrinsic_growth!I25</f>
        <v>139</v>
      </c>
      <c r="H25" s="93">
        <f>Data_for_Intrinsic_growth!J25</f>
        <v>150</v>
      </c>
      <c r="I25" s="93">
        <f>Data_for_Intrinsic_growth!K25</f>
        <v>144</v>
      </c>
      <c r="J25" s="93">
        <f>Data_for_Intrinsic_growth!L25</f>
        <v>293</v>
      </c>
      <c r="K25" s="93">
        <f>Data_for_Intrinsic_growth!M25</f>
        <v>442</v>
      </c>
    </row>
    <row r="26" spans="2:11" x14ac:dyDescent="0.3">
      <c r="B26" s="26" t="s">
        <v>178</v>
      </c>
      <c r="C26" s="26"/>
      <c r="D26" s="26"/>
      <c r="E26" s="26"/>
      <c r="F26" s="26"/>
      <c r="G26" s="93">
        <f>Data_for_Intrinsic_growth!I26</f>
        <v>6</v>
      </c>
      <c r="H26" s="93">
        <f>Data_for_Intrinsic_growth!J26</f>
        <v>7</v>
      </c>
      <c r="I26" s="93">
        <f>Data_for_Intrinsic_growth!K26</f>
        <v>14</v>
      </c>
      <c r="J26" s="93">
        <f>Data_for_Intrinsic_growth!L26</f>
        <v>25</v>
      </c>
      <c r="K26" s="93">
        <f>Data_for_Intrinsic_growth!M26</f>
        <v>96</v>
      </c>
    </row>
    <row r="27" spans="2:11" x14ac:dyDescent="0.3">
      <c r="B27" s="95" t="s">
        <v>230</v>
      </c>
      <c r="C27" s="95"/>
      <c r="D27" s="95"/>
      <c r="E27" s="95"/>
      <c r="F27" s="95"/>
      <c r="G27" s="96">
        <f>SUM(G20:G26)</f>
        <v>1083</v>
      </c>
      <c r="H27" s="96">
        <f>SUM(H20:H26)</f>
        <v>1227</v>
      </c>
      <c r="I27" s="96">
        <f>SUM(I20:I26)</f>
        <v>1349</v>
      </c>
      <c r="J27" s="96">
        <f>SUM(J20:J26)</f>
        <v>1676</v>
      </c>
      <c r="K27" s="96">
        <f>SUM(K20:K26)</f>
        <v>2384</v>
      </c>
    </row>
    <row r="28" spans="2:11" x14ac:dyDescent="0.3">
      <c r="B28" s="76" t="s">
        <v>180</v>
      </c>
      <c r="C28" s="76"/>
      <c r="D28" s="76"/>
      <c r="E28" s="76"/>
      <c r="F28" s="76"/>
      <c r="G28" s="100">
        <f>Data_for_Intrinsic_growth!I28</f>
        <v>388</v>
      </c>
      <c r="H28" s="100">
        <f>Data_for_Intrinsic_growth!J28</f>
        <v>479</v>
      </c>
      <c r="I28" s="100">
        <f>Data_for_Intrinsic_growth!K28</f>
        <v>573</v>
      </c>
      <c r="J28" s="100">
        <f>Data_for_Intrinsic_growth!L28</f>
        <v>670</v>
      </c>
      <c r="K28" s="100">
        <f>Data_for_Intrinsic_growth!M28</f>
        <v>855</v>
      </c>
    </row>
    <row r="29" spans="2:11" ht="15" thickBot="1" x14ac:dyDescent="0.35">
      <c r="B29" s="97" t="s">
        <v>231</v>
      </c>
      <c r="C29" s="98"/>
      <c r="D29" s="98"/>
      <c r="E29" s="98"/>
      <c r="F29" s="98"/>
      <c r="G29" s="99">
        <f>G27-G28</f>
        <v>695</v>
      </c>
      <c r="H29" s="99">
        <f t="shared" ref="H29:K29" si="3">H27-H28</f>
        <v>748</v>
      </c>
      <c r="I29" s="99">
        <f t="shared" si="3"/>
        <v>776</v>
      </c>
      <c r="J29" s="99">
        <f t="shared" si="3"/>
        <v>1006</v>
      </c>
      <c r="K29" s="99">
        <f t="shared" si="3"/>
        <v>1529</v>
      </c>
    </row>
    <row r="31" spans="2:11" x14ac:dyDescent="0.3">
      <c r="B31" s="67" t="s">
        <v>232</v>
      </c>
      <c r="G31" s="101">
        <f>G29+G17</f>
        <v>1503</v>
      </c>
      <c r="H31" s="101">
        <f>H29+H17</f>
        <v>1454</v>
      </c>
      <c r="I31" s="101">
        <f>I29+I17</f>
        <v>1395</v>
      </c>
      <c r="J31" s="101">
        <f>J29+J17</f>
        <v>2143</v>
      </c>
      <c r="K31" s="101">
        <f>K29+K17</f>
        <v>2579</v>
      </c>
    </row>
    <row r="32" spans="2:11" x14ac:dyDescent="0.3">
      <c r="B32" s="67" t="s">
        <v>146</v>
      </c>
      <c r="G32" s="101">
        <f>'Historcial FS'!H18-'Historcial FS'!H24</f>
        <v>295.29999999999961</v>
      </c>
      <c r="H32" s="101">
        <f>'Historcial FS'!I18-'Historcial FS'!I24</f>
        <v>366.61000000000007</v>
      </c>
      <c r="I32" s="101">
        <f>'Historcial FS'!J18-'Historcial FS'!J24</f>
        <v>425.84</v>
      </c>
      <c r="J32" s="101">
        <f>'Historcial FS'!K18-'Historcial FS'!K24</f>
        <v>467.78999999999962</v>
      </c>
      <c r="K32" s="101">
        <f>'Historcial FS'!L18-'Historcial FS'!L24</f>
        <v>550.31999999999948</v>
      </c>
    </row>
    <row r="34" spans="2:11" ht="15" thickBot="1" x14ac:dyDescent="0.35">
      <c r="B34" s="97" t="s">
        <v>233</v>
      </c>
      <c r="C34" s="98"/>
      <c r="D34" s="98"/>
      <c r="E34" s="98"/>
      <c r="F34" s="98"/>
      <c r="G34" s="102">
        <f>G32/G31</f>
        <v>0.19647371922821</v>
      </c>
      <c r="H34" s="102">
        <f t="shared" ref="H34:K34" si="4">H32/H31</f>
        <v>0.25213892709766167</v>
      </c>
      <c r="I34" s="102">
        <f t="shared" si="4"/>
        <v>0.3052616487455197</v>
      </c>
      <c r="J34" s="102">
        <f t="shared" si="4"/>
        <v>0.2182874475034996</v>
      </c>
      <c r="K34" s="102">
        <f t="shared" si="4"/>
        <v>0.21338503295851086</v>
      </c>
    </row>
    <row r="37" spans="2:11" x14ac:dyDescent="0.3">
      <c r="B37" s="90" t="str">
        <f>_xlfn.CONCAT("Calculation of Reinvestment Rate - ",'Data Sheet'!B1)</f>
        <v>Calculation of Reinvestment Rate - CARBORUNDUM UNIVERSAL LTD</v>
      </c>
      <c r="C37" s="90"/>
      <c r="D37" s="90"/>
      <c r="E37" s="90"/>
      <c r="F37" s="90"/>
      <c r="G37" s="91">
        <f>G2</f>
        <v>43891</v>
      </c>
      <c r="H37" s="91">
        <f>H2</f>
        <v>44256</v>
      </c>
      <c r="I37" s="91">
        <f>I2</f>
        <v>44621</v>
      </c>
      <c r="J37" s="91">
        <f>J2</f>
        <v>44986</v>
      </c>
      <c r="K37" s="91">
        <f>K2</f>
        <v>45352</v>
      </c>
    </row>
    <row r="39" spans="2:11" x14ac:dyDescent="0.3">
      <c r="B39" s="92" t="s">
        <v>234</v>
      </c>
      <c r="C39" s="92"/>
      <c r="D39" s="92"/>
      <c r="E39" s="92"/>
      <c r="F39" s="92"/>
      <c r="G39" s="103">
        <f>-SUM(Data_for_Intrinsic_growth!I51:I52)</f>
        <v>95</v>
      </c>
      <c r="H39" s="103">
        <f>-SUM(Data_for_Intrinsic_growth!J51:J52)</f>
        <v>122</v>
      </c>
      <c r="I39" s="103">
        <f>-SUM(Data_for_Intrinsic_growth!K51:K52)</f>
        <v>102</v>
      </c>
      <c r="J39" s="103">
        <f>-SUM(Data_for_Intrinsic_growth!L51:L52)</f>
        <v>560</v>
      </c>
      <c r="K39" s="103">
        <f>-SUM(Data_for_Intrinsic_growth!M51:M52)</f>
        <v>301</v>
      </c>
    </row>
    <row r="40" spans="2:11" x14ac:dyDescent="0.3">
      <c r="B40" s="92" t="s">
        <v>235</v>
      </c>
      <c r="C40" s="92"/>
      <c r="D40" s="92"/>
      <c r="E40" s="92"/>
      <c r="F40" s="92"/>
      <c r="G40" s="92"/>
      <c r="H40" s="104">
        <f>H17-G17</f>
        <v>-102</v>
      </c>
      <c r="I40" s="104">
        <f t="shared" ref="I40:K40" si="5">I17-H17</f>
        <v>-87</v>
      </c>
      <c r="J40" s="104">
        <f t="shared" si="5"/>
        <v>518</v>
      </c>
      <c r="K40" s="104">
        <f t="shared" si="5"/>
        <v>-87</v>
      </c>
    </row>
    <row r="41" spans="2:11" x14ac:dyDescent="0.3">
      <c r="B41" s="92"/>
      <c r="C41" s="92"/>
      <c r="D41" s="92"/>
      <c r="E41" s="92"/>
      <c r="F41" s="92"/>
      <c r="G41" s="92"/>
      <c r="H41" s="92"/>
      <c r="I41" s="92"/>
      <c r="J41" s="92"/>
      <c r="K41" s="92"/>
    </row>
    <row r="42" spans="2:11" x14ac:dyDescent="0.3">
      <c r="B42" s="92" t="s">
        <v>146</v>
      </c>
      <c r="C42" s="92"/>
      <c r="D42" s="92"/>
      <c r="E42" s="92"/>
      <c r="F42" s="92"/>
      <c r="G42" s="93">
        <f>'Historcial FS'!H18-'Historcial FS'!H24</f>
        <v>295.29999999999961</v>
      </c>
      <c r="H42" s="93">
        <f>'Historcial FS'!I18-'Historcial FS'!I24</f>
        <v>366.61000000000007</v>
      </c>
      <c r="I42" s="93">
        <f>'Historcial FS'!J18-'Historcial FS'!J24</f>
        <v>425.84</v>
      </c>
      <c r="J42" s="93">
        <f>'Historcial FS'!K18-'Historcial FS'!K24</f>
        <v>467.78999999999962</v>
      </c>
      <c r="K42" s="93">
        <f>'Historcial FS'!L18-'Historcial FS'!L24</f>
        <v>550.31999999999948</v>
      </c>
    </row>
    <row r="43" spans="2:11" x14ac:dyDescent="0.3">
      <c r="B43" s="92" t="s">
        <v>236</v>
      </c>
      <c r="C43" s="92"/>
      <c r="D43" s="92"/>
      <c r="E43" s="92"/>
      <c r="F43" s="92"/>
      <c r="G43" s="105">
        <v>0.25</v>
      </c>
      <c r="H43" s="105">
        <v>0.25</v>
      </c>
      <c r="I43" s="105">
        <v>0.25</v>
      </c>
      <c r="J43" s="105">
        <v>0.25</v>
      </c>
      <c r="K43" s="105">
        <v>0.25</v>
      </c>
    </row>
    <row r="44" spans="2:11" x14ac:dyDescent="0.3">
      <c r="B44" s="92" t="s">
        <v>237</v>
      </c>
      <c r="C44" s="92"/>
      <c r="D44" s="92"/>
      <c r="E44" s="92"/>
      <c r="F44" s="92"/>
      <c r="G44" s="103">
        <f>G42*(1-G43)</f>
        <v>221.47499999999971</v>
      </c>
      <c r="H44" s="103">
        <f t="shared" ref="H44:K44" si="6">H42*(1-H43)</f>
        <v>274.95750000000004</v>
      </c>
      <c r="I44" s="103">
        <f t="shared" si="6"/>
        <v>319.38</v>
      </c>
      <c r="J44" s="103">
        <f t="shared" si="6"/>
        <v>350.84249999999975</v>
      </c>
      <c r="K44" s="103">
        <f t="shared" si="6"/>
        <v>412.73999999999961</v>
      </c>
    </row>
    <row r="45" spans="2:11" x14ac:dyDescent="0.3">
      <c r="B45" s="92"/>
      <c r="C45" s="92"/>
      <c r="D45" s="92"/>
      <c r="E45" s="92"/>
      <c r="F45" s="92"/>
      <c r="G45" s="92"/>
      <c r="H45" s="92"/>
      <c r="I45" s="92"/>
      <c r="J45" s="92"/>
      <c r="K45" s="92"/>
    </row>
    <row r="46" spans="2:11" x14ac:dyDescent="0.3">
      <c r="B46" s="26" t="s">
        <v>238</v>
      </c>
      <c r="C46" s="26"/>
      <c r="D46" s="26"/>
      <c r="E46" s="26"/>
      <c r="F46" s="26"/>
      <c r="G46" s="26"/>
      <c r="H46" s="106">
        <f>SUM(H39:H40)</f>
        <v>20</v>
      </c>
      <c r="I46" s="106">
        <f t="shared" ref="I46:K46" si="7">SUM(I39:I40)</f>
        <v>15</v>
      </c>
      <c r="J46" s="106">
        <f t="shared" si="7"/>
        <v>1078</v>
      </c>
      <c r="K46" s="106">
        <f t="shared" si="7"/>
        <v>214</v>
      </c>
    </row>
    <row r="47" spans="2:11" x14ac:dyDescent="0.3">
      <c r="B47" s="107" t="s">
        <v>239</v>
      </c>
      <c r="C47" s="107"/>
      <c r="D47" s="107"/>
      <c r="E47" s="107"/>
      <c r="F47" s="107"/>
      <c r="G47" s="107"/>
      <c r="H47" s="108">
        <f>H46/H44</f>
        <v>7.2738514134002522E-2</v>
      </c>
      <c r="I47" s="108">
        <f t="shared" ref="I47:K47" si="8">I46/I44</f>
        <v>4.6965996618448247E-2</v>
      </c>
      <c r="J47" s="108">
        <f t="shared" si="8"/>
        <v>3.0726038037010932</v>
      </c>
      <c r="K47" s="108">
        <f t="shared" si="8"/>
        <v>0.51848621408150464</v>
      </c>
    </row>
    <row r="49" spans="2:11" x14ac:dyDescent="0.3">
      <c r="B49" s="109" t="s">
        <v>240</v>
      </c>
      <c r="C49" s="94"/>
      <c r="D49" s="110">
        <f>AVERAGE(H47:K47)</f>
        <v>0.92769863213376214</v>
      </c>
    </row>
    <row r="50" spans="2:11" x14ac:dyDescent="0.3">
      <c r="B50" s="111" t="s">
        <v>241</v>
      </c>
      <c r="C50" s="112"/>
      <c r="D50" s="113">
        <f>MEDIAN(H47:K47)</f>
        <v>0.2956123641077536</v>
      </c>
    </row>
    <row r="53" spans="2:11" x14ac:dyDescent="0.3">
      <c r="B53" s="90" t="str">
        <f>_xlfn.CONCAT("Calculation of Growth Rate - ",'Data Sheet'!B1)</f>
        <v>Calculation of Growth Rate - CARBORUNDUM UNIVERSAL LTD</v>
      </c>
      <c r="C53" s="90"/>
      <c r="D53" s="90"/>
      <c r="E53" s="90"/>
      <c r="F53" s="90"/>
      <c r="G53" s="91">
        <f>G37</f>
        <v>43891</v>
      </c>
      <c r="H53" s="91">
        <f t="shared" ref="H53:K53" si="9">H37</f>
        <v>44256</v>
      </c>
      <c r="I53" s="91">
        <f t="shared" si="9"/>
        <v>44621</v>
      </c>
      <c r="J53" s="91">
        <f t="shared" si="9"/>
        <v>44986</v>
      </c>
      <c r="K53" s="91">
        <f t="shared" si="9"/>
        <v>45352</v>
      </c>
    </row>
    <row r="55" spans="2:11" x14ac:dyDescent="0.3">
      <c r="B55" s="92" t="s">
        <v>242</v>
      </c>
      <c r="C55" s="92"/>
      <c r="D55" s="92"/>
      <c r="E55" s="92"/>
      <c r="F55" s="92"/>
      <c r="G55" s="114"/>
      <c r="H55" s="114">
        <f>H47</f>
        <v>7.2738514134002522E-2</v>
      </c>
      <c r="I55" s="114">
        <f t="shared" ref="I55:K55" si="10">I47</f>
        <v>4.6965996618448247E-2</v>
      </c>
      <c r="J55" s="114">
        <f t="shared" si="10"/>
        <v>3.0726038037010932</v>
      </c>
      <c r="K55" s="114">
        <f t="shared" si="10"/>
        <v>0.51848621408150464</v>
      </c>
    </row>
    <row r="56" spans="2:11" x14ac:dyDescent="0.3">
      <c r="B56" s="26" t="s">
        <v>233</v>
      </c>
      <c r="C56" s="26"/>
      <c r="D56" s="26"/>
      <c r="E56" s="26"/>
      <c r="F56" s="26"/>
      <c r="G56" s="115"/>
      <c r="H56" s="115">
        <f>H34</f>
        <v>0.25213892709766167</v>
      </c>
      <c r="I56" s="115">
        <f t="shared" ref="I56:K56" si="11">I34</f>
        <v>0.3052616487455197</v>
      </c>
      <c r="J56" s="115">
        <f t="shared" si="11"/>
        <v>0.2182874475034996</v>
      </c>
      <c r="K56" s="115">
        <f t="shared" si="11"/>
        <v>0.21338503295851086</v>
      </c>
    </row>
    <row r="57" spans="2:11" ht="15" thickBot="1" x14ac:dyDescent="0.35">
      <c r="B57" s="97" t="s">
        <v>243</v>
      </c>
      <c r="C57" s="97"/>
      <c r="D57" s="97"/>
      <c r="E57" s="97"/>
      <c r="F57" s="97"/>
      <c r="G57" s="102"/>
      <c r="H57" s="102">
        <f>H55*H56</f>
        <v>1.8340210912425495E-2</v>
      </c>
      <c r="I57" s="102">
        <f t="shared" ref="I57:K57" si="12">I55*I56</f>
        <v>1.4336917562724014E-2</v>
      </c>
      <c r="J57" s="102">
        <f t="shared" si="12"/>
        <v>0.67071084149945559</v>
      </c>
      <c r="K57" s="102">
        <f t="shared" si="12"/>
        <v>0.11063719788031538</v>
      </c>
    </row>
    <row r="59" spans="2:11" x14ac:dyDescent="0.3">
      <c r="B59" s="109" t="s">
        <v>240</v>
      </c>
      <c r="C59" s="94"/>
      <c r="D59" s="110">
        <f>AVERAGE(H57:K57)</f>
        <v>0.2035062919637301</v>
      </c>
    </row>
    <row r="60" spans="2:11" x14ac:dyDescent="0.3">
      <c r="B60" s="111" t="s">
        <v>241</v>
      </c>
      <c r="C60" s="112"/>
      <c r="D60" s="113">
        <f>MEDIAN(H57:K57)</f>
        <v>6.4488704396370444E-2</v>
      </c>
    </row>
  </sheetData>
  <pageMargins left="0.7" right="0.7" top="0.75" bottom="0.75" header="0.3" footer="0.3"/>
  <pageSetup paperSize="9" scale="70" orientation="portrait" r:id="rId1"/>
  <ignoredErrors>
    <ignoredError sqref="G39:K39" formulaRange="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6749B-5697-4F0B-A85B-C2A7120A4FDB}">
  <sheetPr>
    <tabColor rgb="FFFF0000"/>
  </sheetPr>
  <dimension ref="B2:N68"/>
  <sheetViews>
    <sheetView workbookViewId="0">
      <pane ySplit="4" topLeftCell="A48" activePane="bottomLeft" state="frozen"/>
      <selection pane="bottomLeft" activeCell="S65" sqref="S65"/>
    </sheetView>
  </sheetViews>
  <sheetFormatPr defaultRowHeight="14.4" x14ac:dyDescent="0.3"/>
  <cols>
    <col min="2" max="2" width="25.77734375" bestFit="1" customWidth="1"/>
    <col min="3" max="13" width="7" bestFit="1" customWidth="1"/>
    <col min="14" max="14" width="7.6640625" customWidth="1"/>
  </cols>
  <sheetData>
    <row r="2" spans="2:14" x14ac:dyDescent="0.3">
      <c r="C2" s="122" t="s">
        <v>22</v>
      </c>
      <c r="D2" s="122"/>
      <c r="E2" s="122"/>
      <c r="F2" s="122"/>
      <c r="G2" s="122"/>
      <c r="H2" s="122"/>
      <c r="I2" s="122"/>
      <c r="J2" s="122"/>
    </row>
    <row r="4" spans="2:14" x14ac:dyDescent="0.3">
      <c r="B4" s="72">
        <v>41334</v>
      </c>
      <c r="C4" s="72">
        <v>41699</v>
      </c>
      <c r="D4" s="72">
        <v>42064</v>
      </c>
      <c r="E4" s="72">
        <v>42430</v>
      </c>
      <c r="F4" s="72">
        <v>42795</v>
      </c>
      <c r="G4" s="72">
        <v>43160</v>
      </c>
      <c r="H4" s="72">
        <v>43525</v>
      </c>
      <c r="I4" s="72">
        <v>43891</v>
      </c>
      <c r="J4" s="72">
        <v>44256</v>
      </c>
      <c r="K4" s="72">
        <v>44621</v>
      </c>
      <c r="L4" s="72">
        <v>44986</v>
      </c>
      <c r="M4" s="72">
        <v>45352</v>
      </c>
    </row>
    <row r="5" spans="2:14" x14ac:dyDescent="0.3">
      <c r="B5" t="s">
        <v>159</v>
      </c>
      <c r="C5">
        <v>19</v>
      </c>
      <c r="D5">
        <v>19</v>
      </c>
      <c r="E5">
        <v>19</v>
      </c>
      <c r="F5">
        <v>19</v>
      </c>
      <c r="G5">
        <v>19</v>
      </c>
      <c r="H5">
        <v>19</v>
      </c>
      <c r="I5">
        <v>19</v>
      </c>
      <c r="J5">
        <v>19</v>
      </c>
      <c r="K5">
        <v>19</v>
      </c>
      <c r="L5">
        <v>19</v>
      </c>
      <c r="M5">
        <v>19</v>
      </c>
      <c r="N5">
        <v>19</v>
      </c>
    </row>
    <row r="6" spans="2:14" x14ac:dyDescent="0.3">
      <c r="B6" t="s">
        <v>12</v>
      </c>
      <c r="C6" s="73">
        <v>1040</v>
      </c>
      <c r="D6" s="73">
        <v>1087</v>
      </c>
      <c r="E6" s="73">
        <v>1070</v>
      </c>
      <c r="F6" s="73">
        <v>1173</v>
      </c>
      <c r="G6" s="73">
        <v>1364</v>
      </c>
      <c r="H6" s="73">
        <v>1545</v>
      </c>
      <c r="I6" s="73">
        <v>1705</v>
      </c>
      <c r="J6" s="73">
        <v>1839</v>
      </c>
      <c r="K6" s="73">
        <v>2113</v>
      </c>
      <c r="L6" s="73">
        <v>2345</v>
      </c>
      <c r="M6" s="73">
        <v>2802</v>
      </c>
      <c r="N6" s="73">
        <v>3107</v>
      </c>
    </row>
    <row r="7" spans="2:14" x14ac:dyDescent="0.3">
      <c r="B7" t="s">
        <v>160</v>
      </c>
      <c r="C7">
        <v>435</v>
      </c>
      <c r="D7">
        <v>456</v>
      </c>
      <c r="E7">
        <v>340</v>
      </c>
      <c r="F7">
        <v>320</v>
      </c>
      <c r="G7">
        <v>156</v>
      </c>
      <c r="H7">
        <v>129</v>
      </c>
      <c r="I7">
        <v>97</v>
      </c>
      <c r="J7">
        <v>70</v>
      </c>
      <c r="K7">
        <v>62</v>
      </c>
      <c r="L7">
        <v>240</v>
      </c>
      <c r="M7">
        <v>277</v>
      </c>
      <c r="N7">
        <v>172</v>
      </c>
    </row>
    <row r="8" spans="2:14" x14ac:dyDescent="0.3">
      <c r="B8" t="s">
        <v>161</v>
      </c>
      <c r="C8">
        <v>198</v>
      </c>
      <c r="D8">
        <v>187</v>
      </c>
      <c r="E8">
        <v>57</v>
      </c>
      <c r="F8">
        <v>36</v>
      </c>
      <c r="G8">
        <v>7</v>
      </c>
      <c r="H8">
        <v>7</v>
      </c>
      <c r="I8">
        <v>5</v>
      </c>
      <c r="J8">
        <v>4</v>
      </c>
      <c r="K8">
        <v>5</v>
      </c>
      <c r="L8">
        <v>8</v>
      </c>
      <c r="M8">
        <v>43</v>
      </c>
      <c r="N8">
        <v>28</v>
      </c>
    </row>
    <row r="9" spans="2:14" x14ac:dyDescent="0.3">
      <c r="B9" t="s">
        <v>162</v>
      </c>
      <c r="C9">
        <v>160</v>
      </c>
      <c r="D9">
        <v>205</v>
      </c>
      <c r="E9">
        <v>220</v>
      </c>
      <c r="F9">
        <v>227</v>
      </c>
      <c r="G9">
        <v>142</v>
      </c>
      <c r="H9">
        <v>118</v>
      </c>
      <c r="I9">
        <v>87</v>
      </c>
      <c r="J9">
        <v>55</v>
      </c>
      <c r="K9">
        <v>36</v>
      </c>
      <c r="L9">
        <v>204</v>
      </c>
      <c r="M9">
        <v>187</v>
      </c>
      <c r="N9">
        <v>85</v>
      </c>
    </row>
    <row r="10" spans="2:14" x14ac:dyDescent="0.3">
      <c r="B10" t="s">
        <v>163</v>
      </c>
      <c r="C10">
        <v>0</v>
      </c>
      <c r="D10">
        <v>0</v>
      </c>
      <c r="E10">
        <v>0</v>
      </c>
      <c r="F10">
        <v>0</v>
      </c>
      <c r="G10">
        <v>0</v>
      </c>
      <c r="H10">
        <v>0</v>
      </c>
      <c r="I10">
        <v>0</v>
      </c>
      <c r="J10">
        <v>9</v>
      </c>
      <c r="K10">
        <v>21</v>
      </c>
      <c r="L10">
        <v>28</v>
      </c>
      <c r="M10">
        <v>47</v>
      </c>
      <c r="N10">
        <v>59</v>
      </c>
    </row>
    <row r="11" spans="2:14" x14ac:dyDescent="0.3">
      <c r="B11" t="s">
        <v>164</v>
      </c>
      <c r="C11">
        <v>0</v>
      </c>
      <c r="D11">
        <v>0</v>
      </c>
      <c r="E11">
        <v>0</v>
      </c>
      <c r="F11">
        <v>0</v>
      </c>
      <c r="G11">
        <v>0</v>
      </c>
      <c r="H11">
        <v>5</v>
      </c>
      <c r="I11">
        <v>5</v>
      </c>
      <c r="J11">
        <v>4</v>
      </c>
      <c r="K11">
        <v>5</v>
      </c>
      <c r="L11">
        <v>8</v>
      </c>
      <c r="M11">
        <v>0</v>
      </c>
      <c r="N11">
        <v>0</v>
      </c>
    </row>
    <row r="12" spans="2:14" x14ac:dyDescent="0.3">
      <c r="B12" t="s">
        <v>165</v>
      </c>
      <c r="C12">
        <v>77</v>
      </c>
      <c r="D12">
        <v>64</v>
      </c>
      <c r="E12">
        <v>63</v>
      </c>
      <c r="F12">
        <v>57</v>
      </c>
      <c r="G12">
        <v>7</v>
      </c>
      <c r="H12">
        <v>5</v>
      </c>
      <c r="I12">
        <v>5</v>
      </c>
      <c r="J12">
        <v>2</v>
      </c>
      <c r="K12">
        <v>0</v>
      </c>
      <c r="L12">
        <v>0</v>
      </c>
      <c r="M12">
        <v>0</v>
      </c>
      <c r="N12">
        <v>0</v>
      </c>
    </row>
    <row r="13" spans="2:14" x14ac:dyDescent="0.3">
      <c r="B13" t="s">
        <v>166</v>
      </c>
      <c r="C13">
        <v>409</v>
      </c>
      <c r="D13">
        <v>423</v>
      </c>
      <c r="E13">
        <v>387</v>
      </c>
      <c r="F13">
        <v>348</v>
      </c>
      <c r="G13">
        <v>374</v>
      </c>
      <c r="H13">
        <v>394</v>
      </c>
      <c r="I13">
        <v>401</v>
      </c>
      <c r="J13">
        <v>354</v>
      </c>
      <c r="K13">
        <v>486</v>
      </c>
      <c r="L13">
        <v>692</v>
      </c>
      <c r="M13">
        <v>774</v>
      </c>
      <c r="N13">
        <v>793</v>
      </c>
    </row>
    <row r="14" spans="2:14" x14ac:dyDescent="0.3">
      <c r="B14" t="s">
        <v>167</v>
      </c>
      <c r="C14">
        <v>74</v>
      </c>
      <c r="D14">
        <v>70</v>
      </c>
      <c r="E14">
        <v>58</v>
      </c>
      <c r="F14">
        <v>62</v>
      </c>
      <c r="G14">
        <v>66</v>
      </c>
      <c r="H14">
        <v>61</v>
      </c>
      <c r="I14">
        <v>52</v>
      </c>
      <c r="J14">
        <v>46</v>
      </c>
      <c r="K14">
        <v>46</v>
      </c>
      <c r="L14">
        <v>86</v>
      </c>
      <c r="M14">
        <v>128</v>
      </c>
      <c r="N14">
        <v>139</v>
      </c>
    </row>
    <row r="15" spans="2:14" x14ac:dyDescent="0.3">
      <c r="B15" t="s">
        <v>168</v>
      </c>
      <c r="C15">
        <v>176</v>
      </c>
      <c r="D15">
        <v>201</v>
      </c>
      <c r="E15">
        <v>171</v>
      </c>
      <c r="F15">
        <v>134</v>
      </c>
      <c r="G15">
        <v>165</v>
      </c>
      <c r="H15">
        <v>198</v>
      </c>
      <c r="I15">
        <v>209</v>
      </c>
      <c r="J15">
        <v>195</v>
      </c>
      <c r="K15">
        <v>303</v>
      </c>
      <c r="L15">
        <v>370</v>
      </c>
      <c r="M15">
        <v>336</v>
      </c>
      <c r="N15">
        <v>398</v>
      </c>
    </row>
    <row r="16" spans="2:14" x14ac:dyDescent="0.3">
      <c r="B16" t="s">
        <v>169</v>
      </c>
      <c r="C16">
        <v>14</v>
      </c>
      <c r="D16">
        <v>8</v>
      </c>
      <c r="E16">
        <v>9</v>
      </c>
      <c r="F16">
        <v>4</v>
      </c>
      <c r="G16">
        <v>7</v>
      </c>
      <c r="H16">
        <v>9</v>
      </c>
      <c r="I16">
        <v>0</v>
      </c>
      <c r="J16">
        <v>0</v>
      </c>
      <c r="K16">
        <v>0</v>
      </c>
      <c r="L16">
        <v>0</v>
      </c>
      <c r="M16">
        <v>0</v>
      </c>
      <c r="N16">
        <v>0</v>
      </c>
    </row>
    <row r="17" spans="2:14" x14ac:dyDescent="0.3">
      <c r="B17" t="s">
        <v>170</v>
      </c>
      <c r="C17">
        <v>145</v>
      </c>
      <c r="D17">
        <v>145</v>
      </c>
      <c r="E17">
        <v>149</v>
      </c>
      <c r="F17">
        <v>147</v>
      </c>
      <c r="G17">
        <v>136</v>
      </c>
      <c r="H17">
        <v>126</v>
      </c>
      <c r="I17">
        <v>140</v>
      </c>
      <c r="J17">
        <v>113</v>
      </c>
      <c r="K17">
        <v>136</v>
      </c>
      <c r="L17">
        <v>236</v>
      </c>
      <c r="M17">
        <v>310</v>
      </c>
      <c r="N17">
        <v>256</v>
      </c>
    </row>
    <row r="18" spans="2:14" x14ac:dyDescent="0.3">
      <c r="B18" t="s">
        <v>80</v>
      </c>
      <c r="C18" s="73">
        <v>1903</v>
      </c>
      <c r="D18" s="73">
        <v>1986</v>
      </c>
      <c r="E18" s="73">
        <v>1816</v>
      </c>
      <c r="F18" s="73">
        <v>1860</v>
      </c>
      <c r="G18" s="73">
        <v>1913</v>
      </c>
      <c r="H18" s="73">
        <v>2088</v>
      </c>
      <c r="I18" s="73">
        <v>2222</v>
      </c>
      <c r="J18" s="73">
        <v>2283</v>
      </c>
      <c r="K18" s="73">
        <v>2679</v>
      </c>
      <c r="L18" s="73">
        <v>3296</v>
      </c>
      <c r="M18" s="73">
        <v>3872</v>
      </c>
      <c r="N18" s="73">
        <v>4091</v>
      </c>
    </row>
    <row r="19" spans="2:14" x14ac:dyDescent="0.3">
      <c r="B19" t="s">
        <v>171</v>
      </c>
      <c r="C19">
        <v>844</v>
      </c>
      <c r="D19">
        <v>897</v>
      </c>
      <c r="E19">
        <v>793</v>
      </c>
      <c r="F19">
        <v>659</v>
      </c>
      <c r="G19">
        <v>705</v>
      </c>
      <c r="H19">
        <v>736</v>
      </c>
      <c r="I19">
        <v>695</v>
      </c>
      <c r="J19">
        <v>748</v>
      </c>
      <c r="K19">
        <v>777</v>
      </c>
      <c r="L19" s="73">
        <v>1006</v>
      </c>
      <c r="M19" s="73">
        <v>1527</v>
      </c>
      <c r="N19" s="73">
        <v>1555</v>
      </c>
    </row>
    <row r="20" spans="2:14" x14ac:dyDescent="0.3">
      <c r="B20" t="s">
        <v>172</v>
      </c>
      <c r="C20">
        <v>35</v>
      </c>
      <c r="D20">
        <v>35</v>
      </c>
      <c r="E20">
        <v>35</v>
      </c>
      <c r="F20">
        <v>10</v>
      </c>
      <c r="G20">
        <v>11</v>
      </c>
      <c r="H20">
        <v>11</v>
      </c>
      <c r="I20">
        <v>10</v>
      </c>
      <c r="J20">
        <v>33</v>
      </c>
      <c r="K20">
        <v>35</v>
      </c>
      <c r="L20">
        <v>49</v>
      </c>
      <c r="M20">
        <v>94</v>
      </c>
      <c r="N20">
        <v>95</v>
      </c>
    </row>
    <row r="21" spans="2:14" x14ac:dyDescent="0.3">
      <c r="B21" t="s">
        <v>173</v>
      </c>
      <c r="C21">
        <v>266</v>
      </c>
      <c r="D21">
        <v>292</v>
      </c>
      <c r="E21">
        <v>282</v>
      </c>
      <c r="F21">
        <v>165</v>
      </c>
      <c r="G21">
        <v>198</v>
      </c>
      <c r="H21">
        <v>214</v>
      </c>
      <c r="I21">
        <v>217</v>
      </c>
      <c r="J21">
        <v>241</v>
      </c>
      <c r="K21">
        <v>283</v>
      </c>
      <c r="L21">
        <v>336</v>
      </c>
      <c r="M21">
        <v>447</v>
      </c>
      <c r="N21">
        <v>473</v>
      </c>
    </row>
    <row r="22" spans="2:14" x14ac:dyDescent="0.3">
      <c r="B22" t="s">
        <v>174</v>
      </c>
      <c r="C22">
        <v>904</v>
      </c>
      <c r="D22">
        <v>986</v>
      </c>
      <c r="E22">
        <v>979</v>
      </c>
      <c r="F22">
        <v>415</v>
      </c>
      <c r="G22">
        <v>528</v>
      </c>
      <c r="H22">
        <v>636</v>
      </c>
      <c r="I22">
        <v>683</v>
      </c>
      <c r="J22">
        <v>769</v>
      </c>
      <c r="K22">
        <v>842</v>
      </c>
      <c r="L22">
        <v>939</v>
      </c>
      <c r="M22" s="73">
        <v>1207</v>
      </c>
      <c r="N22" s="73">
        <v>1316</v>
      </c>
    </row>
    <row r="23" spans="2:14" x14ac:dyDescent="0.3">
      <c r="B23" t="s">
        <v>175</v>
      </c>
      <c r="C23">
        <v>23</v>
      </c>
      <c r="D23">
        <v>25</v>
      </c>
      <c r="E23">
        <v>24</v>
      </c>
      <c r="F23">
        <v>8</v>
      </c>
      <c r="G23">
        <v>10</v>
      </c>
      <c r="H23">
        <v>11</v>
      </c>
      <c r="I23">
        <v>12</v>
      </c>
      <c r="J23">
        <v>12</v>
      </c>
      <c r="K23">
        <v>13</v>
      </c>
      <c r="L23">
        <v>13</v>
      </c>
      <c r="M23">
        <v>55</v>
      </c>
      <c r="N23">
        <v>69</v>
      </c>
    </row>
    <row r="24" spans="2:14" x14ac:dyDescent="0.3">
      <c r="B24" t="s">
        <v>176</v>
      </c>
      <c r="C24">
        <v>21</v>
      </c>
      <c r="D24">
        <v>21</v>
      </c>
      <c r="E24">
        <v>18</v>
      </c>
      <c r="F24">
        <v>10</v>
      </c>
      <c r="G24">
        <v>12</v>
      </c>
      <c r="H24">
        <v>15</v>
      </c>
      <c r="I24">
        <v>16</v>
      </c>
      <c r="J24">
        <v>15</v>
      </c>
      <c r="K24">
        <v>18</v>
      </c>
      <c r="L24">
        <v>21</v>
      </c>
      <c r="M24">
        <v>43</v>
      </c>
      <c r="N24">
        <v>49</v>
      </c>
    </row>
    <row r="25" spans="2:14" x14ac:dyDescent="0.3">
      <c r="B25" t="s">
        <v>177</v>
      </c>
      <c r="C25">
        <v>111</v>
      </c>
      <c r="D25">
        <v>131</v>
      </c>
      <c r="E25">
        <v>136</v>
      </c>
      <c r="F25">
        <v>133</v>
      </c>
      <c r="G25">
        <v>131</v>
      </c>
      <c r="H25">
        <v>131</v>
      </c>
      <c r="I25">
        <v>139</v>
      </c>
      <c r="J25">
        <v>150</v>
      </c>
      <c r="K25">
        <v>144</v>
      </c>
      <c r="L25">
        <v>293</v>
      </c>
      <c r="M25">
        <v>442</v>
      </c>
      <c r="N25">
        <v>452</v>
      </c>
    </row>
    <row r="26" spans="2:14" x14ac:dyDescent="0.3">
      <c r="B26" t="s">
        <v>178</v>
      </c>
      <c r="C26">
        <v>0</v>
      </c>
      <c r="D26">
        <v>3</v>
      </c>
      <c r="E26">
        <v>4</v>
      </c>
      <c r="F26">
        <v>2</v>
      </c>
      <c r="G26">
        <v>3</v>
      </c>
      <c r="H26">
        <v>5</v>
      </c>
      <c r="I26">
        <v>6</v>
      </c>
      <c r="J26">
        <v>7</v>
      </c>
      <c r="K26">
        <v>14</v>
      </c>
      <c r="L26">
        <v>25</v>
      </c>
      <c r="M26">
        <v>96</v>
      </c>
      <c r="N26">
        <v>102</v>
      </c>
    </row>
    <row r="27" spans="2:14" x14ac:dyDescent="0.3">
      <c r="B27" t="s">
        <v>179</v>
      </c>
      <c r="C27" s="73">
        <v>1360</v>
      </c>
      <c r="D27" s="73">
        <v>1493</v>
      </c>
      <c r="E27" s="73">
        <v>1479</v>
      </c>
      <c r="F27">
        <v>744</v>
      </c>
      <c r="G27">
        <v>894</v>
      </c>
      <c r="H27" s="73">
        <v>1024</v>
      </c>
      <c r="I27" s="73">
        <v>1083</v>
      </c>
      <c r="J27" s="73">
        <v>1227</v>
      </c>
      <c r="K27" s="73">
        <v>1350</v>
      </c>
      <c r="L27" s="73">
        <v>1676</v>
      </c>
      <c r="M27" s="73">
        <v>2382</v>
      </c>
      <c r="N27" s="73">
        <v>2554</v>
      </c>
    </row>
    <row r="28" spans="2:14" x14ac:dyDescent="0.3">
      <c r="B28" t="s">
        <v>180</v>
      </c>
      <c r="C28">
        <v>517</v>
      </c>
      <c r="D28">
        <v>597</v>
      </c>
      <c r="E28">
        <v>653</v>
      </c>
      <c r="F28">
        <v>85</v>
      </c>
      <c r="G28">
        <v>189</v>
      </c>
      <c r="H28">
        <v>288</v>
      </c>
      <c r="I28">
        <v>388</v>
      </c>
      <c r="J28">
        <v>479</v>
      </c>
      <c r="K28">
        <v>573</v>
      </c>
      <c r="L28">
        <v>670</v>
      </c>
      <c r="M28">
        <v>855</v>
      </c>
      <c r="N28">
        <v>999</v>
      </c>
    </row>
    <row r="29" spans="2:14" x14ac:dyDescent="0.3">
      <c r="B29" t="s">
        <v>181</v>
      </c>
      <c r="C29">
        <v>84</v>
      </c>
      <c r="D29">
        <v>40</v>
      </c>
      <c r="E29">
        <v>43</v>
      </c>
      <c r="F29">
        <v>85</v>
      </c>
      <c r="G29">
        <v>73</v>
      </c>
      <c r="H29">
        <v>30</v>
      </c>
      <c r="I29">
        <v>46</v>
      </c>
      <c r="J29">
        <v>39</v>
      </c>
      <c r="K29">
        <v>28</v>
      </c>
      <c r="L29">
        <v>58</v>
      </c>
      <c r="M29">
        <v>87</v>
      </c>
      <c r="N29">
        <v>84</v>
      </c>
    </row>
    <row r="30" spans="2:14" x14ac:dyDescent="0.3">
      <c r="B30" t="s">
        <v>16</v>
      </c>
      <c r="C30">
        <v>26</v>
      </c>
      <c r="D30">
        <v>37</v>
      </c>
      <c r="E30">
        <v>41</v>
      </c>
      <c r="F30">
        <v>131</v>
      </c>
      <c r="G30">
        <v>124</v>
      </c>
      <c r="H30">
        <v>180</v>
      </c>
      <c r="I30">
        <v>227</v>
      </c>
      <c r="J30">
        <v>189</v>
      </c>
      <c r="K30">
        <v>127</v>
      </c>
      <c r="L30">
        <v>138</v>
      </c>
      <c r="M30">
        <v>161</v>
      </c>
      <c r="N30">
        <v>172</v>
      </c>
    </row>
    <row r="31" spans="2:14" x14ac:dyDescent="0.3">
      <c r="B31" t="s">
        <v>182</v>
      </c>
      <c r="C31">
        <v>950</v>
      </c>
      <c r="D31" s="73">
        <v>1012</v>
      </c>
      <c r="E31">
        <v>938</v>
      </c>
      <c r="F31">
        <v>985</v>
      </c>
      <c r="G31" s="73">
        <v>1011</v>
      </c>
      <c r="H31" s="73">
        <v>1141</v>
      </c>
      <c r="I31" s="73">
        <v>1254</v>
      </c>
      <c r="J31" s="73">
        <v>1307</v>
      </c>
      <c r="K31" s="73">
        <v>1747</v>
      </c>
      <c r="L31" s="73">
        <v>2094</v>
      </c>
      <c r="M31" s="73">
        <v>2096</v>
      </c>
      <c r="N31" s="73">
        <v>2280</v>
      </c>
    </row>
    <row r="32" spans="2:14" x14ac:dyDescent="0.3">
      <c r="B32" t="s">
        <v>183</v>
      </c>
      <c r="C32">
        <v>403</v>
      </c>
      <c r="D32">
        <v>434</v>
      </c>
      <c r="E32">
        <v>388</v>
      </c>
      <c r="F32">
        <v>370</v>
      </c>
      <c r="G32">
        <v>387</v>
      </c>
      <c r="H32">
        <v>438</v>
      </c>
      <c r="I32">
        <v>533</v>
      </c>
      <c r="J32">
        <v>508</v>
      </c>
      <c r="K32">
        <v>461</v>
      </c>
      <c r="L32">
        <v>691</v>
      </c>
      <c r="M32">
        <v>899</v>
      </c>
      <c r="N32">
        <v>850</v>
      </c>
    </row>
    <row r="33" spans="2:14" x14ac:dyDescent="0.3">
      <c r="B33" t="s">
        <v>184</v>
      </c>
      <c r="C33">
        <v>360</v>
      </c>
      <c r="D33">
        <v>417</v>
      </c>
      <c r="E33">
        <v>370</v>
      </c>
      <c r="F33">
        <v>367</v>
      </c>
      <c r="G33">
        <v>381</v>
      </c>
      <c r="H33">
        <v>475</v>
      </c>
      <c r="I33">
        <v>514</v>
      </c>
      <c r="J33">
        <v>402</v>
      </c>
      <c r="K33">
        <v>478</v>
      </c>
      <c r="L33">
        <v>485</v>
      </c>
      <c r="M33">
        <v>627</v>
      </c>
      <c r="N33">
        <v>679</v>
      </c>
    </row>
    <row r="34" spans="2:14" x14ac:dyDescent="0.3">
      <c r="B34" t="s">
        <v>185</v>
      </c>
      <c r="C34">
        <v>86</v>
      </c>
      <c r="D34">
        <v>75</v>
      </c>
      <c r="E34">
        <v>99</v>
      </c>
      <c r="F34">
        <v>113</v>
      </c>
      <c r="G34">
        <v>126</v>
      </c>
      <c r="H34">
        <v>129</v>
      </c>
      <c r="I34">
        <v>98</v>
      </c>
      <c r="J34">
        <v>294</v>
      </c>
      <c r="K34">
        <v>689</v>
      </c>
      <c r="L34">
        <v>352</v>
      </c>
      <c r="M34">
        <v>400</v>
      </c>
      <c r="N34">
        <v>558</v>
      </c>
    </row>
    <row r="35" spans="2:14" x14ac:dyDescent="0.3">
      <c r="B35" t="s">
        <v>186</v>
      </c>
      <c r="C35">
        <v>1</v>
      </c>
      <c r="D35">
        <v>2</v>
      </c>
      <c r="E35">
        <v>2</v>
      </c>
      <c r="F35">
        <v>2</v>
      </c>
      <c r="G35">
        <v>1</v>
      </c>
      <c r="H35">
        <v>1</v>
      </c>
      <c r="I35">
        <v>2</v>
      </c>
      <c r="J35">
        <v>2</v>
      </c>
      <c r="K35">
        <v>1</v>
      </c>
      <c r="L35">
        <v>0</v>
      </c>
      <c r="M35">
        <v>0</v>
      </c>
      <c r="N35">
        <v>0</v>
      </c>
    </row>
    <row r="36" spans="2:14" x14ac:dyDescent="0.3">
      <c r="B36" t="s">
        <v>187</v>
      </c>
      <c r="C36">
        <v>100</v>
      </c>
      <c r="D36">
        <v>84</v>
      </c>
      <c r="E36">
        <v>79</v>
      </c>
      <c r="F36">
        <v>133</v>
      </c>
      <c r="G36">
        <v>117</v>
      </c>
      <c r="H36">
        <v>98</v>
      </c>
      <c r="I36">
        <v>108</v>
      </c>
      <c r="J36">
        <v>102</v>
      </c>
      <c r="K36">
        <v>118</v>
      </c>
      <c r="L36">
        <v>567</v>
      </c>
      <c r="M36">
        <v>170</v>
      </c>
      <c r="N36">
        <v>193</v>
      </c>
    </row>
    <row r="37" spans="2:14" x14ac:dyDescent="0.3">
      <c r="B37" t="s">
        <v>84</v>
      </c>
      <c r="C37" s="73">
        <v>1903</v>
      </c>
      <c r="D37" s="73">
        <v>1986</v>
      </c>
      <c r="E37" s="73">
        <v>1816</v>
      </c>
      <c r="F37" s="73">
        <v>1860</v>
      </c>
      <c r="G37" s="73">
        <v>1913</v>
      </c>
      <c r="H37" s="73">
        <v>2088</v>
      </c>
      <c r="I37" s="73">
        <v>2222</v>
      </c>
      <c r="J37" s="73">
        <v>2283</v>
      </c>
      <c r="K37" s="73">
        <v>2679</v>
      </c>
      <c r="L37" s="73">
        <v>3296</v>
      </c>
      <c r="M37" s="73">
        <v>3872</v>
      </c>
      <c r="N37" s="73">
        <v>4091</v>
      </c>
    </row>
    <row r="40" spans="2:14" x14ac:dyDescent="0.3">
      <c r="C40" s="72">
        <v>41334</v>
      </c>
      <c r="D40" s="72">
        <v>41699</v>
      </c>
      <c r="E40" s="72">
        <v>42064</v>
      </c>
      <c r="F40" s="72">
        <v>42430</v>
      </c>
      <c r="G40" s="72">
        <v>42795</v>
      </c>
      <c r="H40" s="72">
        <v>43160</v>
      </c>
      <c r="I40" s="72">
        <v>43525</v>
      </c>
      <c r="J40" s="72">
        <v>43891</v>
      </c>
      <c r="K40" s="72">
        <v>44256</v>
      </c>
      <c r="L40" s="72">
        <v>44621</v>
      </c>
      <c r="M40" s="72">
        <v>44986</v>
      </c>
      <c r="N40" s="72">
        <v>45352</v>
      </c>
    </row>
    <row r="41" spans="2:14" x14ac:dyDescent="0.3">
      <c r="B41" t="s">
        <v>263</v>
      </c>
      <c r="C41">
        <v>195</v>
      </c>
      <c r="D41">
        <v>153</v>
      </c>
      <c r="E41">
        <v>326</v>
      </c>
      <c r="F41">
        <v>178</v>
      </c>
      <c r="G41">
        <v>295</v>
      </c>
      <c r="H41">
        <v>213</v>
      </c>
      <c r="I41">
        <v>202</v>
      </c>
      <c r="J41">
        <v>407</v>
      </c>
      <c r="K41">
        <v>451</v>
      </c>
      <c r="L41">
        <v>245</v>
      </c>
      <c r="M41">
        <v>430</v>
      </c>
      <c r="N41">
        <v>602</v>
      </c>
    </row>
    <row r="42" spans="2:14" x14ac:dyDescent="0.3">
      <c r="B42" t="s">
        <v>244</v>
      </c>
      <c r="C42">
        <v>251</v>
      </c>
      <c r="D42">
        <v>265</v>
      </c>
      <c r="E42">
        <v>275</v>
      </c>
      <c r="F42">
        <v>342</v>
      </c>
      <c r="G42">
        <v>351</v>
      </c>
      <c r="H42">
        <v>415</v>
      </c>
      <c r="I42">
        <v>461</v>
      </c>
      <c r="J42">
        <v>434</v>
      </c>
      <c r="K42">
        <v>482</v>
      </c>
      <c r="L42">
        <v>584</v>
      </c>
      <c r="M42">
        <v>746</v>
      </c>
      <c r="N42">
        <v>832</v>
      </c>
    </row>
    <row r="43" spans="2:14" x14ac:dyDescent="0.3">
      <c r="B43" t="s">
        <v>44</v>
      </c>
      <c r="C43">
        <v>0</v>
      </c>
      <c r="D43">
        <v>-59</v>
      </c>
      <c r="E43">
        <v>52</v>
      </c>
      <c r="F43">
        <v>-51</v>
      </c>
      <c r="G43">
        <v>2</v>
      </c>
      <c r="H43">
        <v>-106</v>
      </c>
      <c r="I43">
        <v>-46</v>
      </c>
      <c r="J43">
        <v>86</v>
      </c>
      <c r="K43">
        <v>-72</v>
      </c>
      <c r="L43">
        <v>-30</v>
      </c>
      <c r="M43">
        <v>-52</v>
      </c>
      <c r="N43">
        <v>-90</v>
      </c>
    </row>
    <row r="44" spans="2:14" x14ac:dyDescent="0.3">
      <c r="B44" t="s">
        <v>30</v>
      </c>
      <c r="C44">
        <v>6</v>
      </c>
      <c r="D44">
        <v>-31</v>
      </c>
      <c r="E44">
        <v>46</v>
      </c>
      <c r="F44">
        <v>-5</v>
      </c>
      <c r="G44">
        <v>-2</v>
      </c>
      <c r="H44">
        <v>-48</v>
      </c>
      <c r="I44">
        <v>-106</v>
      </c>
      <c r="J44">
        <v>14</v>
      </c>
      <c r="K44">
        <v>54</v>
      </c>
      <c r="L44">
        <v>-219</v>
      </c>
      <c r="M44">
        <v>-81</v>
      </c>
      <c r="N44">
        <v>15</v>
      </c>
    </row>
    <row r="45" spans="2:14" x14ac:dyDescent="0.3">
      <c r="B45" t="s">
        <v>245</v>
      </c>
      <c r="C45">
        <v>9</v>
      </c>
      <c r="D45">
        <v>25</v>
      </c>
      <c r="E45">
        <v>-29</v>
      </c>
      <c r="F45">
        <v>-15</v>
      </c>
      <c r="G45">
        <v>20</v>
      </c>
      <c r="H45">
        <v>45</v>
      </c>
      <c r="I45">
        <v>11</v>
      </c>
      <c r="J45">
        <v>-12</v>
      </c>
      <c r="K45">
        <v>103</v>
      </c>
      <c r="L45">
        <v>47</v>
      </c>
      <c r="M45">
        <v>-16</v>
      </c>
      <c r="N45">
        <v>39</v>
      </c>
    </row>
    <row r="46" spans="2:14" x14ac:dyDescent="0.3">
      <c r="B46" t="s">
        <v>264</v>
      </c>
      <c r="C46">
        <v>-12</v>
      </c>
      <c r="D46">
        <v>18</v>
      </c>
      <c r="E46">
        <v>-6</v>
      </c>
      <c r="F46">
        <v>0</v>
      </c>
      <c r="G46">
        <v>0</v>
      </c>
      <c r="H46">
        <v>0</v>
      </c>
      <c r="I46">
        <v>0</v>
      </c>
      <c r="J46">
        <v>0</v>
      </c>
      <c r="K46">
        <v>0</v>
      </c>
      <c r="L46">
        <v>0</v>
      </c>
      <c r="M46">
        <v>0</v>
      </c>
      <c r="N46">
        <v>0</v>
      </c>
    </row>
    <row r="47" spans="2:14" x14ac:dyDescent="0.3">
      <c r="B47" t="s">
        <v>246</v>
      </c>
      <c r="C47">
        <v>3</v>
      </c>
      <c r="D47">
        <v>-2</v>
      </c>
      <c r="E47">
        <v>60</v>
      </c>
      <c r="F47">
        <v>-10</v>
      </c>
      <c r="G47">
        <v>3</v>
      </c>
      <c r="H47">
        <v>18</v>
      </c>
      <c r="I47">
        <v>1</v>
      </c>
      <c r="J47">
        <v>-15</v>
      </c>
      <c r="K47">
        <v>-14</v>
      </c>
      <c r="L47">
        <v>-5</v>
      </c>
      <c r="M47">
        <v>-4</v>
      </c>
      <c r="N47">
        <v>15</v>
      </c>
    </row>
    <row r="48" spans="2:14" x14ac:dyDescent="0.3">
      <c r="B48" t="s">
        <v>247</v>
      </c>
      <c r="C48">
        <v>5</v>
      </c>
      <c r="D48">
        <v>-50</v>
      </c>
      <c r="E48">
        <v>122</v>
      </c>
      <c r="F48">
        <v>-81</v>
      </c>
      <c r="G48">
        <v>23</v>
      </c>
      <c r="H48">
        <v>-91</v>
      </c>
      <c r="I48">
        <v>-140</v>
      </c>
      <c r="J48">
        <v>73</v>
      </c>
      <c r="K48">
        <v>72</v>
      </c>
      <c r="L48">
        <v>-207</v>
      </c>
      <c r="M48">
        <v>-153</v>
      </c>
      <c r="N48">
        <v>-21</v>
      </c>
    </row>
    <row r="49" spans="2:14" x14ac:dyDescent="0.3">
      <c r="B49" t="s">
        <v>248</v>
      </c>
      <c r="C49">
        <v>-61</v>
      </c>
      <c r="D49">
        <v>-61</v>
      </c>
      <c r="E49">
        <v>-71</v>
      </c>
      <c r="F49">
        <v>-84</v>
      </c>
      <c r="G49">
        <v>-79</v>
      </c>
      <c r="H49">
        <v>-111</v>
      </c>
      <c r="I49">
        <v>-120</v>
      </c>
      <c r="J49">
        <v>-99</v>
      </c>
      <c r="K49">
        <v>-103</v>
      </c>
      <c r="L49">
        <v>-133</v>
      </c>
      <c r="M49">
        <v>-163</v>
      </c>
      <c r="N49">
        <v>-210</v>
      </c>
    </row>
    <row r="50" spans="2:14" x14ac:dyDescent="0.3">
      <c r="B50" t="s">
        <v>265</v>
      </c>
      <c r="C50">
        <v>-205</v>
      </c>
      <c r="D50">
        <v>-122</v>
      </c>
      <c r="E50">
        <v>-136</v>
      </c>
      <c r="F50">
        <v>-75</v>
      </c>
      <c r="G50">
        <v>-72</v>
      </c>
      <c r="H50">
        <v>-75</v>
      </c>
      <c r="I50">
        <v>-85</v>
      </c>
      <c r="J50">
        <v>-105</v>
      </c>
      <c r="K50">
        <v>-266</v>
      </c>
      <c r="L50">
        <v>-465</v>
      </c>
      <c r="M50">
        <v>-248</v>
      </c>
      <c r="N50">
        <v>-229</v>
      </c>
    </row>
    <row r="51" spans="2:14" x14ac:dyDescent="0.3">
      <c r="B51" t="s">
        <v>249</v>
      </c>
      <c r="C51">
        <v>-214</v>
      </c>
      <c r="D51">
        <v>-78</v>
      </c>
      <c r="E51">
        <v>-78</v>
      </c>
      <c r="F51">
        <v>-149</v>
      </c>
      <c r="G51">
        <v>-117</v>
      </c>
      <c r="H51">
        <v>-94</v>
      </c>
      <c r="I51">
        <v>-96</v>
      </c>
      <c r="J51">
        <v>-129</v>
      </c>
      <c r="K51">
        <v>-106</v>
      </c>
      <c r="L51">
        <v>-561</v>
      </c>
      <c r="M51">
        <v>-302</v>
      </c>
      <c r="N51">
        <v>-235</v>
      </c>
    </row>
    <row r="52" spans="2:14" x14ac:dyDescent="0.3">
      <c r="B52" t="s">
        <v>250</v>
      </c>
      <c r="C52">
        <v>5</v>
      </c>
      <c r="D52">
        <v>6</v>
      </c>
      <c r="E52">
        <v>91</v>
      </c>
      <c r="F52">
        <v>67</v>
      </c>
      <c r="G52">
        <v>12</v>
      </c>
      <c r="H52">
        <v>2</v>
      </c>
      <c r="I52">
        <v>1</v>
      </c>
      <c r="J52">
        <v>7</v>
      </c>
      <c r="K52">
        <v>4</v>
      </c>
      <c r="L52">
        <v>1</v>
      </c>
      <c r="M52">
        <v>1</v>
      </c>
      <c r="N52">
        <v>1</v>
      </c>
    </row>
    <row r="53" spans="2:14" x14ac:dyDescent="0.3">
      <c r="B53" t="s">
        <v>251</v>
      </c>
      <c r="C53">
        <v>0</v>
      </c>
      <c r="D53">
        <v>-7</v>
      </c>
      <c r="E53">
        <v>0</v>
      </c>
      <c r="F53">
        <v>0</v>
      </c>
      <c r="G53">
        <v>0</v>
      </c>
      <c r="H53">
        <v>0</v>
      </c>
      <c r="I53">
        <v>0</v>
      </c>
      <c r="J53">
        <v>0</v>
      </c>
      <c r="K53">
        <v>-1</v>
      </c>
      <c r="L53">
        <v>0</v>
      </c>
      <c r="M53">
        <v>0</v>
      </c>
      <c r="N53">
        <v>0</v>
      </c>
    </row>
    <row r="54" spans="2:14" x14ac:dyDescent="0.3">
      <c r="B54" t="s">
        <v>252</v>
      </c>
      <c r="C54">
        <v>1</v>
      </c>
      <c r="D54">
        <v>0</v>
      </c>
      <c r="E54">
        <v>1</v>
      </c>
      <c r="F54">
        <v>0</v>
      </c>
      <c r="G54">
        <v>0</v>
      </c>
      <c r="H54">
        <v>0</v>
      </c>
      <c r="I54">
        <v>0</v>
      </c>
      <c r="J54">
        <v>0</v>
      </c>
      <c r="K54">
        <v>14</v>
      </c>
      <c r="L54">
        <v>0</v>
      </c>
      <c r="M54">
        <v>0</v>
      </c>
      <c r="N54">
        <v>4</v>
      </c>
    </row>
    <row r="55" spans="2:14" x14ac:dyDescent="0.3">
      <c r="B55" t="s">
        <v>253</v>
      </c>
      <c r="C55">
        <v>2</v>
      </c>
      <c r="D55">
        <v>3</v>
      </c>
      <c r="E55">
        <v>4</v>
      </c>
      <c r="F55">
        <v>5</v>
      </c>
      <c r="G55">
        <v>3</v>
      </c>
      <c r="H55">
        <v>4</v>
      </c>
      <c r="I55">
        <v>5</v>
      </c>
      <c r="J55">
        <v>7</v>
      </c>
      <c r="K55">
        <v>17</v>
      </c>
      <c r="L55">
        <v>19</v>
      </c>
      <c r="M55">
        <v>14</v>
      </c>
      <c r="N55">
        <v>17</v>
      </c>
    </row>
    <row r="56" spans="2:14" x14ac:dyDescent="0.3">
      <c r="B56" t="s">
        <v>254</v>
      </c>
      <c r="C56">
        <v>2</v>
      </c>
      <c r="D56">
        <v>2</v>
      </c>
      <c r="E56">
        <v>2</v>
      </c>
      <c r="F56">
        <v>7</v>
      </c>
      <c r="G56">
        <v>22</v>
      </c>
      <c r="H56">
        <v>14</v>
      </c>
      <c r="I56">
        <v>10</v>
      </c>
      <c r="J56">
        <v>22</v>
      </c>
      <c r="K56">
        <v>13</v>
      </c>
      <c r="L56">
        <v>18</v>
      </c>
      <c r="M56">
        <v>14</v>
      </c>
      <c r="N56">
        <v>25</v>
      </c>
    </row>
    <row r="57" spans="2:14" x14ac:dyDescent="0.3">
      <c r="B57" t="s">
        <v>255</v>
      </c>
      <c r="C57">
        <v>0</v>
      </c>
      <c r="D57">
        <v>0</v>
      </c>
      <c r="E57">
        <v>0</v>
      </c>
      <c r="F57">
        <v>0</v>
      </c>
      <c r="G57">
        <v>0</v>
      </c>
      <c r="H57">
        <v>0</v>
      </c>
      <c r="I57">
        <v>0</v>
      </c>
      <c r="J57">
        <v>0</v>
      </c>
      <c r="K57">
        <v>0</v>
      </c>
      <c r="L57">
        <v>-94</v>
      </c>
      <c r="M57">
        <v>0</v>
      </c>
      <c r="N57">
        <v>0</v>
      </c>
    </row>
    <row r="58" spans="2:14" x14ac:dyDescent="0.3">
      <c r="B58" t="s">
        <v>256</v>
      </c>
      <c r="C58">
        <v>0</v>
      </c>
      <c r="D58">
        <v>-48</v>
      </c>
      <c r="E58">
        <v>-156</v>
      </c>
      <c r="F58">
        <v>-5</v>
      </c>
      <c r="G58">
        <v>8</v>
      </c>
      <c r="H58">
        <v>0</v>
      </c>
      <c r="I58">
        <v>-5</v>
      </c>
      <c r="J58">
        <v>-12</v>
      </c>
      <c r="K58">
        <v>-205</v>
      </c>
      <c r="L58">
        <v>152</v>
      </c>
      <c r="M58">
        <v>25</v>
      </c>
      <c r="N58">
        <v>-41</v>
      </c>
    </row>
    <row r="59" spans="2:14" x14ac:dyDescent="0.3">
      <c r="B59" t="s">
        <v>266</v>
      </c>
      <c r="C59">
        <v>-29</v>
      </c>
      <c r="D59">
        <v>-37</v>
      </c>
      <c r="E59">
        <v>-162</v>
      </c>
      <c r="F59">
        <v>-86</v>
      </c>
      <c r="G59">
        <v>-207</v>
      </c>
      <c r="H59">
        <v>-83</v>
      </c>
      <c r="I59">
        <v>-109</v>
      </c>
      <c r="J59">
        <v>-135</v>
      </c>
      <c r="K59">
        <v>-66</v>
      </c>
      <c r="L59">
        <v>89</v>
      </c>
      <c r="M59">
        <v>-133</v>
      </c>
      <c r="N59">
        <v>-214</v>
      </c>
    </row>
    <row r="60" spans="2:14" x14ac:dyDescent="0.3">
      <c r="B60" t="s">
        <v>267</v>
      </c>
      <c r="C60">
        <v>1</v>
      </c>
      <c r="D60">
        <v>3</v>
      </c>
      <c r="E60">
        <v>5</v>
      </c>
      <c r="F60">
        <v>2</v>
      </c>
      <c r="G60">
        <v>3</v>
      </c>
      <c r="H60">
        <v>3</v>
      </c>
      <c r="I60">
        <v>3</v>
      </c>
      <c r="J60">
        <v>3</v>
      </c>
      <c r="K60">
        <v>3</v>
      </c>
      <c r="L60">
        <v>6</v>
      </c>
      <c r="M60">
        <v>3</v>
      </c>
      <c r="N60">
        <v>14</v>
      </c>
    </row>
    <row r="61" spans="2:14" x14ac:dyDescent="0.3">
      <c r="B61" t="s">
        <v>257</v>
      </c>
      <c r="C61">
        <v>69</v>
      </c>
      <c r="D61">
        <v>0</v>
      </c>
      <c r="E61">
        <v>0</v>
      </c>
      <c r="F61">
        <v>0</v>
      </c>
      <c r="G61">
        <v>0</v>
      </c>
      <c r="H61">
        <v>0</v>
      </c>
      <c r="I61">
        <v>0</v>
      </c>
      <c r="J61">
        <v>0</v>
      </c>
      <c r="K61">
        <v>0</v>
      </c>
      <c r="L61">
        <v>158</v>
      </c>
      <c r="M61">
        <v>26</v>
      </c>
      <c r="N61">
        <v>0</v>
      </c>
    </row>
    <row r="62" spans="2:14" x14ac:dyDescent="0.3">
      <c r="B62" t="s">
        <v>258</v>
      </c>
      <c r="C62">
        <v>-63</v>
      </c>
      <c r="D62">
        <v>-24</v>
      </c>
      <c r="E62">
        <v>-131</v>
      </c>
      <c r="F62">
        <v>-20</v>
      </c>
      <c r="G62">
        <v>-81</v>
      </c>
      <c r="H62">
        <v>-3</v>
      </c>
      <c r="I62">
        <v>-34</v>
      </c>
      <c r="J62">
        <v>-32</v>
      </c>
      <c r="K62">
        <v>-23</v>
      </c>
      <c r="L62">
        <v>0</v>
      </c>
      <c r="M62">
        <v>-57</v>
      </c>
      <c r="N62">
        <v>-119</v>
      </c>
    </row>
    <row r="63" spans="2:14" x14ac:dyDescent="0.3">
      <c r="B63" t="s">
        <v>259</v>
      </c>
      <c r="C63">
        <v>-27</v>
      </c>
      <c r="D63">
        <v>-28</v>
      </c>
      <c r="E63">
        <v>-25</v>
      </c>
      <c r="F63">
        <v>-23</v>
      </c>
      <c r="G63">
        <v>-18</v>
      </c>
      <c r="H63">
        <v>-9</v>
      </c>
      <c r="I63">
        <v>-8</v>
      </c>
      <c r="J63">
        <v>-6</v>
      </c>
      <c r="K63">
        <v>-4</v>
      </c>
      <c r="L63">
        <v>-6</v>
      </c>
      <c r="M63">
        <v>-22</v>
      </c>
      <c r="N63">
        <v>-15</v>
      </c>
    </row>
    <row r="64" spans="2:14" x14ac:dyDescent="0.3">
      <c r="B64" t="s">
        <v>260</v>
      </c>
      <c r="C64">
        <v>-39</v>
      </c>
      <c r="D64">
        <v>-33</v>
      </c>
      <c r="E64">
        <v>-25</v>
      </c>
      <c r="F64">
        <v>-45</v>
      </c>
      <c r="G64">
        <v>-26</v>
      </c>
      <c r="H64">
        <v>-41</v>
      </c>
      <c r="I64">
        <v>-60</v>
      </c>
      <c r="J64">
        <v>-84</v>
      </c>
      <c r="K64">
        <v>-38</v>
      </c>
      <c r="L64">
        <v>-65</v>
      </c>
      <c r="M64">
        <v>-77</v>
      </c>
      <c r="N64">
        <v>-79</v>
      </c>
    </row>
    <row r="65" spans="2:14" x14ac:dyDescent="0.3">
      <c r="B65" t="s">
        <v>261</v>
      </c>
      <c r="C65">
        <v>0</v>
      </c>
      <c r="D65">
        <v>0</v>
      </c>
      <c r="E65">
        <v>0</v>
      </c>
      <c r="F65">
        <v>0</v>
      </c>
      <c r="G65">
        <v>0</v>
      </c>
      <c r="H65">
        <v>0</v>
      </c>
      <c r="I65">
        <v>0</v>
      </c>
      <c r="J65">
        <v>-1</v>
      </c>
      <c r="K65">
        <v>-5</v>
      </c>
      <c r="L65">
        <v>-4</v>
      </c>
      <c r="M65">
        <v>-5</v>
      </c>
      <c r="N65">
        <v>-13</v>
      </c>
    </row>
    <row r="66" spans="2:14" x14ac:dyDescent="0.3">
      <c r="B66" t="s">
        <v>268</v>
      </c>
      <c r="C66">
        <v>0</v>
      </c>
      <c r="D66">
        <v>0</v>
      </c>
      <c r="E66">
        <v>0</v>
      </c>
      <c r="F66">
        <v>0</v>
      </c>
      <c r="G66">
        <v>0</v>
      </c>
      <c r="H66">
        <v>0</v>
      </c>
      <c r="I66">
        <v>0</v>
      </c>
      <c r="J66">
        <v>0</v>
      </c>
      <c r="K66">
        <v>0</v>
      </c>
      <c r="L66">
        <v>0</v>
      </c>
      <c r="M66">
        <v>0</v>
      </c>
      <c r="N66">
        <v>0</v>
      </c>
    </row>
    <row r="67" spans="2:14" x14ac:dyDescent="0.3">
      <c r="B67" t="s">
        <v>262</v>
      </c>
      <c r="C67">
        <v>30</v>
      </c>
      <c r="D67">
        <v>45</v>
      </c>
      <c r="E67">
        <v>15</v>
      </c>
      <c r="F67">
        <v>-1</v>
      </c>
      <c r="G67">
        <v>-86</v>
      </c>
      <c r="H67">
        <v>-33</v>
      </c>
      <c r="I67">
        <v>-10</v>
      </c>
      <c r="J67">
        <v>-14</v>
      </c>
      <c r="K67">
        <v>0</v>
      </c>
      <c r="L67">
        <v>0</v>
      </c>
      <c r="M67">
        <v>-1</v>
      </c>
      <c r="N67">
        <v>-1</v>
      </c>
    </row>
    <row r="68" spans="2:14" x14ac:dyDescent="0.3">
      <c r="B68" t="s">
        <v>21</v>
      </c>
      <c r="C68">
        <v>-39</v>
      </c>
      <c r="D68">
        <v>-6</v>
      </c>
      <c r="E68">
        <v>28</v>
      </c>
      <c r="F68">
        <v>17</v>
      </c>
      <c r="G68">
        <v>16</v>
      </c>
      <c r="H68">
        <v>55</v>
      </c>
      <c r="I68">
        <v>7</v>
      </c>
      <c r="J68">
        <v>168</v>
      </c>
      <c r="K68">
        <v>119</v>
      </c>
      <c r="L68">
        <v>-131</v>
      </c>
      <c r="M68">
        <v>49</v>
      </c>
      <c r="N68">
        <v>159</v>
      </c>
    </row>
  </sheetData>
  <mergeCells count="1">
    <mergeCell ref="C2:J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BED25-65B7-4E0F-8FD0-2801A20F1C17}">
  <sheetPr>
    <tabColor rgb="FFC00000"/>
  </sheetPr>
  <dimension ref="A1:J7"/>
  <sheetViews>
    <sheetView workbookViewId="0">
      <selection activeCell="G2" sqref="G2"/>
    </sheetView>
  </sheetViews>
  <sheetFormatPr defaultRowHeight="14.4" x14ac:dyDescent="0.3"/>
  <cols>
    <col min="1" max="1" width="12.33203125" bestFit="1" customWidth="1"/>
    <col min="2" max="2" width="16" bestFit="1" customWidth="1"/>
    <col min="3" max="3" width="8" bestFit="1" customWidth="1"/>
    <col min="4" max="4" width="15.6640625" bestFit="1" customWidth="1"/>
    <col min="5" max="5" width="13.21875" bestFit="1" customWidth="1"/>
    <col min="6" max="6" width="10.109375" bestFit="1" customWidth="1"/>
    <col min="7" max="7" width="13.6640625" bestFit="1" customWidth="1"/>
    <col min="8" max="8" width="10.33203125" bestFit="1" customWidth="1"/>
    <col min="9" max="9" width="14.77734375" bestFit="1" customWidth="1"/>
    <col min="10" max="10" width="12.109375" bestFit="1" customWidth="1"/>
  </cols>
  <sheetData>
    <row r="1" spans="1:10" x14ac:dyDescent="0.3">
      <c r="A1" t="s">
        <v>188</v>
      </c>
      <c r="B1" t="s">
        <v>189</v>
      </c>
      <c r="C1" t="s">
        <v>190</v>
      </c>
      <c r="D1" t="s">
        <v>191</v>
      </c>
      <c r="E1" t="s">
        <v>192</v>
      </c>
      <c r="F1" t="s">
        <v>193</v>
      </c>
      <c r="G1" t="s">
        <v>194</v>
      </c>
      <c r="H1" t="s">
        <v>195</v>
      </c>
      <c r="I1" t="s">
        <v>196</v>
      </c>
      <c r="J1" t="s">
        <v>197</v>
      </c>
    </row>
    <row r="2" spans="1:10" x14ac:dyDescent="0.3">
      <c r="A2">
        <v>1</v>
      </c>
      <c r="B2" t="s">
        <v>198</v>
      </c>
      <c r="C2">
        <v>1595.95</v>
      </c>
      <c r="D2">
        <v>19.03</v>
      </c>
      <c r="E2">
        <v>30481.22</v>
      </c>
      <c r="F2">
        <v>171.89</v>
      </c>
      <c r="G2">
        <v>557.91999999999996</v>
      </c>
      <c r="H2">
        <v>4696.51</v>
      </c>
      <c r="I2">
        <v>861.4</v>
      </c>
      <c r="J2">
        <v>476.18</v>
      </c>
    </row>
    <row r="3" spans="1:10" x14ac:dyDescent="0.3">
      <c r="A3">
        <v>2</v>
      </c>
      <c r="B3" t="s">
        <v>199</v>
      </c>
      <c r="C3">
        <v>2435</v>
      </c>
      <c r="D3">
        <v>11.07</v>
      </c>
      <c r="E3">
        <v>26909.53</v>
      </c>
      <c r="F3">
        <v>82.59</v>
      </c>
      <c r="G3">
        <v>213.05</v>
      </c>
      <c r="H3">
        <v>2724.02</v>
      </c>
      <c r="I3">
        <v>564.85</v>
      </c>
      <c r="J3">
        <v>383.96</v>
      </c>
    </row>
    <row r="4" spans="1:10" x14ac:dyDescent="0.3">
      <c r="A4">
        <v>3</v>
      </c>
      <c r="B4" t="s">
        <v>200</v>
      </c>
      <c r="C4">
        <v>14980</v>
      </c>
      <c r="D4">
        <v>0.2</v>
      </c>
      <c r="E4">
        <v>2973.16</v>
      </c>
      <c r="F4">
        <v>0</v>
      </c>
      <c r="G4">
        <v>18.04</v>
      </c>
      <c r="H4">
        <v>224.63</v>
      </c>
      <c r="I4">
        <v>58</v>
      </c>
      <c r="J4">
        <v>40.950000000000003</v>
      </c>
    </row>
    <row r="5" spans="1:10" x14ac:dyDescent="0.3">
      <c r="A5">
        <v>4</v>
      </c>
      <c r="B5" t="s">
        <v>201</v>
      </c>
      <c r="C5">
        <v>1600</v>
      </c>
      <c r="D5">
        <v>0.06</v>
      </c>
      <c r="E5">
        <v>102.4</v>
      </c>
      <c r="F5">
        <v>0</v>
      </c>
      <c r="G5">
        <v>3.82</v>
      </c>
      <c r="H5">
        <v>91.07</v>
      </c>
      <c r="I5">
        <v>7.86</v>
      </c>
      <c r="J5">
        <v>5.25</v>
      </c>
    </row>
    <row r="7" spans="1:10" x14ac:dyDescent="0.3">
      <c r="B7" s="122" t="s">
        <v>22</v>
      </c>
      <c r="C7" s="122"/>
      <c r="D7" s="122"/>
      <c r="E7" s="122"/>
      <c r="F7" s="122"/>
      <c r="G7" s="122"/>
      <c r="H7" s="122"/>
    </row>
  </sheetData>
  <mergeCells count="1">
    <mergeCell ref="B7:H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00000"/>
  </sheetPr>
  <dimension ref="A1:L93"/>
  <sheetViews>
    <sheetView zoomScaleNormal="100" zoomScalePageLayoutView="120" workbookViewId="0">
      <pane xSplit="1" ySplit="1" topLeftCell="B2" activePane="bottomRight" state="frozen"/>
      <selection activeCell="C4" sqref="C4"/>
      <selection pane="topRight" activeCell="C4" sqref="C4"/>
      <selection pane="bottomLeft" activeCell="C4" sqref="C4"/>
      <selection pane="bottomRight" activeCell="P16" sqref="P16"/>
    </sheetView>
  </sheetViews>
  <sheetFormatPr defaultColWidth="10.44140625" defaultRowHeight="13.2" x14ac:dyDescent="0.25"/>
  <cols>
    <col min="1" max="1" width="26.6640625" style="10" bestFit="1" customWidth="1"/>
    <col min="2" max="11" width="11.44140625" style="10" bestFit="1" customWidth="1"/>
    <col min="12" max="16384" width="10.44140625" style="10"/>
  </cols>
  <sheetData>
    <row r="1" spans="1:11" s="9" customFormat="1" x14ac:dyDescent="0.25">
      <c r="A1" s="9" t="s">
        <v>0</v>
      </c>
      <c r="B1" s="9" t="s">
        <v>34</v>
      </c>
      <c r="E1" s="123" t="str">
        <f>IF(B2&lt;&gt;B3, "A NEW VERSION OF THE WORKSHEET IS AVAILABLE", "")</f>
        <v/>
      </c>
      <c r="F1" s="123"/>
      <c r="G1" s="123"/>
      <c r="H1" s="123"/>
      <c r="I1" s="123"/>
      <c r="J1" s="123"/>
      <c r="K1" s="123"/>
    </row>
    <row r="2" spans="1:11" x14ac:dyDescent="0.25">
      <c r="A2" s="9" t="s">
        <v>32</v>
      </c>
      <c r="B2" s="10">
        <v>2.1</v>
      </c>
      <c r="E2" s="122" t="s">
        <v>22</v>
      </c>
      <c r="F2" s="122"/>
      <c r="G2" s="122"/>
      <c r="H2" s="122"/>
      <c r="I2" s="122"/>
      <c r="J2" s="122"/>
      <c r="K2" s="122"/>
    </row>
    <row r="3" spans="1:11" x14ac:dyDescent="0.25">
      <c r="A3" s="9" t="s">
        <v>33</v>
      </c>
      <c r="B3" s="10">
        <v>2.1</v>
      </c>
    </row>
    <row r="4" spans="1:11" x14ac:dyDescent="0.25">
      <c r="A4" s="9"/>
    </row>
    <row r="5" spans="1:11" x14ac:dyDescent="0.25">
      <c r="A5" s="9" t="s">
        <v>35</v>
      </c>
    </row>
    <row r="6" spans="1:11" x14ac:dyDescent="0.25">
      <c r="A6" s="10" t="s">
        <v>28</v>
      </c>
      <c r="B6" s="10">
        <f>IF(B9&gt;0, B9/B8, 0)</f>
        <v>19.047226875399751</v>
      </c>
    </row>
    <row r="7" spans="1:11" x14ac:dyDescent="0.25">
      <c r="A7" s="10" t="s">
        <v>17</v>
      </c>
      <c r="B7" s="11">
        <v>1</v>
      </c>
    </row>
    <row r="8" spans="1:11" x14ac:dyDescent="0.25">
      <c r="A8" s="10" t="s">
        <v>29</v>
      </c>
      <c r="B8" s="11">
        <v>1641.65</v>
      </c>
    </row>
    <row r="9" spans="1:11" x14ac:dyDescent="0.25">
      <c r="A9" s="10" t="s">
        <v>45</v>
      </c>
      <c r="B9" s="11">
        <v>31268.880000000001</v>
      </c>
    </row>
    <row r="15" spans="1:11" x14ac:dyDescent="0.25">
      <c r="A15" s="9" t="s">
        <v>23</v>
      </c>
      <c r="B15" s="10">
        <f>B26+B34</f>
        <v>440.84000000000003</v>
      </c>
      <c r="K15" s="10">
        <f>K17-K18-K20-K21-K22-K23-K19</f>
        <v>1054.7399999999993</v>
      </c>
    </row>
    <row r="16" spans="1:11" s="14" customFormat="1" x14ac:dyDescent="0.25">
      <c r="A16" s="12" t="s">
        <v>24</v>
      </c>
      <c r="B16" s="13">
        <v>42094</v>
      </c>
      <c r="C16" s="13">
        <v>42460</v>
      </c>
      <c r="D16" s="13">
        <v>42825</v>
      </c>
      <c r="E16" s="13">
        <v>43190</v>
      </c>
      <c r="F16" s="13">
        <v>43555</v>
      </c>
      <c r="G16" s="13">
        <v>43921</v>
      </c>
      <c r="H16" s="13">
        <v>44286</v>
      </c>
      <c r="I16" s="13">
        <v>44651</v>
      </c>
      <c r="J16" s="13">
        <v>45016</v>
      </c>
      <c r="K16" s="13">
        <v>45382</v>
      </c>
    </row>
    <row r="17" spans="1:11" x14ac:dyDescent="0.25">
      <c r="A17" s="10" t="s">
        <v>1</v>
      </c>
      <c r="B17" s="11">
        <v>2042.3</v>
      </c>
      <c r="C17" s="11">
        <v>1943.99</v>
      </c>
      <c r="D17" s="11">
        <v>2112.4899999999998</v>
      </c>
      <c r="E17" s="11">
        <v>2374.5</v>
      </c>
      <c r="F17" s="11">
        <v>2688.9</v>
      </c>
      <c r="G17" s="11">
        <v>2598.9699999999998</v>
      </c>
      <c r="H17" s="11">
        <v>2631.71</v>
      </c>
      <c r="I17" s="11">
        <v>3324.76</v>
      </c>
      <c r="J17" s="11">
        <v>4654.28</v>
      </c>
      <c r="K17" s="11">
        <v>4702.1899999999996</v>
      </c>
    </row>
    <row r="18" spans="1:11" ht="14.4" x14ac:dyDescent="0.3">
      <c r="A18" s="10" t="s">
        <v>46</v>
      </c>
      <c r="B18" s="15">
        <v>706.44</v>
      </c>
      <c r="C18" s="15">
        <v>680.28</v>
      </c>
      <c r="D18" s="15">
        <v>735.05</v>
      </c>
      <c r="E18" s="15">
        <v>780.56</v>
      </c>
      <c r="F18" s="15">
        <v>981.7</v>
      </c>
      <c r="G18" s="15">
        <v>916.49</v>
      </c>
      <c r="H18" s="15">
        <v>830.88</v>
      </c>
      <c r="I18" s="15">
        <v>1251.32</v>
      </c>
      <c r="J18" s="15">
        <v>1776.46</v>
      </c>
      <c r="K18" s="15">
        <v>1696.67</v>
      </c>
    </row>
    <row r="19" spans="1:11" ht="14.4" x14ac:dyDescent="0.3">
      <c r="A19" s="10" t="s">
        <v>47</v>
      </c>
      <c r="B19" s="15">
        <v>-11.19</v>
      </c>
      <c r="C19" s="15">
        <v>-1.34</v>
      </c>
      <c r="D19" s="15">
        <v>0.24</v>
      </c>
      <c r="E19" s="15">
        <v>-24.37</v>
      </c>
      <c r="F19" s="15">
        <v>26.74</v>
      </c>
      <c r="G19" s="15">
        <v>29.54</v>
      </c>
      <c r="H19" s="15">
        <v>-66.95</v>
      </c>
      <c r="I19" s="15">
        <v>93.56</v>
      </c>
      <c r="J19" s="15">
        <v>62.36</v>
      </c>
      <c r="K19" s="15">
        <v>-0.59</v>
      </c>
    </row>
    <row r="20" spans="1:11" x14ac:dyDescent="0.25">
      <c r="A20" s="10" t="s">
        <v>48</v>
      </c>
      <c r="B20" s="11">
        <v>303.56</v>
      </c>
      <c r="C20" s="11">
        <v>242.12</v>
      </c>
      <c r="D20" s="11">
        <v>252.52</v>
      </c>
      <c r="E20" s="11">
        <v>327.47000000000003</v>
      </c>
      <c r="F20" s="11">
        <v>378.61</v>
      </c>
      <c r="G20" s="11">
        <v>371.66</v>
      </c>
      <c r="H20" s="11">
        <v>363.1</v>
      </c>
      <c r="I20" s="11">
        <v>403.25</v>
      </c>
      <c r="J20" s="11">
        <v>508.46</v>
      </c>
      <c r="K20" s="11">
        <v>478.11</v>
      </c>
    </row>
    <row r="21" spans="1:11" x14ac:dyDescent="0.25">
      <c r="A21" s="10" t="s">
        <v>49</v>
      </c>
      <c r="B21" s="11">
        <v>265</v>
      </c>
      <c r="C21" s="11">
        <v>147.18</v>
      </c>
      <c r="D21" s="11">
        <v>164.19</v>
      </c>
      <c r="E21" s="11">
        <v>187.91</v>
      </c>
      <c r="F21" s="11">
        <v>210.97</v>
      </c>
      <c r="G21" s="11">
        <v>204.5</v>
      </c>
      <c r="H21" s="11">
        <v>190.97</v>
      </c>
      <c r="I21" s="11">
        <v>246.91</v>
      </c>
      <c r="J21" s="11">
        <v>312.61</v>
      </c>
      <c r="K21" s="11">
        <v>340</v>
      </c>
    </row>
    <row r="22" spans="1:11" x14ac:dyDescent="0.25">
      <c r="A22" s="10" t="s">
        <v>50</v>
      </c>
      <c r="B22" s="11">
        <v>276.77</v>
      </c>
      <c r="C22" s="11">
        <v>253.56</v>
      </c>
      <c r="D22" s="11">
        <v>275.14999999999998</v>
      </c>
      <c r="E22" s="11">
        <v>312.66000000000003</v>
      </c>
      <c r="F22" s="11">
        <v>329.05</v>
      </c>
      <c r="G22" s="11">
        <v>346.88</v>
      </c>
      <c r="H22" s="11">
        <v>349.11</v>
      </c>
      <c r="I22" s="11">
        <v>421.28</v>
      </c>
      <c r="J22" s="11">
        <v>694.31</v>
      </c>
      <c r="K22" s="11">
        <v>722.3</v>
      </c>
    </row>
    <row r="23" spans="1:11" x14ac:dyDescent="0.25">
      <c r="A23" s="10" t="s">
        <v>51</v>
      </c>
      <c r="B23" s="11">
        <v>182.29</v>
      </c>
      <c r="C23" s="11">
        <v>174</v>
      </c>
      <c r="D23" s="11">
        <v>293.87</v>
      </c>
      <c r="E23" s="11">
        <v>178.79</v>
      </c>
      <c r="F23" s="11">
        <v>192.67</v>
      </c>
      <c r="G23" s="11">
        <v>186.18</v>
      </c>
      <c r="H23" s="11">
        <v>168.99</v>
      </c>
      <c r="I23" s="11">
        <v>254.17</v>
      </c>
      <c r="J23" s="11">
        <v>432.74</v>
      </c>
      <c r="K23" s="11">
        <v>410.96</v>
      </c>
    </row>
    <row r="24" spans="1:11" x14ac:dyDescent="0.25">
      <c r="A24" s="10" t="s">
        <v>52</v>
      </c>
      <c r="B24" s="11">
        <v>62.67</v>
      </c>
      <c r="C24" s="11">
        <v>137.76</v>
      </c>
      <c r="D24" s="11">
        <v>56.35</v>
      </c>
      <c r="E24" s="11">
        <v>163.04</v>
      </c>
      <c r="F24" s="11">
        <v>183.53</v>
      </c>
      <c r="G24" s="11">
        <v>202.98</v>
      </c>
      <c r="H24" s="11">
        <v>195.65</v>
      </c>
      <c r="I24" s="11">
        <v>300.98</v>
      </c>
      <c r="J24" s="11">
        <v>336.93</v>
      </c>
      <c r="K24" s="11">
        <v>312.49</v>
      </c>
    </row>
    <row r="25" spans="1:11" x14ac:dyDescent="0.25">
      <c r="A25" s="10" t="s">
        <v>4</v>
      </c>
      <c r="B25" s="11">
        <v>111.74</v>
      </c>
      <c r="C25" s="11">
        <v>38.85</v>
      </c>
      <c r="D25" s="11">
        <v>40.869999999999997</v>
      </c>
      <c r="E25" s="11">
        <v>36.520000000000003</v>
      </c>
      <c r="F25" s="11">
        <v>46.42</v>
      </c>
      <c r="G25" s="11">
        <v>61.56</v>
      </c>
      <c r="H25" s="11">
        <v>31.6</v>
      </c>
      <c r="I25" s="11">
        <v>56.34</v>
      </c>
      <c r="J25" s="11">
        <v>135.65</v>
      </c>
      <c r="K25" s="11">
        <v>118.26</v>
      </c>
    </row>
    <row r="26" spans="1:11" x14ac:dyDescent="0.25">
      <c r="A26" s="10" t="s">
        <v>5</v>
      </c>
      <c r="B26" s="11">
        <v>100.37</v>
      </c>
      <c r="C26" s="11">
        <v>86.82</v>
      </c>
      <c r="D26" s="11">
        <v>96.48</v>
      </c>
      <c r="E26" s="11">
        <v>106</v>
      </c>
      <c r="F26" s="11">
        <v>108.27</v>
      </c>
      <c r="G26" s="11">
        <v>104.52</v>
      </c>
      <c r="H26" s="11">
        <v>99.45</v>
      </c>
      <c r="I26" s="11">
        <v>114.57</v>
      </c>
      <c r="J26" s="11">
        <v>187.34</v>
      </c>
      <c r="K26" s="11">
        <v>190.75</v>
      </c>
    </row>
    <row r="27" spans="1:11" ht="14.4" x14ac:dyDescent="0.3">
      <c r="A27" s="10" t="s">
        <v>6</v>
      </c>
      <c r="B27" s="11">
        <v>25.34</v>
      </c>
      <c r="C27" s="11">
        <v>22.91</v>
      </c>
      <c r="D27" s="11">
        <v>18.12</v>
      </c>
      <c r="E27" s="11">
        <v>8.61</v>
      </c>
      <c r="F27" s="11">
        <v>8.48</v>
      </c>
      <c r="G27" s="11">
        <v>6.33</v>
      </c>
      <c r="H27" s="11">
        <v>3.58</v>
      </c>
      <c r="I27" s="11">
        <v>5.64</v>
      </c>
      <c r="J27" s="15">
        <v>23.53</v>
      </c>
      <c r="K27" s="15">
        <v>18.34</v>
      </c>
    </row>
    <row r="28" spans="1:11" x14ac:dyDescent="0.25">
      <c r="A28" s="10" t="s">
        <v>7</v>
      </c>
      <c r="B28" s="11">
        <v>220.41</v>
      </c>
      <c r="C28" s="11">
        <v>236.87</v>
      </c>
      <c r="D28" s="11">
        <v>261.87</v>
      </c>
      <c r="E28" s="11">
        <v>321.61</v>
      </c>
      <c r="F28" s="11">
        <v>368.78</v>
      </c>
      <c r="G28" s="11">
        <v>350.53</v>
      </c>
      <c r="H28" s="11">
        <v>394.63</v>
      </c>
      <c r="I28" s="11">
        <v>476.54</v>
      </c>
      <c r="J28" s="11">
        <v>579.91</v>
      </c>
      <c r="K28" s="11">
        <v>650.24</v>
      </c>
    </row>
    <row r="29" spans="1:11" x14ac:dyDescent="0.25">
      <c r="A29" s="10" t="s">
        <v>8</v>
      </c>
      <c r="B29" s="11">
        <v>82.16</v>
      </c>
      <c r="C29" s="11">
        <v>81.41</v>
      </c>
      <c r="D29" s="11">
        <v>78.08</v>
      </c>
      <c r="E29" s="11">
        <v>102.02</v>
      </c>
      <c r="F29" s="11">
        <v>121.18</v>
      </c>
      <c r="G29" s="11">
        <v>75.55</v>
      </c>
      <c r="H29" s="11">
        <v>101.56</v>
      </c>
      <c r="I29" s="11">
        <v>126.53</v>
      </c>
      <c r="J29" s="11">
        <v>138.21</v>
      </c>
      <c r="K29" s="11">
        <v>174.07</v>
      </c>
    </row>
    <row r="30" spans="1:11" x14ac:dyDescent="0.25">
      <c r="A30" s="10" t="s">
        <v>9</v>
      </c>
      <c r="B30" s="11">
        <v>132.6</v>
      </c>
      <c r="C30" s="11">
        <v>144.1</v>
      </c>
      <c r="D30" s="11">
        <v>174.87</v>
      </c>
      <c r="E30" s="11">
        <v>215.6</v>
      </c>
      <c r="F30" s="11">
        <v>247.68</v>
      </c>
      <c r="G30" s="11">
        <v>272.42</v>
      </c>
      <c r="H30" s="11">
        <v>284.31</v>
      </c>
      <c r="I30" s="11">
        <v>333.36</v>
      </c>
      <c r="J30" s="11">
        <v>413.99</v>
      </c>
      <c r="K30" s="11">
        <v>461.25</v>
      </c>
    </row>
    <row r="31" spans="1:11" x14ac:dyDescent="0.25">
      <c r="A31" s="10" t="s">
        <v>36</v>
      </c>
      <c r="B31" s="11">
        <v>23.52</v>
      </c>
      <c r="C31" s="11">
        <v>28.26</v>
      </c>
      <c r="D31" s="11">
        <v>33.020000000000003</v>
      </c>
      <c r="E31" s="11">
        <v>42.52</v>
      </c>
      <c r="F31" s="11">
        <v>52.03</v>
      </c>
      <c r="G31" s="11">
        <v>52.08</v>
      </c>
      <c r="H31" s="11">
        <v>56.88</v>
      </c>
      <c r="I31" s="11">
        <v>66.459999999999994</v>
      </c>
      <c r="J31" s="11">
        <v>66.459999999999994</v>
      </c>
      <c r="K31" s="11">
        <v>76.12</v>
      </c>
    </row>
    <row r="32" spans="1:11" x14ac:dyDescent="0.25">
      <c r="A32" s="10" t="s">
        <v>72</v>
      </c>
      <c r="B32" s="16">
        <f>B29/B28</f>
        <v>0.37275985663082434</v>
      </c>
      <c r="C32" s="16">
        <f t="shared" ref="C32:K32" si="0">C29/C28</f>
        <v>0.34369063199223199</v>
      </c>
      <c r="D32" s="16">
        <f t="shared" si="0"/>
        <v>0.29816321075342728</v>
      </c>
      <c r="E32" s="16">
        <f t="shared" si="0"/>
        <v>0.3172165044619259</v>
      </c>
      <c r="F32" s="16">
        <f t="shared" si="0"/>
        <v>0.32859699549867133</v>
      </c>
      <c r="G32" s="16">
        <f t="shared" si="0"/>
        <v>0.21553076769463386</v>
      </c>
      <c r="H32" s="16">
        <f t="shared" si="0"/>
        <v>0.2573549907508299</v>
      </c>
      <c r="I32" s="16">
        <f t="shared" si="0"/>
        <v>0.26551810970747469</v>
      </c>
      <c r="J32" s="16">
        <f t="shared" si="0"/>
        <v>0.23833008570295394</v>
      </c>
      <c r="K32" s="16">
        <f t="shared" si="0"/>
        <v>0.26770115649606296</v>
      </c>
    </row>
    <row r="34" spans="1:11" x14ac:dyDescent="0.25">
      <c r="A34" s="10" t="s">
        <v>65</v>
      </c>
      <c r="B34" s="10">
        <f>+B30+B29+B27+B26</f>
        <v>340.47</v>
      </c>
      <c r="C34" s="10">
        <f t="shared" ref="C34:K34" si="1">+C30+C29+C27+C26</f>
        <v>335.24</v>
      </c>
      <c r="D34" s="10">
        <f t="shared" si="1"/>
        <v>367.55</v>
      </c>
      <c r="E34" s="10">
        <f t="shared" si="1"/>
        <v>432.23</v>
      </c>
      <c r="F34" s="10">
        <f t="shared" si="1"/>
        <v>485.61</v>
      </c>
      <c r="G34" s="10">
        <f t="shared" si="1"/>
        <v>458.82</v>
      </c>
      <c r="H34" s="10">
        <f t="shared" si="1"/>
        <v>488.9</v>
      </c>
      <c r="I34" s="10">
        <f t="shared" si="1"/>
        <v>580.09999999999991</v>
      </c>
      <c r="J34" s="10">
        <f t="shared" si="1"/>
        <v>763.07</v>
      </c>
      <c r="K34" s="10">
        <f t="shared" si="1"/>
        <v>844.41</v>
      </c>
    </row>
    <row r="40" spans="1:11" x14ac:dyDescent="0.25">
      <c r="A40" s="9" t="s">
        <v>25</v>
      </c>
    </row>
    <row r="41" spans="1:11" s="14" customFormat="1" x14ac:dyDescent="0.25">
      <c r="A41" s="12" t="s">
        <v>24</v>
      </c>
      <c r="B41" s="13">
        <v>44651</v>
      </c>
      <c r="C41" s="13">
        <v>44742</v>
      </c>
      <c r="D41" s="13">
        <v>44834</v>
      </c>
      <c r="E41" s="13">
        <v>44926</v>
      </c>
      <c r="F41" s="13">
        <v>45016</v>
      </c>
      <c r="G41" s="13">
        <v>45107</v>
      </c>
      <c r="H41" s="13">
        <v>45199</v>
      </c>
      <c r="I41" s="13">
        <v>45291</v>
      </c>
      <c r="J41" s="13">
        <v>45382</v>
      </c>
      <c r="K41" s="13">
        <v>45473</v>
      </c>
    </row>
    <row r="42" spans="1:11" x14ac:dyDescent="0.25">
      <c r="A42" s="10" t="s">
        <v>1</v>
      </c>
      <c r="B42" s="11">
        <v>869.29</v>
      </c>
      <c r="C42" s="11">
        <v>1139.83</v>
      </c>
      <c r="D42" s="11">
        <v>1127.77</v>
      </c>
      <c r="E42" s="11">
        <v>1187.07</v>
      </c>
      <c r="F42" s="11">
        <v>1199.6199999999999</v>
      </c>
      <c r="G42" s="11">
        <v>1203.22</v>
      </c>
      <c r="H42" s="11">
        <v>1146.3399999999999</v>
      </c>
      <c r="I42" s="11">
        <v>1151.44</v>
      </c>
      <c r="J42" s="11">
        <v>1201.19</v>
      </c>
      <c r="K42" s="11">
        <v>1197.54</v>
      </c>
    </row>
    <row r="43" spans="1:11" x14ac:dyDescent="0.25">
      <c r="A43" s="10" t="s">
        <v>2</v>
      </c>
      <c r="B43" s="11">
        <v>758.37</v>
      </c>
      <c r="C43" s="11">
        <v>1012.36</v>
      </c>
      <c r="D43" s="11">
        <v>964.74</v>
      </c>
      <c r="E43" s="11">
        <v>1016.04</v>
      </c>
      <c r="F43" s="11">
        <v>1009.29</v>
      </c>
      <c r="G43" s="11">
        <v>1033.81</v>
      </c>
      <c r="H43" s="11">
        <v>978.82</v>
      </c>
      <c r="I43" s="11">
        <v>959.97</v>
      </c>
      <c r="J43" s="11">
        <v>991.76</v>
      </c>
      <c r="K43" s="11">
        <v>1003.97</v>
      </c>
    </row>
    <row r="44" spans="1:11" x14ac:dyDescent="0.25">
      <c r="A44" s="10" t="s">
        <v>4</v>
      </c>
      <c r="B44" s="11">
        <v>18.48</v>
      </c>
      <c r="C44" s="11">
        <v>31.88</v>
      </c>
      <c r="D44" s="11">
        <v>17.62</v>
      </c>
      <c r="E44" s="11">
        <v>30.29</v>
      </c>
      <c r="F44" s="11">
        <v>59.13</v>
      </c>
      <c r="G44" s="11">
        <v>41.03</v>
      </c>
      <c r="H44" s="11">
        <v>30.82</v>
      </c>
      <c r="I44" s="11">
        <v>24.83</v>
      </c>
      <c r="J44" s="11">
        <v>24.83</v>
      </c>
      <c r="K44" s="11">
        <v>18.88</v>
      </c>
    </row>
    <row r="45" spans="1:11" x14ac:dyDescent="0.25">
      <c r="A45" s="10" t="s">
        <v>5</v>
      </c>
      <c r="B45" s="11">
        <v>34.32</v>
      </c>
      <c r="C45" s="11">
        <v>42.83</v>
      </c>
      <c r="D45" s="11">
        <v>44.5</v>
      </c>
      <c r="E45" s="11">
        <v>47.32</v>
      </c>
      <c r="F45" s="11">
        <v>52.69</v>
      </c>
      <c r="G45" s="11">
        <v>45.74</v>
      </c>
      <c r="H45" s="11">
        <v>45.86</v>
      </c>
      <c r="I45" s="11">
        <v>48.16</v>
      </c>
      <c r="J45" s="11">
        <v>50.99</v>
      </c>
      <c r="K45" s="11">
        <v>51.41</v>
      </c>
    </row>
    <row r="46" spans="1:11" ht="14.4" x14ac:dyDescent="0.3">
      <c r="A46" s="10" t="s">
        <v>6</v>
      </c>
      <c r="B46" s="15">
        <v>2.37</v>
      </c>
      <c r="C46" s="15">
        <v>4.46</v>
      </c>
      <c r="D46" s="15">
        <v>5.05</v>
      </c>
      <c r="E46" s="15">
        <v>6.82</v>
      </c>
      <c r="F46" s="15">
        <v>7.2</v>
      </c>
      <c r="G46" s="15">
        <v>5.16</v>
      </c>
      <c r="H46" s="15">
        <v>4.87</v>
      </c>
      <c r="I46" s="15">
        <v>4.72</v>
      </c>
      <c r="J46" s="15">
        <v>3.59</v>
      </c>
      <c r="K46" s="15">
        <v>3.31</v>
      </c>
    </row>
    <row r="47" spans="1:11" x14ac:dyDescent="0.25">
      <c r="A47" s="10" t="s">
        <v>7</v>
      </c>
      <c r="B47" s="11">
        <v>92.71</v>
      </c>
      <c r="C47" s="11">
        <v>112.06</v>
      </c>
      <c r="D47" s="11">
        <v>131.1</v>
      </c>
      <c r="E47" s="11">
        <v>147.18</v>
      </c>
      <c r="F47" s="11">
        <v>189.57</v>
      </c>
      <c r="G47" s="11">
        <v>159.54</v>
      </c>
      <c r="H47" s="11">
        <v>147.61000000000001</v>
      </c>
      <c r="I47" s="11">
        <v>163.41999999999999</v>
      </c>
      <c r="J47" s="11">
        <v>179.68</v>
      </c>
      <c r="K47" s="11">
        <v>157.72999999999999</v>
      </c>
    </row>
    <row r="48" spans="1:11" x14ac:dyDescent="0.25">
      <c r="A48" s="10" t="s">
        <v>8</v>
      </c>
      <c r="B48" s="11">
        <v>34.299999999999997</v>
      </c>
      <c r="C48" s="11">
        <v>26.07</v>
      </c>
      <c r="D48" s="11">
        <v>37.409999999999997</v>
      </c>
      <c r="E48" s="11">
        <v>33.950000000000003</v>
      </c>
      <c r="F48" s="11">
        <v>40.78</v>
      </c>
      <c r="G48" s="11">
        <v>41.78</v>
      </c>
      <c r="H48" s="11">
        <v>43.73</v>
      </c>
      <c r="I48" s="11">
        <v>51.44</v>
      </c>
      <c r="J48" s="11">
        <v>37.119999999999997</v>
      </c>
      <c r="K48" s="11">
        <v>42.89</v>
      </c>
    </row>
    <row r="49" spans="1:11" x14ac:dyDescent="0.25">
      <c r="A49" s="10" t="s">
        <v>9</v>
      </c>
      <c r="B49" s="11">
        <v>57.03</v>
      </c>
      <c r="C49" s="11">
        <v>78.77</v>
      </c>
      <c r="D49" s="11">
        <v>88.99</v>
      </c>
      <c r="E49" s="11">
        <v>109.11</v>
      </c>
      <c r="F49" s="11">
        <v>137.12</v>
      </c>
      <c r="G49" s="11">
        <v>113.23</v>
      </c>
      <c r="H49" s="11">
        <v>101.88</v>
      </c>
      <c r="I49" s="11">
        <v>111.3</v>
      </c>
      <c r="J49" s="11">
        <v>134.84</v>
      </c>
      <c r="K49" s="11">
        <v>112.96</v>
      </c>
    </row>
    <row r="50" spans="1:11" x14ac:dyDescent="0.25">
      <c r="A50" s="10" t="s">
        <v>3</v>
      </c>
      <c r="B50" s="11">
        <v>110.92</v>
      </c>
      <c r="C50" s="11">
        <v>127.47</v>
      </c>
      <c r="D50" s="11">
        <v>163.03</v>
      </c>
      <c r="E50" s="11">
        <v>171.03</v>
      </c>
      <c r="F50" s="11">
        <v>190.33</v>
      </c>
      <c r="G50" s="11">
        <v>169.41</v>
      </c>
      <c r="H50" s="11">
        <v>167.52</v>
      </c>
      <c r="I50" s="11">
        <v>191.47</v>
      </c>
      <c r="J50" s="11">
        <v>209.43</v>
      </c>
      <c r="K50" s="11">
        <v>193.57</v>
      </c>
    </row>
    <row r="51" spans="1:11" x14ac:dyDescent="0.25">
      <c r="A51" s="10" t="s">
        <v>65</v>
      </c>
      <c r="B51" s="10">
        <f>B49+B48+B46+B45</f>
        <v>128.02000000000001</v>
      </c>
      <c r="C51" s="10">
        <f t="shared" ref="C51:K51" si="2">C49+C48+C46+C45</f>
        <v>152.13</v>
      </c>
      <c r="D51" s="10">
        <f t="shared" si="2"/>
        <v>175.95</v>
      </c>
      <c r="E51" s="10">
        <f t="shared" si="2"/>
        <v>197.2</v>
      </c>
      <c r="F51" s="10">
        <f t="shared" si="2"/>
        <v>237.79</v>
      </c>
      <c r="G51" s="10">
        <f t="shared" si="2"/>
        <v>205.91</v>
      </c>
      <c r="H51" s="10">
        <f t="shared" si="2"/>
        <v>196.33999999999997</v>
      </c>
      <c r="I51" s="10">
        <f t="shared" si="2"/>
        <v>215.62</v>
      </c>
      <c r="J51" s="10">
        <f t="shared" si="2"/>
        <v>226.54000000000002</v>
      </c>
      <c r="K51" s="10">
        <f t="shared" si="2"/>
        <v>210.57</v>
      </c>
    </row>
    <row r="55" spans="1:11" x14ac:dyDescent="0.25">
      <c r="A55" s="9" t="s">
        <v>26</v>
      </c>
    </row>
    <row r="56" spans="1:11" s="14" customFormat="1" x14ac:dyDescent="0.25">
      <c r="A56" s="12" t="s">
        <v>24</v>
      </c>
      <c r="B56" s="13">
        <v>42094</v>
      </c>
      <c r="C56" s="13">
        <v>42460</v>
      </c>
      <c r="D56" s="13">
        <v>42825</v>
      </c>
      <c r="E56" s="13">
        <v>43190</v>
      </c>
      <c r="F56" s="13">
        <v>43555</v>
      </c>
      <c r="G56" s="13">
        <v>43921</v>
      </c>
      <c r="H56" s="13">
        <v>44286</v>
      </c>
      <c r="I56" s="13">
        <v>44651</v>
      </c>
      <c r="J56" s="13">
        <v>45016</v>
      </c>
      <c r="K56" s="13">
        <v>45382</v>
      </c>
    </row>
    <row r="57" spans="1:11" x14ac:dyDescent="0.25">
      <c r="A57" s="10" t="s">
        <v>11</v>
      </c>
      <c r="B57" s="11">
        <v>18.82</v>
      </c>
      <c r="C57" s="11">
        <v>18.84</v>
      </c>
      <c r="D57" s="11">
        <v>18.87</v>
      </c>
      <c r="E57" s="11">
        <v>18.899999999999999</v>
      </c>
      <c r="F57" s="11">
        <v>18.920000000000002</v>
      </c>
      <c r="G57" s="11">
        <v>18.940000000000001</v>
      </c>
      <c r="H57" s="11">
        <v>18.96</v>
      </c>
      <c r="I57" s="11">
        <v>18.989999999999998</v>
      </c>
      <c r="J57" s="11">
        <v>18.989999999999998</v>
      </c>
      <c r="K57" s="11">
        <v>19.03</v>
      </c>
    </row>
    <row r="58" spans="1:11" x14ac:dyDescent="0.25">
      <c r="A58" s="10" t="s">
        <v>12</v>
      </c>
      <c r="B58" s="11">
        <v>1069.8900000000001</v>
      </c>
      <c r="C58" s="11">
        <v>1173.42</v>
      </c>
      <c r="D58" s="11">
        <v>1363.92</v>
      </c>
      <c r="E58" s="11">
        <v>1545.45</v>
      </c>
      <c r="F58" s="11">
        <v>1705.19</v>
      </c>
      <c r="G58" s="11">
        <v>1839.41</v>
      </c>
      <c r="H58" s="11">
        <v>2112.5100000000002</v>
      </c>
      <c r="I58" s="11">
        <v>2344.79</v>
      </c>
      <c r="J58" s="11">
        <v>2801.57</v>
      </c>
      <c r="K58" s="11">
        <v>3106.68</v>
      </c>
    </row>
    <row r="59" spans="1:11" ht="14.4" x14ac:dyDescent="0.3">
      <c r="A59" s="10" t="s">
        <v>37</v>
      </c>
      <c r="B59" s="15">
        <v>340.17</v>
      </c>
      <c r="C59" s="15">
        <v>319.86</v>
      </c>
      <c r="D59" s="15">
        <v>155.94999999999999</v>
      </c>
      <c r="E59" s="15">
        <v>129.36000000000001</v>
      </c>
      <c r="F59" s="15">
        <v>96.75</v>
      </c>
      <c r="G59" s="15">
        <v>70.34</v>
      </c>
      <c r="H59" s="15">
        <v>61.72</v>
      </c>
      <c r="I59" s="15">
        <v>239.99</v>
      </c>
      <c r="J59" s="15">
        <v>277.26</v>
      </c>
      <c r="K59" s="15">
        <v>171.89</v>
      </c>
    </row>
    <row r="60" spans="1:11" x14ac:dyDescent="0.25">
      <c r="A60" s="10" t="s">
        <v>38</v>
      </c>
      <c r="B60" s="11">
        <v>386.78</v>
      </c>
      <c r="C60" s="11">
        <v>347.94</v>
      </c>
      <c r="D60" s="11">
        <v>374.49</v>
      </c>
      <c r="E60" s="11">
        <v>393.85</v>
      </c>
      <c r="F60" s="11">
        <v>401.07</v>
      </c>
      <c r="G60" s="11">
        <v>353.82</v>
      </c>
      <c r="H60" s="11">
        <v>485.67</v>
      </c>
      <c r="I60" s="11">
        <v>692.14</v>
      </c>
      <c r="J60" s="11">
        <v>774.09</v>
      </c>
      <c r="K60" s="11">
        <v>793.47</v>
      </c>
    </row>
    <row r="61" spans="1:11" s="9" customFormat="1" x14ac:dyDescent="0.25">
      <c r="A61" s="9" t="s">
        <v>13</v>
      </c>
      <c r="B61" s="11">
        <v>1815.66</v>
      </c>
      <c r="C61" s="11">
        <v>1860.06</v>
      </c>
      <c r="D61" s="11">
        <v>1913.23</v>
      </c>
      <c r="E61" s="11">
        <v>2087.56</v>
      </c>
      <c r="F61" s="11">
        <v>2221.9299999999998</v>
      </c>
      <c r="G61" s="11">
        <v>2282.5100000000002</v>
      </c>
      <c r="H61" s="11">
        <v>2678.86</v>
      </c>
      <c r="I61" s="11">
        <v>3295.91</v>
      </c>
      <c r="J61" s="11">
        <v>3871.91</v>
      </c>
      <c r="K61" s="11">
        <v>4091.07</v>
      </c>
    </row>
    <row r="62" spans="1:11" x14ac:dyDescent="0.25">
      <c r="A62" s="10" t="s">
        <v>14</v>
      </c>
      <c r="B62" s="11">
        <v>792.72</v>
      </c>
      <c r="C62" s="11">
        <v>659.14</v>
      </c>
      <c r="D62" s="11">
        <v>704.81</v>
      </c>
      <c r="E62" s="11">
        <v>735.65</v>
      </c>
      <c r="F62" s="11">
        <v>695.02</v>
      </c>
      <c r="G62" s="11">
        <v>748.37</v>
      </c>
      <c r="H62" s="11">
        <v>777.13</v>
      </c>
      <c r="I62" s="11">
        <v>1006.13</v>
      </c>
      <c r="J62" s="11">
        <v>1526.74</v>
      </c>
      <c r="K62" s="11">
        <v>1555.03</v>
      </c>
    </row>
    <row r="63" spans="1:11" x14ac:dyDescent="0.25">
      <c r="A63" s="10" t="s">
        <v>15</v>
      </c>
      <c r="B63" s="11">
        <v>43.32</v>
      </c>
      <c r="C63" s="11">
        <v>84.54</v>
      </c>
      <c r="D63" s="11">
        <v>72.599999999999994</v>
      </c>
      <c r="E63" s="11">
        <v>30.28</v>
      </c>
      <c r="F63" s="11">
        <v>46.39</v>
      </c>
      <c r="G63" s="11">
        <v>38.65</v>
      </c>
      <c r="H63" s="11">
        <v>28.02</v>
      </c>
      <c r="I63" s="11">
        <v>57.7</v>
      </c>
      <c r="J63" s="11">
        <v>87.47</v>
      </c>
      <c r="K63" s="11">
        <v>84.07</v>
      </c>
    </row>
    <row r="64" spans="1:11" ht="14.4" x14ac:dyDescent="0.3">
      <c r="A64" s="10" t="s">
        <v>16</v>
      </c>
      <c r="B64" s="11">
        <v>41.13</v>
      </c>
      <c r="C64" s="15">
        <v>131.01</v>
      </c>
      <c r="D64" s="11">
        <v>124.46</v>
      </c>
      <c r="E64" s="11">
        <v>180.29</v>
      </c>
      <c r="F64" s="11">
        <v>226.52</v>
      </c>
      <c r="G64" s="11">
        <v>188.69</v>
      </c>
      <c r="H64" s="11">
        <v>127.05</v>
      </c>
      <c r="I64" s="11">
        <v>137.82</v>
      </c>
      <c r="J64" s="11">
        <v>161.22999999999999</v>
      </c>
      <c r="K64" s="11">
        <v>171.57</v>
      </c>
    </row>
    <row r="65" spans="1:11" x14ac:dyDescent="0.25">
      <c r="A65" s="10" t="s">
        <v>39</v>
      </c>
      <c r="B65" s="11">
        <v>938.49</v>
      </c>
      <c r="C65" s="11">
        <v>985.37</v>
      </c>
      <c r="D65" s="11">
        <v>1011.36</v>
      </c>
      <c r="E65" s="11">
        <v>1141.3399999999999</v>
      </c>
      <c r="F65" s="11">
        <v>1254</v>
      </c>
      <c r="G65" s="11">
        <v>1306.8</v>
      </c>
      <c r="H65" s="11">
        <v>1746.66</v>
      </c>
      <c r="I65" s="11">
        <v>2094.2600000000002</v>
      </c>
      <c r="J65" s="11">
        <v>2096.4699999999998</v>
      </c>
      <c r="K65" s="11">
        <v>2280.4</v>
      </c>
    </row>
    <row r="66" spans="1:11" s="9" customFormat="1" x14ac:dyDescent="0.25">
      <c r="A66" s="9" t="s">
        <v>13</v>
      </c>
      <c r="B66" s="11">
        <v>1815.66</v>
      </c>
      <c r="C66" s="11">
        <v>1860.06</v>
      </c>
      <c r="D66" s="11">
        <v>1913.23</v>
      </c>
      <c r="E66" s="11">
        <v>2087.56</v>
      </c>
      <c r="F66" s="11">
        <v>2221.9299999999998</v>
      </c>
      <c r="G66" s="11">
        <v>2282.5100000000002</v>
      </c>
      <c r="H66" s="11">
        <v>2678.86</v>
      </c>
      <c r="I66" s="11">
        <v>3295.91</v>
      </c>
      <c r="J66" s="11">
        <v>3871.91</v>
      </c>
      <c r="K66" s="11">
        <v>4091.07</v>
      </c>
    </row>
    <row r="67" spans="1:11" x14ac:dyDescent="0.25">
      <c r="A67" s="10" t="s">
        <v>44</v>
      </c>
      <c r="B67" s="11">
        <v>370.29</v>
      </c>
      <c r="C67" s="11">
        <v>367.48</v>
      </c>
      <c r="D67" s="11">
        <v>380.58</v>
      </c>
      <c r="E67" s="11">
        <v>475.06</v>
      </c>
      <c r="F67" s="11">
        <v>513.91999999999996</v>
      </c>
      <c r="G67" s="11">
        <v>401.56</v>
      </c>
      <c r="H67" s="11">
        <v>477.62</v>
      </c>
      <c r="I67" s="11">
        <v>484.77</v>
      </c>
      <c r="J67" s="11">
        <v>627.38</v>
      </c>
      <c r="K67" s="11">
        <v>679.04</v>
      </c>
    </row>
    <row r="68" spans="1:11" ht="14.4" x14ac:dyDescent="0.3">
      <c r="A68" s="10" t="s">
        <v>30</v>
      </c>
      <c r="B68" s="15">
        <v>388.33</v>
      </c>
      <c r="C68" s="15">
        <v>370.43</v>
      </c>
      <c r="D68" s="15">
        <v>386.7</v>
      </c>
      <c r="E68" s="15">
        <v>438.02</v>
      </c>
      <c r="F68" s="15">
        <v>532.86</v>
      </c>
      <c r="G68" s="15">
        <v>507.62</v>
      </c>
      <c r="H68" s="15">
        <v>460.52</v>
      </c>
      <c r="I68" s="15">
        <v>690.9</v>
      </c>
      <c r="J68" s="15">
        <v>898.93</v>
      </c>
      <c r="K68" s="15">
        <v>850.17</v>
      </c>
    </row>
    <row r="69" spans="1:11" x14ac:dyDescent="0.25">
      <c r="A69" s="10" t="s">
        <v>53</v>
      </c>
      <c r="B69" s="11">
        <v>99.17</v>
      </c>
      <c r="C69" s="11">
        <v>113.25</v>
      </c>
      <c r="D69" s="11">
        <v>126.06</v>
      </c>
      <c r="E69" s="11">
        <v>128.91</v>
      </c>
      <c r="F69" s="11">
        <v>97.51</v>
      </c>
      <c r="G69" s="11">
        <v>293.98</v>
      </c>
      <c r="H69" s="11">
        <v>688.95</v>
      </c>
      <c r="I69" s="11">
        <v>351.57</v>
      </c>
      <c r="J69" s="11">
        <v>400.11</v>
      </c>
      <c r="K69" s="11">
        <v>557.91999999999996</v>
      </c>
    </row>
    <row r="70" spans="1:11" x14ac:dyDescent="0.25">
      <c r="A70" s="10" t="s">
        <v>40</v>
      </c>
      <c r="B70" s="11">
        <v>188179042</v>
      </c>
      <c r="C70" s="11">
        <v>188379560</v>
      </c>
      <c r="D70" s="11">
        <v>188658090</v>
      </c>
      <c r="E70" s="11">
        <v>188955751</v>
      </c>
      <c r="F70" s="11">
        <v>189154175</v>
      </c>
      <c r="G70" s="11">
        <v>189412196</v>
      </c>
      <c r="H70" s="11">
        <v>189590839</v>
      </c>
      <c r="I70" s="11">
        <v>189856703</v>
      </c>
      <c r="J70" s="11">
        <v>189943974</v>
      </c>
      <c r="K70" s="11">
        <v>190257608</v>
      </c>
    </row>
    <row r="71" spans="1:11" ht="13.8" x14ac:dyDescent="0.25">
      <c r="A71" s="10" t="s">
        <v>41</v>
      </c>
      <c r="B71" s="17"/>
      <c r="C71" s="17"/>
      <c r="G71" s="17"/>
      <c r="H71" s="17"/>
    </row>
    <row r="72" spans="1:11" x14ac:dyDescent="0.25">
      <c r="A72" s="10" t="s">
        <v>54</v>
      </c>
      <c r="B72" s="11">
        <v>1</v>
      </c>
      <c r="C72" s="11">
        <v>1</v>
      </c>
      <c r="D72" s="11">
        <v>1</v>
      </c>
      <c r="E72" s="11">
        <v>1</v>
      </c>
      <c r="F72" s="11">
        <v>1</v>
      </c>
      <c r="G72" s="11">
        <v>1</v>
      </c>
      <c r="H72" s="11">
        <v>1</v>
      </c>
      <c r="I72" s="11">
        <v>1</v>
      </c>
      <c r="J72" s="11">
        <v>1</v>
      </c>
      <c r="K72" s="11">
        <v>1</v>
      </c>
    </row>
    <row r="73" spans="1:11" x14ac:dyDescent="0.25">
      <c r="H73" s="10">
        <f>H62-G62+H45</f>
        <v>74.61999999999999</v>
      </c>
      <c r="I73" s="10">
        <f t="shared" ref="I73:K73" si="3">I62-H62+I45</f>
        <v>277.15999999999997</v>
      </c>
      <c r="J73" s="10">
        <f t="shared" si="3"/>
        <v>571.6</v>
      </c>
      <c r="K73" s="10">
        <f t="shared" si="3"/>
        <v>79.69999999999996</v>
      </c>
    </row>
    <row r="80" spans="1:11" x14ac:dyDescent="0.25">
      <c r="A80" s="9" t="s">
        <v>27</v>
      </c>
    </row>
    <row r="81" spans="1:12" s="14" customFormat="1" x14ac:dyDescent="0.25">
      <c r="A81" s="12" t="s">
        <v>24</v>
      </c>
      <c r="B81" s="13">
        <v>42094</v>
      </c>
      <c r="C81" s="13">
        <v>42460</v>
      </c>
      <c r="D81" s="13">
        <v>42825</v>
      </c>
      <c r="E81" s="13">
        <v>43190</v>
      </c>
      <c r="F81" s="13">
        <v>43555</v>
      </c>
      <c r="G81" s="13">
        <v>43921</v>
      </c>
      <c r="H81" s="13">
        <v>44286</v>
      </c>
      <c r="I81" s="13">
        <v>44651</v>
      </c>
      <c r="J81" s="13">
        <v>45016</v>
      </c>
      <c r="K81" s="13">
        <v>45382</v>
      </c>
      <c r="L81" s="13"/>
    </row>
    <row r="82" spans="1:12" s="9" customFormat="1" x14ac:dyDescent="0.25">
      <c r="A82" s="10" t="s">
        <v>18</v>
      </c>
      <c r="B82" s="11">
        <v>325.76</v>
      </c>
      <c r="C82" s="11">
        <v>177.76</v>
      </c>
      <c r="D82" s="11">
        <v>295.26</v>
      </c>
      <c r="E82" s="11">
        <v>212.98</v>
      </c>
      <c r="F82" s="11">
        <v>201.83</v>
      </c>
      <c r="G82" s="11">
        <v>406.86</v>
      </c>
      <c r="H82" s="11">
        <v>450.76</v>
      </c>
      <c r="I82" s="11">
        <v>244.53</v>
      </c>
      <c r="J82" s="11">
        <v>430.17</v>
      </c>
      <c r="K82" s="11">
        <v>601.51</v>
      </c>
    </row>
    <row r="83" spans="1:12" x14ac:dyDescent="0.25">
      <c r="A83" s="10" t="s">
        <v>19</v>
      </c>
      <c r="B83" s="11">
        <v>-136.08000000000001</v>
      </c>
      <c r="C83" s="11">
        <v>-75.11</v>
      </c>
      <c r="D83" s="11">
        <v>-71.95</v>
      </c>
      <c r="E83" s="11">
        <v>-74.86</v>
      </c>
      <c r="F83" s="11">
        <v>-85.3</v>
      </c>
      <c r="G83" s="11">
        <v>-104.8</v>
      </c>
      <c r="H83" s="11">
        <v>-265.81</v>
      </c>
      <c r="I83" s="11">
        <v>-464.78</v>
      </c>
      <c r="J83" s="11">
        <v>-247.89</v>
      </c>
      <c r="K83" s="11">
        <v>-228.99</v>
      </c>
    </row>
    <row r="84" spans="1:12" x14ac:dyDescent="0.25">
      <c r="A84" s="10" t="s">
        <v>20</v>
      </c>
      <c r="B84" s="11">
        <v>-161.51</v>
      </c>
      <c r="C84" s="11">
        <v>-85.59</v>
      </c>
      <c r="D84" s="11">
        <v>-207.1</v>
      </c>
      <c r="E84" s="11">
        <v>-83.24</v>
      </c>
      <c r="F84" s="11">
        <v>-109.15</v>
      </c>
      <c r="G84" s="11">
        <v>-134.55000000000001</v>
      </c>
      <c r="H84" s="11">
        <v>-66.19</v>
      </c>
      <c r="I84" s="11">
        <v>89.43</v>
      </c>
      <c r="J84" s="11">
        <v>-133.41</v>
      </c>
      <c r="K84" s="11">
        <v>-214.01</v>
      </c>
    </row>
    <row r="85" spans="1:12" s="9" customFormat="1" x14ac:dyDescent="0.25">
      <c r="A85" s="10" t="s">
        <v>21</v>
      </c>
      <c r="B85" s="11">
        <v>28.18</v>
      </c>
      <c r="C85" s="11">
        <v>17.059999999999999</v>
      </c>
      <c r="D85" s="11">
        <v>16.22</v>
      </c>
      <c r="E85" s="11">
        <v>54.88</v>
      </c>
      <c r="F85" s="11">
        <v>7.38</v>
      </c>
      <c r="G85" s="11">
        <v>167.51</v>
      </c>
      <c r="H85" s="11">
        <v>118.76</v>
      </c>
      <c r="I85" s="11">
        <v>-130.82</v>
      </c>
      <c r="J85" s="11">
        <v>48.87</v>
      </c>
      <c r="K85" s="11">
        <v>158.51</v>
      </c>
    </row>
    <row r="90" spans="1:12" s="9" customFormat="1" x14ac:dyDescent="0.25">
      <c r="A90" s="9" t="s">
        <v>43</v>
      </c>
      <c r="B90" s="11">
        <v>190.2</v>
      </c>
      <c r="C90" s="11">
        <v>175.45</v>
      </c>
      <c r="D90" s="11">
        <v>290.5</v>
      </c>
      <c r="E90" s="11">
        <v>347.4</v>
      </c>
      <c r="F90" s="11">
        <v>410.35</v>
      </c>
      <c r="G90" s="11">
        <v>222</v>
      </c>
      <c r="H90" s="11">
        <v>509.5</v>
      </c>
      <c r="I90" s="11">
        <v>797.75</v>
      </c>
      <c r="J90" s="11">
        <v>985.7</v>
      </c>
      <c r="K90" s="11">
        <v>1268.3499999999999</v>
      </c>
    </row>
    <row r="92" spans="1:12" s="9" customFormat="1" x14ac:dyDescent="0.25">
      <c r="A92" s="9" t="s">
        <v>42</v>
      </c>
    </row>
    <row r="93" spans="1:12" x14ac:dyDescent="0.25">
      <c r="A93" s="10" t="s">
        <v>55</v>
      </c>
      <c r="B93" s="18">
        <v>18.82</v>
      </c>
      <c r="C93" s="18">
        <v>18.84</v>
      </c>
      <c r="D93" s="18">
        <v>18.87</v>
      </c>
      <c r="E93" s="18">
        <v>18.899999999999999</v>
      </c>
      <c r="F93" s="18">
        <v>18.920000000000002</v>
      </c>
      <c r="G93" s="18">
        <v>18.940000000000001</v>
      </c>
      <c r="H93" s="18">
        <v>18.96</v>
      </c>
      <c r="I93" s="18">
        <v>18.989999999999998</v>
      </c>
      <c r="J93" s="18">
        <v>18.989999999999998</v>
      </c>
      <c r="K93" s="18">
        <v>19.03</v>
      </c>
    </row>
  </sheetData>
  <mergeCells count="2">
    <mergeCell ref="E1:K1"/>
    <mergeCell ref="E2:K2"/>
  </mergeCells>
  <conditionalFormatting sqref="E1:K1">
    <cfRule type="cellIs" dxfId="0" priority="1" operator="notEqual">
      <formula>""</formula>
    </cfRule>
  </conditionalFormatting>
  <hyperlinks>
    <hyperlink ref="E1:K1" r:id="rId1" display="https://www.screener.in/excel/" xr:uid="{8FFCF7A4-103B-457C-9665-EC6FF1CFD4A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4</vt:i4>
      </vt:variant>
    </vt:vector>
  </HeadingPairs>
  <TitlesOfParts>
    <vt:vector size="17" baseType="lpstr">
      <vt:lpstr>Info</vt:lpstr>
      <vt:lpstr>Historcial FS</vt:lpstr>
      <vt:lpstr>Common size statement</vt:lpstr>
      <vt:lpstr>Ratio Analysis</vt:lpstr>
      <vt:lpstr>Forecast</vt:lpstr>
      <vt:lpstr>Dupont Analysis</vt:lpstr>
      <vt:lpstr> Dupont Summary</vt:lpstr>
      <vt:lpstr>Altman's Z score</vt:lpstr>
      <vt:lpstr>Relative Valuation</vt:lpstr>
      <vt:lpstr>Intrinsic Growth</vt:lpstr>
      <vt:lpstr>Data_for_Intrinsic_growth</vt:lpstr>
      <vt:lpstr>Data_for_Relative pricing</vt:lpstr>
      <vt:lpstr>Data Sheet</vt:lpstr>
      <vt:lpstr>'Dupont Analysis'!Print_Area</vt:lpstr>
      <vt:lpstr>Forecast!Print_Area</vt:lpstr>
      <vt:lpstr>'Relative Valuation'!Print_Area</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Sandeep Pradhan</cp:lastModifiedBy>
  <cp:lastPrinted>2024-08-08T04:43:42Z</cp:lastPrinted>
  <dcterms:created xsi:type="dcterms:W3CDTF">2012-08-17T09:55:37Z</dcterms:created>
  <dcterms:modified xsi:type="dcterms:W3CDTF">2024-08-08T14:58:39Z</dcterms:modified>
</cp:coreProperties>
</file>