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B7D69F-40A3-464E-AE9B-A502893D068F}" xr6:coauthVersionLast="47" xr6:coauthVersionMax="47" xr10:uidLastSave="{00000000-0000-0000-0000-000000000000}"/>
  <bookViews>
    <workbookView xWindow="-120" yWindow="-120" windowWidth="20730" windowHeight="11160" xr2:uid="{3CFCC93F-0EB9-4628-A9E6-250B0B479F8B}"/>
  </bookViews>
  <sheets>
    <sheet name="Comparision" sheetId="5" r:id="rId1"/>
    <sheet name="Assumption" sheetId="1" r:id="rId2"/>
    <sheet name="Model " sheetId="3" r:id="rId3"/>
    <sheet name="Debt" sheetId="4" r:id="rId4"/>
    <sheet name="Data" sheetId="2" r:id="rId5"/>
  </sheets>
  <calcPr calcId="191029" iterateDelta="0.0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5" i="1" l="1"/>
  <c r="H8" i="1" s="1"/>
  <c r="H15" i="1" s="1"/>
  <c r="N10" i="1" s="1"/>
  <c r="D7" i="1"/>
  <c r="D4" i="3" s="1"/>
  <c r="F4" i="3" s="1"/>
  <c r="F6" i="3" s="1"/>
  <c r="D4" i="4"/>
  <c r="AC9" i="3" s="1"/>
  <c r="D11" i="3"/>
  <c r="D3" i="4"/>
  <c r="H12" i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O19" i="5" l="1"/>
  <c r="E19" i="5"/>
  <c r="N19" i="5"/>
  <c r="M19" i="5"/>
  <c r="M21" i="5" s="1"/>
  <c r="L19" i="5"/>
  <c r="L21" i="5" s="1"/>
  <c r="D15" i="3"/>
  <c r="I7" i="5"/>
  <c r="C21" i="3"/>
  <c r="I4" i="5"/>
  <c r="I5" i="5" s="1"/>
  <c r="D4" i="5"/>
  <c r="D5" i="5" s="1"/>
  <c r="H16" i="1"/>
  <c r="D6" i="4" s="1"/>
  <c r="G17" i="1"/>
  <c r="D5" i="4"/>
  <c r="Z9" i="3"/>
  <c r="H17" i="1"/>
  <c r="AA9" i="3"/>
  <c r="AB9" i="3"/>
  <c r="Y9" i="3"/>
  <c r="E4" i="3"/>
  <c r="N21" i="5" l="1"/>
  <c r="E5" i="3"/>
  <c r="E6" i="3" s="1"/>
  <c r="H44" i="4"/>
  <c r="H39" i="4"/>
  <c r="G61" i="4"/>
  <c r="G79" i="4"/>
  <c r="I79" i="4"/>
  <c r="H80" i="4"/>
  <c r="G60" i="4"/>
  <c r="H35" i="4"/>
  <c r="H40" i="4"/>
  <c r="G12" i="4"/>
  <c r="G20" i="4"/>
  <c r="G67" i="4"/>
  <c r="H8" i="4"/>
  <c r="H73" i="4"/>
  <c r="G47" i="4"/>
  <c r="I62" i="4"/>
  <c r="G99" i="4"/>
  <c r="G69" i="4"/>
  <c r="H12" i="4"/>
  <c r="H76" i="4"/>
  <c r="G45" i="4"/>
  <c r="I46" i="4"/>
  <c r="H19" i="4"/>
  <c r="H51" i="4"/>
  <c r="G75" i="4"/>
  <c r="I7" i="4"/>
  <c r="H24" i="4"/>
  <c r="H60" i="4"/>
  <c r="I80" i="4"/>
  <c r="G55" i="4"/>
  <c r="G40" i="4"/>
  <c r="G97" i="4"/>
  <c r="G98" i="4"/>
  <c r="H23" i="4"/>
  <c r="H55" i="4"/>
  <c r="G76" i="4"/>
  <c r="G4" i="4"/>
  <c r="H28" i="4"/>
  <c r="H64" i="4"/>
  <c r="D7" i="4"/>
  <c r="D15" i="1" s="1"/>
  <c r="G52" i="4"/>
  <c r="G39" i="4"/>
  <c r="H92" i="4"/>
  <c r="H37" i="4"/>
  <c r="H11" i="4"/>
  <c r="H27" i="4"/>
  <c r="H43" i="4"/>
  <c r="H59" i="4"/>
  <c r="G71" i="4"/>
  <c r="G77" i="4"/>
  <c r="I5" i="4"/>
  <c r="G3" i="4"/>
  <c r="J3" i="4" s="1"/>
  <c r="H16" i="4"/>
  <c r="H32" i="4"/>
  <c r="H48" i="4"/>
  <c r="H69" i="4"/>
  <c r="H77" i="4"/>
  <c r="G65" i="4"/>
  <c r="G57" i="4"/>
  <c r="G51" i="4"/>
  <c r="G44" i="4"/>
  <c r="G32" i="4"/>
  <c r="I94" i="4"/>
  <c r="H88" i="4"/>
  <c r="I30" i="4"/>
  <c r="G68" i="4"/>
  <c r="H15" i="4"/>
  <c r="H31" i="4"/>
  <c r="H47" i="4"/>
  <c r="H63" i="4"/>
  <c r="G73" i="4"/>
  <c r="G78" i="4"/>
  <c r="I6" i="4"/>
  <c r="G95" i="4"/>
  <c r="H20" i="4"/>
  <c r="H36" i="4"/>
  <c r="H56" i="4"/>
  <c r="H71" i="4"/>
  <c r="H78" i="4"/>
  <c r="G63" i="4"/>
  <c r="G56" i="4"/>
  <c r="G49" i="4"/>
  <c r="G41" i="4"/>
  <c r="G28" i="4"/>
  <c r="I90" i="4"/>
  <c r="I70" i="4"/>
  <c r="I14" i="4"/>
  <c r="I128" i="4"/>
  <c r="H107" i="4"/>
  <c r="G125" i="4"/>
  <c r="G108" i="4"/>
  <c r="D8" i="4"/>
  <c r="S9" i="3" s="1"/>
  <c r="I135" i="4"/>
  <c r="H52" i="4"/>
  <c r="H67" i="4"/>
  <c r="H75" i="4"/>
  <c r="H79" i="4"/>
  <c r="G64" i="4"/>
  <c r="G59" i="4"/>
  <c r="G53" i="4"/>
  <c r="G48" i="4"/>
  <c r="G43" i="4"/>
  <c r="G36" i="4"/>
  <c r="G16" i="4"/>
  <c r="I86" i="4"/>
  <c r="I74" i="4"/>
  <c r="I38" i="4"/>
  <c r="G89" i="4"/>
  <c r="H68" i="4"/>
  <c r="H139" i="4"/>
  <c r="H112" i="4"/>
  <c r="G139" i="4"/>
  <c r="H5" i="4"/>
  <c r="H30" i="4"/>
  <c r="I103" i="4"/>
  <c r="M10" i="3"/>
  <c r="M11" i="3" s="1"/>
  <c r="G20" i="1"/>
  <c r="E10" i="3"/>
  <c r="E11" i="3" s="1"/>
  <c r="I118" i="4"/>
  <c r="H129" i="4"/>
  <c r="G66" i="4"/>
  <c r="G62" i="4"/>
  <c r="G58" i="4"/>
  <c r="G54" i="4"/>
  <c r="G50" i="4"/>
  <c r="G46" i="4"/>
  <c r="G42" i="4"/>
  <c r="G38" i="4"/>
  <c r="G24" i="4"/>
  <c r="G8" i="4"/>
  <c r="I82" i="4"/>
  <c r="H84" i="4"/>
  <c r="I54" i="4"/>
  <c r="I22" i="4"/>
  <c r="G81" i="4"/>
  <c r="H50" i="4"/>
  <c r="G118" i="4"/>
  <c r="H114" i="4"/>
  <c r="I137" i="4"/>
  <c r="G140" i="4"/>
  <c r="J10" i="3"/>
  <c r="J11" i="3" s="1"/>
  <c r="H10" i="3"/>
  <c r="H11" i="3" s="1"/>
  <c r="I66" i="4"/>
  <c r="I50" i="4"/>
  <c r="I34" i="4"/>
  <c r="I18" i="4"/>
  <c r="G93" i="4"/>
  <c r="H21" i="4"/>
  <c r="I75" i="4"/>
  <c r="I97" i="4"/>
  <c r="G102" i="4"/>
  <c r="H123" i="4"/>
  <c r="H140" i="4"/>
  <c r="I119" i="4"/>
  <c r="G141" i="4"/>
  <c r="I102" i="4"/>
  <c r="G124" i="4"/>
  <c r="G103" i="4"/>
  <c r="H120" i="4"/>
  <c r="I58" i="4"/>
  <c r="I42" i="4"/>
  <c r="I26" i="4"/>
  <c r="I10" i="4"/>
  <c r="G85" i="4"/>
  <c r="H53" i="4"/>
  <c r="I4" i="4"/>
  <c r="H26" i="4"/>
  <c r="I112" i="4"/>
  <c r="G134" i="4"/>
  <c r="G109" i="4"/>
  <c r="H130" i="4"/>
  <c r="H124" i="4"/>
  <c r="H113" i="4"/>
  <c r="I134" i="4"/>
  <c r="I129" i="4"/>
  <c r="L10" i="3"/>
  <c r="L11" i="3" s="1"/>
  <c r="G10" i="3"/>
  <c r="G11" i="3" s="1"/>
  <c r="N10" i="3"/>
  <c r="N11" i="3" s="1"/>
  <c r="F10" i="3"/>
  <c r="F11" i="3" s="1"/>
  <c r="K10" i="3"/>
  <c r="K11" i="3" s="1"/>
  <c r="I10" i="3"/>
  <c r="I11" i="3" s="1"/>
  <c r="G111" i="4"/>
  <c r="G35" i="4"/>
  <c r="G31" i="4"/>
  <c r="G27" i="4"/>
  <c r="G23" i="4"/>
  <c r="G19" i="4"/>
  <c r="G15" i="4"/>
  <c r="G11" i="4"/>
  <c r="I98" i="4"/>
  <c r="I93" i="4"/>
  <c r="I89" i="4"/>
  <c r="I85" i="4"/>
  <c r="I81" i="4"/>
  <c r="I95" i="4"/>
  <c r="H91" i="4"/>
  <c r="H87" i="4"/>
  <c r="H83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96" i="4"/>
  <c r="G92" i="4"/>
  <c r="G88" i="4"/>
  <c r="G84" i="4"/>
  <c r="H9" i="4"/>
  <c r="H25" i="4"/>
  <c r="H41" i="4"/>
  <c r="H57" i="4"/>
  <c r="G70" i="4"/>
  <c r="I76" i="4"/>
  <c r="G5" i="4"/>
  <c r="I3" i="4"/>
  <c r="H66" i="4"/>
  <c r="H22" i="4"/>
  <c r="G80" i="4"/>
  <c r="H42" i="4"/>
  <c r="H3" i="4"/>
  <c r="H14" i="4"/>
  <c r="H6" i="4"/>
  <c r="H103" i="4"/>
  <c r="I108" i="4"/>
  <c r="G114" i="4"/>
  <c r="H119" i="4"/>
  <c r="I124" i="4"/>
  <c r="G130" i="4"/>
  <c r="H135" i="4"/>
  <c r="I140" i="4"/>
  <c r="H100" i="4"/>
  <c r="G105" i="4"/>
  <c r="H110" i="4"/>
  <c r="I115" i="4"/>
  <c r="G121" i="4"/>
  <c r="H126" i="4"/>
  <c r="I131" i="4"/>
  <c r="G137" i="4"/>
  <c r="H142" i="4"/>
  <c r="G115" i="4"/>
  <c r="H128" i="4"/>
  <c r="I141" i="4"/>
  <c r="G104" i="4"/>
  <c r="H109" i="4"/>
  <c r="I114" i="4"/>
  <c r="G120" i="4"/>
  <c r="H125" i="4"/>
  <c r="I130" i="4"/>
  <c r="G136" i="4"/>
  <c r="H141" i="4"/>
  <c r="H104" i="4"/>
  <c r="I113" i="4"/>
  <c r="G123" i="4"/>
  <c r="H132" i="4"/>
  <c r="H96" i="4"/>
  <c r="G34" i="4"/>
  <c r="G30" i="4"/>
  <c r="G26" i="4"/>
  <c r="G22" i="4"/>
  <c r="G18" i="4"/>
  <c r="G14" i="4"/>
  <c r="G10" i="4"/>
  <c r="H97" i="4"/>
  <c r="I92" i="4"/>
  <c r="I88" i="4"/>
  <c r="I84" i="4"/>
  <c r="I99" i="4"/>
  <c r="H94" i="4"/>
  <c r="H90" i="4"/>
  <c r="H86" i="4"/>
  <c r="H82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H95" i="4"/>
  <c r="G91" i="4"/>
  <c r="G87" i="4"/>
  <c r="G83" i="4"/>
  <c r="H13" i="4"/>
  <c r="H29" i="4"/>
  <c r="H45" i="4"/>
  <c r="H61" i="4"/>
  <c r="G72" i="4"/>
  <c r="I77" i="4"/>
  <c r="G6" i="4"/>
  <c r="H18" i="4"/>
  <c r="H74" i="4"/>
  <c r="H38" i="4"/>
  <c r="H4" i="4"/>
  <c r="H58" i="4"/>
  <c r="H72" i="4"/>
  <c r="G100" i="4"/>
  <c r="I104" i="4"/>
  <c r="G110" i="4"/>
  <c r="H115" i="4"/>
  <c r="I120" i="4"/>
  <c r="G126" i="4"/>
  <c r="H131" i="4"/>
  <c r="I136" i="4"/>
  <c r="G142" i="4"/>
  <c r="H101" i="4"/>
  <c r="H106" i="4"/>
  <c r="I111" i="4"/>
  <c r="G117" i="4"/>
  <c r="H122" i="4"/>
  <c r="I127" i="4"/>
  <c r="G133" i="4"/>
  <c r="H138" i="4"/>
  <c r="I105" i="4"/>
  <c r="G119" i="4"/>
  <c r="G131" i="4"/>
  <c r="I100" i="4"/>
  <c r="H105" i="4"/>
  <c r="I110" i="4"/>
  <c r="G116" i="4"/>
  <c r="H121" i="4"/>
  <c r="I126" i="4"/>
  <c r="G132" i="4"/>
  <c r="H137" i="4"/>
  <c r="I142" i="4"/>
  <c r="G107" i="4"/>
  <c r="H116" i="4"/>
  <c r="I125" i="4"/>
  <c r="H136" i="4"/>
  <c r="G37" i="4"/>
  <c r="G33" i="4"/>
  <c r="G29" i="4"/>
  <c r="G25" i="4"/>
  <c r="G21" i="4"/>
  <c r="G17" i="4"/>
  <c r="G13" i="4"/>
  <c r="G9" i="4"/>
  <c r="G96" i="4"/>
  <c r="I91" i="4"/>
  <c r="I87" i="4"/>
  <c r="I83" i="4"/>
  <c r="H98" i="4"/>
  <c r="H93" i="4"/>
  <c r="H89" i="4"/>
  <c r="H85" i="4"/>
  <c r="H81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H99" i="4"/>
  <c r="G94" i="4"/>
  <c r="G90" i="4"/>
  <c r="G86" i="4"/>
  <c r="G82" i="4"/>
  <c r="H17" i="4"/>
  <c r="H33" i="4"/>
  <c r="H49" i="4"/>
  <c r="H65" i="4"/>
  <c r="G74" i="4"/>
  <c r="I78" i="4"/>
  <c r="G7" i="4"/>
  <c r="H34" i="4"/>
  <c r="H7" i="4"/>
  <c r="H54" i="4"/>
  <c r="H10" i="4"/>
  <c r="H70" i="4"/>
  <c r="H62" i="4"/>
  <c r="G101" i="4"/>
  <c r="G106" i="4"/>
  <c r="H111" i="4"/>
  <c r="I116" i="4"/>
  <c r="G122" i="4"/>
  <c r="H127" i="4"/>
  <c r="I132" i="4"/>
  <c r="G138" i="4"/>
  <c r="I133" i="4"/>
  <c r="H102" i="4"/>
  <c r="I107" i="4"/>
  <c r="G113" i="4"/>
  <c r="H118" i="4"/>
  <c r="I123" i="4"/>
  <c r="G129" i="4"/>
  <c r="H134" i="4"/>
  <c r="I139" i="4"/>
  <c r="H108" i="4"/>
  <c r="I121" i="4"/>
  <c r="G135" i="4"/>
  <c r="I101" i="4"/>
  <c r="I106" i="4"/>
  <c r="G112" i="4"/>
  <c r="H117" i="4"/>
  <c r="I122" i="4"/>
  <c r="G128" i="4"/>
  <c r="H133" i="4"/>
  <c r="I138" i="4"/>
  <c r="H46" i="4"/>
  <c r="I109" i="4"/>
  <c r="I117" i="4"/>
  <c r="G127" i="4"/>
  <c r="U9" i="3"/>
  <c r="Q9" i="3"/>
  <c r="G4" i="3"/>
  <c r="F5" i="3"/>
  <c r="R9" i="3" l="1"/>
  <c r="W9" i="3"/>
  <c r="X9" i="3"/>
  <c r="O9" i="3"/>
  <c r="V9" i="3"/>
  <c r="P9" i="3"/>
  <c r="T9" i="3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G9" i="3"/>
  <c r="I9" i="3"/>
  <c r="M9" i="3"/>
  <c r="N9" i="3"/>
  <c r="K9" i="3"/>
  <c r="F9" i="3"/>
  <c r="F13" i="3" s="1"/>
  <c r="J9" i="3"/>
  <c r="E9" i="3"/>
  <c r="E13" i="3" s="1"/>
  <c r="E15" i="3" s="1"/>
  <c r="H9" i="3"/>
  <c r="L9" i="3"/>
  <c r="G5" i="3"/>
  <c r="H4" i="3"/>
  <c r="F15" i="3" l="1"/>
  <c r="G6" i="3"/>
  <c r="G13" i="3" s="1"/>
  <c r="H5" i="3"/>
  <c r="I4" i="3"/>
  <c r="G15" i="3" l="1"/>
  <c r="H6" i="3"/>
  <c r="H13" i="3" s="1"/>
  <c r="I5" i="3"/>
  <c r="J4" i="3"/>
  <c r="H15" i="3" l="1"/>
  <c r="I6" i="3"/>
  <c r="I13" i="3" s="1"/>
  <c r="J5" i="3"/>
  <c r="K4" i="3"/>
  <c r="I15" i="3" l="1"/>
  <c r="J6" i="3"/>
  <c r="J13" i="3" s="1"/>
  <c r="K5" i="3"/>
  <c r="L4" i="3"/>
  <c r="J15" i="3" l="1"/>
  <c r="K6" i="3"/>
  <c r="K13" i="3" s="1"/>
  <c r="L5" i="3"/>
  <c r="M4" i="3"/>
  <c r="K15" i="3" l="1"/>
  <c r="L6" i="3"/>
  <c r="L13" i="3" s="1"/>
  <c r="M5" i="3"/>
  <c r="N4" i="3"/>
  <c r="L15" i="3" l="1"/>
  <c r="M6" i="3"/>
  <c r="M13" i="3" s="1"/>
  <c r="N5" i="3"/>
  <c r="O4" i="3"/>
  <c r="M15" i="3" l="1"/>
  <c r="N6" i="3"/>
  <c r="N13" i="3" s="1"/>
  <c r="O5" i="3"/>
  <c r="P4" i="3"/>
  <c r="N15" i="3" l="1"/>
  <c r="O6" i="3"/>
  <c r="O13" i="3" s="1"/>
  <c r="P5" i="3"/>
  <c r="Q4" i="3"/>
  <c r="O15" i="3" l="1"/>
  <c r="P6" i="3"/>
  <c r="P13" i="3" s="1"/>
  <c r="Q5" i="3"/>
  <c r="R4" i="3"/>
  <c r="P15" i="3" l="1"/>
  <c r="Q6" i="3"/>
  <c r="Q13" i="3" s="1"/>
  <c r="R5" i="3"/>
  <c r="S4" i="3"/>
  <c r="Q15" i="3" l="1"/>
  <c r="R6" i="3"/>
  <c r="R13" i="3" s="1"/>
  <c r="S5" i="3"/>
  <c r="T4" i="3"/>
  <c r="R15" i="3" l="1"/>
  <c r="S6" i="3"/>
  <c r="S13" i="3" s="1"/>
  <c r="T5" i="3"/>
  <c r="U4" i="3"/>
  <c r="S15" i="3" l="1"/>
  <c r="T6" i="3"/>
  <c r="T13" i="3" s="1"/>
  <c r="U5" i="3"/>
  <c r="V4" i="3"/>
  <c r="T15" i="3" l="1"/>
  <c r="U6" i="3"/>
  <c r="U13" i="3" s="1"/>
  <c r="V5" i="3"/>
  <c r="W4" i="3"/>
  <c r="U15" i="3" l="1"/>
  <c r="V6" i="3"/>
  <c r="V13" i="3" s="1"/>
  <c r="W5" i="3"/>
  <c r="X4" i="3"/>
  <c r="V15" i="3" l="1"/>
  <c r="W6" i="3"/>
  <c r="W13" i="3" s="1"/>
  <c r="X5" i="3"/>
  <c r="Y4" i="3"/>
  <c r="W15" i="3" l="1"/>
  <c r="X6" i="3"/>
  <c r="X13" i="3" s="1"/>
  <c r="Y5" i="3"/>
  <c r="Z4" i="3"/>
  <c r="X15" i="3" l="1"/>
  <c r="Y6" i="3"/>
  <c r="Y13" i="3" s="1"/>
  <c r="Z5" i="3"/>
  <c r="AA4" i="3"/>
  <c r="Y15" i="3" l="1"/>
  <c r="Z6" i="3"/>
  <c r="Z13" i="3" s="1"/>
  <c r="AA5" i="3"/>
  <c r="AB4" i="3"/>
  <c r="Z15" i="3" l="1"/>
  <c r="AA6" i="3"/>
  <c r="AA13" i="3" s="1"/>
  <c r="AB5" i="3"/>
  <c r="AC4" i="3"/>
  <c r="AC5" i="3" l="1"/>
  <c r="AC6" i="3" s="1"/>
  <c r="AC13" i="3" s="1"/>
  <c r="I11" i="5"/>
  <c r="AA15" i="3"/>
  <c r="AB6" i="3"/>
  <c r="AB13" i="3" s="1"/>
  <c r="AC15" i="3" l="1"/>
  <c r="AB15" i="3"/>
  <c r="D16" i="3" l="1"/>
  <c r="I8" i="5" l="1"/>
  <c r="N11" i="1"/>
  <c r="E20" i="5"/>
  <c r="U19" i="3"/>
  <c r="E19" i="3"/>
  <c r="AB19" i="3" l="1"/>
  <c r="AC19" i="3"/>
  <c r="T19" i="3"/>
  <c r="Y19" i="3"/>
  <c r="M19" i="3"/>
  <c r="O19" i="3"/>
  <c r="G19" i="3"/>
  <c r="Q19" i="3"/>
  <c r="J19" i="3"/>
  <c r="I19" i="3"/>
  <c r="X19" i="3"/>
  <c r="D21" i="3"/>
  <c r="F19" i="3"/>
  <c r="AA19" i="3"/>
  <c r="Z19" i="3"/>
  <c r="S19" i="3"/>
  <c r="N19" i="3"/>
  <c r="H19" i="3"/>
  <c r="L19" i="3"/>
  <c r="K19" i="3"/>
  <c r="V19" i="3"/>
  <c r="W19" i="3"/>
  <c r="R19" i="3"/>
  <c r="P19" i="3"/>
  <c r="D20" i="3" l="1"/>
  <c r="N12" i="1" s="1"/>
  <c r="O21" i="5" l="1"/>
  <c r="O20" i="5" s="1"/>
  <c r="I9" i="5"/>
  <c r="E21" i="5"/>
</calcChain>
</file>

<file path=xl/sharedStrings.xml><?xml version="1.0" encoding="utf-8"?>
<sst xmlns="http://schemas.openxmlformats.org/spreadsheetml/2006/main" count="141" uniqueCount="105">
  <si>
    <t xml:space="preserve">Particular </t>
  </si>
  <si>
    <t>Unit</t>
  </si>
  <si>
    <t xml:space="preserve">Solar power plant </t>
  </si>
  <si>
    <t>KW</t>
  </si>
  <si>
    <t>Production per KW</t>
  </si>
  <si>
    <t>Unit/Day</t>
  </si>
  <si>
    <t>Total Production Yearly</t>
  </si>
  <si>
    <t>Interest Rate</t>
  </si>
  <si>
    <t>Annual</t>
  </si>
  <si>
    <t>Depreciation</t>
  </si>
  <si>
    <t>Particular</t>
  </si>
  <si>
    <t xml:space="preserve">Electricity Inflation </t>
  </si>
  <si>
    <t xml:space="preserve">Unit Generation </t>
  </si>
  <si>
    <t>Yearly</t>
  </si>
  <si>
    <t xml:space="preserve">Per Unit Price </t>
  </si>
  <si>
    <t>Rs.</t>
  </si>
  <si>
    <t>Revenue</t>
  </si>
  <si>
    <t>Installation Cost</t>
  </si>
  <si>
    <t>Per Watt Rs.</t>
  </si>
  <si>
    <t>Subsidy 3 KW (Max.)</t>
  </si>
  <si>
    <t xml:space="preserve">Should be &gt;5 </t>
  </si>
  <si>
    <t>Solar Power Plant Cost</t>
  </si>
  <si>
    <t>Total Cost after Subsidy</t>
  </si>
  <si>
    <t>Maintenance Expenses</t>
  </si>
  <si>
    <t>Total Maintenance Expenses</t>
  </si>
  <si>
    <t>Revenue (Inflation Adjust.)</t>
  </si>
  <si>
    <t>Yearly/5KW</t>
  </si>
  <si>
    <t>Fund</t>
  </si>
  <si>
    <t>Equity</t>
  </si>
  <si>
    <t>Debt</t>
  </si>
  <si>
    <t>Weight</t>
  </si>
  <si>
    <t>Total</t>
  </si>
  <si>
    <t>Amount</t>
  </si>
  <si>
    <t>EMI</t>
  </si>
  <si>
    <t>Construction Period</t>
  </si>
  <si>
    <t>Month</t>
  </si>
  <si>
    <t>Loan Period</t>
  </si>
  <si>
    <t>Year</t>
  </si>
  <si>
    <t>Monthly EMI</t>
  </si>
  <si>
    <t xml:space="preserve">Lets take Mini tax Slab </t>
  </si>
  <si>
    <t xml:space="preserve">Direct Tax </t>
  </si>
  <si>
    <t>Loan Amount</t>
  </si>
  <si>
    <t>No. Of EMI Monthly</t>
  </si>
  <si>
    <t>No.</t>
  </si>
  <si>
    <t>Principle</t>
  </si>
  <si>
    <t>Interest</t>
  </si>
  <si>
    <t>Balance</t>
  </si>
  <si>
    <t>Depreciation Tax Banefit</t>
  </si>
  <si>
    <t xml:space="preserve">Depreciation </t>
  </si>
  <si>
    <t>10 Year Only</t>
  </si>
  <si>
    <t>Govt. Allow 10 Year under  tax 80-IA</t>
  </si>
  <si>
    <t>EMI Monthly</t>
  </si>
  <si>
    <t xml:space="preserve">Annual </t>
  </si>
  <si>
    <t>Net Profit/Expense</t>
  </si>
  <si>
    <t>IRR</t>
  </si>
  <si>
    <t>Cash Flow</t>
  </si>
  <si>
    <t>10 Year (Fix)</t>
  </si>
  <si>
    <t>Residual Value after 25 Year</t>
  </si>
  <si>
    <t>Residual Value %</t>
  </si>
  <si>
    <t xml:space="preserve">Total Foture Value after 25 Year </t>
  </si>
  <si>
    <t>Future Value after 25 Year</t>
  </si>
  <si>
    <t>Solar Panel Effici. Degradation</t>
  </si>
  <si>
    <t>Note :- Tax benefit want to zero - Mention Zero</t>
  </si>
  <si>
    <t>Note :- Adjust All column Accordigly</t>
  </si>
  <si>
    <t>Assumption/Adjus. Accor.</t>
  </si>
  <si>
    <t>Fix Number</t>
  </si>
  <si>
    <t>Solar Power Plant Analysis</t>
  </si>
  <si>
    <t>Traditional House</t>
  </si>
  <si>
    <t xml:space="preserve">Unit Consumed </t>
  </si>
  <si>
    <t>Electricity Bill Pay to Board</t>
  </si>
  <si>
    <t>IRR (Return)</t>
  </si>
  <si>
    <t>Notes:- Banefits</t>
  </si>
  <si>
    <t>1. Invest in solar, give more return than FD, Stock Market, Mutual Fund and 99% Risk free</t>
  </si>
  <si>
    <t>2. Save from high sunlight and give extra shad.</t>
  </si>
  <si>
    <t>3. One step towards sustainibilty , Feel proud and proudly say "My house is run on sustainable enegy"</t>
  </si>
  <si>
    <t>Earn Money After 25Year</t>
  </si>
  <si>
    <t>Earn Money from Year 1</t>
  </si>
  <si>
    <t>No</t>
  </si>
  <si>
    <t>Yes</t>
  </si>
  <si>
    <t>CO2 Save in 25 Year</t>
  </si>
  <si>
    <t>KG</t>
  </si>
  <si>
    <t>Initial Investment</t>
  </si>
  <si>
    <t>Fixed Deposit</t>
  </si>
  <si>
    <t>Sensex</t>
  </si>
  <si>
    <t>Mutual Fund</t>
  </si>
  <si>
    <t>Rooftop Solar</t>
  </si>
  <si>
    <t xml:space="preserve">Risk </t>
  </si>
  <si>
    <t>Near to Zero</t>
  </si>
  <si>
    <t>High</t>
  </si>
  <si>
    <t>Solar Powered House(Rooftop Solar)</t>
  </si>
  <si>
    <t>Rs./Yr</t>
  </si>
  <si>
    <t>One time Investment</t>
  </si>
  <si>
    <t>Electricity Bill save and Invest</t>
  </si>
  <si>
    <t>IRR (Solar Power Project)</t>
  </si>
  <si>
    <t>Earning after 25 Year (Re- invest)</t>
  </si>
  <si>
    <t>Earn after 25 Year</t>
  </si>
  <si>
    <t>Re- Invest Cash flow</t>
  </si>
  <si>
    <t>Ongrid Only</t>
  </si>
  <si>
    <t>Re - Invest</t>
  </si>
  <si>
    <t>Source * 10KW Solar power plant installed at family house , 2022 data , app</t>
  </si>
  <si>
    <t>Per Month 2022 Data</t>
  </si>
  <si>
    <t>Gram CO2/kWh</t>
  </si>
  <si>
    <t>Note:- Assumption based on some conditions</t>
  </si>
  <si>
    <t>Can Owner feel proud?(3)</t>
  </si>
  <si>
    <t xml:space="preserve">(ROI)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</si>
</sst>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8" formatCode="&quot;₹&quot;\ #,##0.00;[Red]&quot;₹&quot;\ \-#,##0.00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&quot;₹&quot;\ #,##0.00"/>
    <numFmt numFmtId="167" formatCode="&quot;₹&quot;\ #,##0"/>
    <numFmt numFmtId="168" formatCode="_ [$₹-439]* #,##0_ ;_ [$₹-439]* \-#,##0_ ;_ [$₹-439]* &quot;-&quot;??_ ;_ @_ 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i/>
      <sz val="8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b/>
      <sz val="14"/>
      <color theme="0"/>
      <name val="Calibri"/>
      <family val="2"/>
    </font>
    <font>
      <b/>
      <sz val="11"/>
      <color theme="9" tint="-0.499984740745262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A27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9" fontId="6" fillId="0" borderId="0" xfId="0" applyNumberFormat="1" applyFont="1"/>
    <xf numFmtId="164" fontId="6" fillId="0" borderId="0" xfId="0" applyNumberFormat="1" applyFont="1"/>
    <xf numFmtId="0" fontId="4" fillId="4" borderId="0" xfId="0" applyFont="1" applyFill="1"/>
    <xf numFmtId="164" fontId="6" fillId="0" borderId="0" xfId="1" applyNumberFormat="1" applyFont="1"/>
    <xf numFmtId="164" fontId="6" fillId="8" borderId="0" xfId="1" applyNumberFormat="1" applyFont="1" applyFill="1"/>
    <xf numFmtId="0" fontId="8" fillId="0" borderId="0" xfId="3" applyFont="1"/>
    <xf numFmtId="0" fontId="6" fillId="2" borderId="0" xfId="0" applyFont="1" applyFill="1"/>
    <xf numFmtId="165" fontId="6" fillId="2" borderId="0" xfId="0" applyNumberFormat="1" applyFont="1" applyFill="1"/>
    <xf numFmtId="9" fontId="6" fillId="2" borderId="0" xfId="0" applyNumberFormat="1" applyFont="1" applyFill="1"/>
    <xf numFmtId="0" fontId="9" fillId="0" borderId="0" xfId="0" applyFont="1"/>
    <xf numFmtId="0" fontId="6" fillId="8" borderId="0" xfId="0" applyFont="1" applyFill="1"/>
    <xf numFmtId="164" fontId="6" fillId="8" borderId="0" xfId="1" applyNumberFormat="1" applyFont="1" applyFill="1" applyAlignment="1">
      <alignment horizontal="right"/>
    </xf>
    <xf numFmtId="164" fontId="6" fillId="5" borderId="0" xfId="1" applyNumberFormat="1" applyFont="1" applyFill="1" applyAlignment="1">
      <alignment horizontal="right"/>
    </xf>
    <xf numFmtId="164" fontId="6" fillId="0" borderId="0" xfId="1" applyNumberFormat="1" applyFont="1" applyAlignment="1">
      <alignment horizontal="right"/>
    </xf>
    <xf numFmtId="9" fontId="6" fillId="8" borderId="0" xfId="2" applyFont="1" applyFill="1"/>
    <xf numFmtId="0" fontId="6" fillId="0" borderId="1" xfId="0" applyFont="1" applyBorder="1"/>
    <xf numFmtId="6" fontId="6" fillId="0" borderId="0" xfId="0" applyNumberFormat="1" applyFont="1"/>
    <xf numFmtId="8" fontId="3" fillId="0" borderId="0" xfId="0" applyNumberFormat="1" applyFont="1"/>
    <xf numFmtId="9" fontId="6" fillId="9" borderId="0" xfId="0" applyNumberFormat="1" applyFont="1" applyFill="1"/>
    <xf numFmtId="0" fontId="10" fillId="0" borderId="0" xfId="0" applyFont="1"/>
    <xf numFmtId="0" fontId="11" fillId="0" borderId="0" xfId="0" applyFont="1"/>
    <xf numFmtId="0" fontId="6" fillId="0" borderId="2" xfId="0" applyFont="1" applyBorder="1"/>
    <xf numFmtId="9" fontId="6" fillId="2" borderId="2" xfId="0" applyNumberFormat="1" applyFont="1" applyFill="1" applyBorder="1"/>
    <xf numFmtId="0" fontId="6" fillId="2" borderId="2" xfId="0" applyFont="1" applyFill="1" applyBorder="1"/>
    <xf numFmtId="0" fontId="3" fillId="0" borderId="2" xfId="0" applyFont="1" applyBorder="1"/>
    <xf numFmtId="6" fontId="3" fillId="0" borderId="2" xfId="0" applyNumberFormat="1" applyFont="1" applyBorder="1"/>
    <xf numFmtId="8" fontId="3" fillId="0" borderId="2" xfId="0" applyNumberFormat="1" applyFont="1" applyBorder="1"/>
    <xf numFmtId="0" fontId="12" fillId="0" borderId="0" xfId="0" applyFont="1"/>
    <xf numFmtId="9" fontId="6" fillId="8" borderId="1" xfId="1" applyNumberFormat="1" applyFont="1" applyFill="1" applyBorder="1"/>
    <xf numFmtId="164" fontId="6" fillId="0" borderId="1" xfId="1" applyNumberFormat="1" applyFont="1" applyBorder="1"/>
    <xf numFmtId="0" fontId="2" fillId="10" borderId="2" xfId="0" applyFont="1" applyFill="1" applyBorder="1" applyAlignment="1">
      <alignment horizontal="center"/>
    </xf>
    <xf numFmtId="0" fontId="14" fillId="0" borderId="0" xfId="0" applyFont="1"/>
    <xf numFmtId="9" fontId="14" fillId="0" borderId="0" xfId="0" applyNumberFormat="1" applyFont="1"/>
    <xf numFmtId="166" fontId="14" fillId="0" borderId="0" xfId="0" applyNumberFormat="1" applyFont="1"/>
    <xf numFmtId="167" fontId="14" fillId="0" borderId="0" xfId="0" applyNumberFormat="1" applyFont="1"/>
    <xf numFmtId="0" fontId="6" fillId="0" borderId="0" xfId="0" applyFont="1" applyAlignment="1">
      <alignment horizontal="right"/>
    </xf>
    <xf numFmtId="0" fontId="4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168" fontId="14" fillId="0" borderId="0" xfId="0" applyNumberFormat="1" applyFont="1"/>
    <xf numFmtId="0" fontId="6" fillId="0" borderId="0" xfId="0" applyFont="1" applyAlignment="1">
      <alignment vertical="top"/>
    </xf>
    <xf numFmtId="0" fontId="15" fillId="0" borderId="0" xfId="0" applyFont="1"/>
    <xf numFmtId="16" fontId="16" fillId="0" borderId="0" xfId="0" applyNumberFormat="1" applyFont="1"/>
    <xf numFmtId="0" fontId="16" fillId="0" borderId="0" xfId="0" applyFont="1"/>
    <xf numFmtId="10" fontId="8" fillId="0" borderId="2" xfId="3" applyNumberFormat="1" applyFont="1" applyBorder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4" fontId="6" fillId="8" borderId="5" xfId="1" applyNumberFormat="1" applyFont="1" applyFill="1" applyBorder="1"/>
    <xf numFmtId="0" fontId="6" fillId="9" borderId="2" xfId="0" applyFont="1" applyFill="1" applyBorder="1"/>
    <xf numFmtId="6" fontId="3" fillId="0" borderId="2" xfId="3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9" fontId="6" fillId="6" borderId="3" xfId="0" applyNumberFormat="1" applyFont="1" applyFill="1" applyBorder="1" applyAlignment="1">
      <alignment horizontal="right"/>
    </xf>
    <xf numFmtId="9" fontId="6" fillId="6" borderId="7" xfId="0" applyNumberFormat="1" applyFont="1" applyFill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164" fontId="6" fillId="0" borderId="9" xfId="1" applyNumberFormat="1" applyFont="1" applyBorder="1" applyAlignment="1">
      <alignment horizontal="right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0" fontId="4" fillId="7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3" fillId="7" borderId="0" xfId="0" applyFont="1" applyFill="1" applyAlignment="1">
      <alignment horizontal="center"/>
    </xf>
    <xf numFmtId="8" fontId="6" fillId="0" borderId="0" xfId="0" applyNumberFormat="1" applyFont="1"/>
    <xf numFmtId="10" fontId="6" fillId="0" borderId="2" xfId="0" applyNumberFormat="1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A27A"/>
      <color rgb="FFF2CA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171450</xdr:rowOff>
    </xdr:from>
    <xdr:to>
      <xdr:col>13</xdr:col>
      <xdr:colOff>657225</xdr:colOff>
      <xdr:row>15</xdr:row>
      <xdr:rowOff>85725</xdr:rowOff>
    </xdr:to>
    <xdr:pic>
      <xdr:nvPicPr>
        <xdr:cNvPr id="2" name="Picture 1" descr="Your Ultimate Solar Rooftop Guide">
          <a:extLst>
            <a:ext uri="{FF2B5EF4-FFF2-40B4-BE49-F238E27FC236}">
              <a16:creationId xmlns:a16="http://schemas.microsoft.com/office/drawing/2014/main" id="{04AC9531-1333-EE19-449A-FA72F2B51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171450"/>
          <a:ext cx="3362325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28575</xdr:rowOff>
    </xdr:from>
    <xdr:to>
      <xdr:col>6</xdr:col>
      <xdr:colOff>295275</xdr:colOff>
      <xdr:row>26</xdr:row>
      <xdr:rowOff>120555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24F44-33CD-908D-A991-5AA420693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19075"/>
          <a:ext cx="3314699" cy="48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find-fund/" TargetMode="External"/><Relationship Id="rId2" Type="http://schemas.openxmlformats.org/officeDocument/2006/relationships/hyperlink" Target="https://www.google.com/search?q=fixed+deposit+highest+return&amp;rlz=1C1CHZN_enIN1027IN1027&amp;oq=fixed+deposit+highest+return&amp;gs_lcrp=EgZjaHJvbWUyCQgAEEUYORiABDIICAEQABgWGB4yDQgCEAAYhgMYgAQYigUyDQgDEAAYhgMYgAQYigUyCggEEAAYgAQYogTSAQk4ODM1ajBqMTWoAgiwAgE&amp;sourceid=chrome&amp;ie=UTF-8" TargetMode="External"/><Relationship Id="rId1" Type="http://schemas.openxmlformats.org/officeDocument/2006/relationships/hyperlink" Target="https://www.livemint.com/market/stock-market-news/sensex-at-74-000-a-look-at-its-journey-from-1-000-in-1990-to-current-level-indian-stock-market-journey-sensex-nifty-11709789894348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larsquare.in/blog/10-kw-solar-plant-cost/" TargetMode="External"/><Relationship Id="rId2" Type="http://schemas.openxmlformats.org/officeDocument/2006/relationships/hyperlink" Target="https://www.bing.com/search?q=solar+panel+efficiency+degradation&amp;form=ANNH01&amp;refig=8cf9f68ece9144209a79d96a3e78f500&amp;pc=U531&amp;sp=21&amp;lq=0&amp;qs=UT&amp;pq=solar+panel+efficiency+degra&amp;sc=10-28&amp;cvid=8cf9f68ece9144209a79d96a3e78f500" TargetMode="External"/><Relationship Id="rId1" Type="http://schemas.openxmlformats.org/officeDocument/2006/relationships/hyperlink" Target="https://fi.money/guides/personal-finance/enjoy-tax-benefits-for-energy-efficient-home-improvements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E26B-80BD-47D5-9C06-EB39CFC76061}">
  <dimension ref="B2:O23"/>
  <sheetViews>
    <sheetView tabSelected="1" topLeftCell="A5" workbookViewId="0">
      <selection activeCell="G20" sqref="G20"/>
    </sheetView>
  </sheetViews>
  <sheetFormatPr defaultRowHeight="15" x14ac:dyDescent="0.25"/>
  <cols>
    <col min="1" max="1" width="3.140625" style="4" customWidth="1"/>
    <col min="2" max="2" width="24.5703125" style="4" bestFit="1" customWidth="1"/>
    <col min="3" max="3" width="6.5703125" style="4" bestFit="1" customWidth="1"/>
    <col min="4" max="4" width="9.7109375" style="4" bestFit="1" customWidth="1"/>
    <col min="5" max="5" width="9.140625" style="4"/>
    <col min="6" max="6" width="3.42578125" style="4" customWidth="1"/>
    <col min="7" max="7" width="27.5703125" style="4" bestFit="1" customWidth="1"/>
    <col min="8" max="8" width="9.140625" style="4"/>
    <col min="9" max="9" width="12.28515625" style="4" bestFit="1" customWidth="1"/>
    <col min="10" max="10" width="5.140625" style="4" customWidth="1"/>
    <col min="11" max="11" width="16.5703125" style="4" bestFit="1" customWidth="1"/>
    <col min="12" max="12" width="12" style="4" bestFit="1" customWidth="1"/>
    <col min="13" max="13" width="12.140625" style="4" bestFit="1" customWidth="1"/>
    <col min="14" max="15" width="15" style="4" bestFit="1" customWidth="1"/>
    <col min="16" max="16384" width="9.140625" style="4"/>
  </cols>
  <sheetData>
    <row r="2" spans="2:12" x14ac:dyDescent="0.25">
      <c r="B2" s="65" t="s">
        <v>67</v>
      </c>
      <c r="C2" s="65"/>
      <c r="D2" s="65"/>
      <c r="E2" s="65"/>
      <c r="G2" s="65" t="s">
        <v>89</v>
      </c>
      <c r="H2" s="65"/>
      <c r="I2" s="65"/>
    </row>
    <row r="3" spans="2:12" ht="9.75" customHeight="1" x14ac:dyDescent="0.25"/>
    <row r="4" spans="2:12" x14ac:dyDescent="0.25">
      <c r="B4" s="4" t="s">
        <v>68</v>
      </c>
      <c r="C4" s="4" t="s">
        <v>13</v>
      </c>
      <c r="D4" s="39">
        <f>Assumption!D7</f>
        <v>73000</v>
      </c>
      <c r="G4" s="4" t="s">
        <v>68</v>
      </c>
      <c r="H4" s="4" t="s">
        <v>13</v>
      </c>
      <c r="I4" s="39">
        <f>Assumption!D7</f>
        <v>73000</v>
      </c>
      <c r="L4"/>
    </row>
    <row r="5" spans="2:12" x14ac:dyDescent="0.25">
      <c r="B5" s="4" t="s">
        <v>69</v>
      </c>
      <c r="C5" s="4" t="s">
        <v>90</v>
      </c>
      <c r="D5" s="39">
        <f>D4*Assumption!D12</f>
        <v>730000</v>
      </c>
      <c r="G5" s="4" t="s">
        <v>92</v>
      </c>
      <c r="H5" s="4" t="s">
        <v>90</v>
      </c>
      <c r="I5" s="39">
        <f>I4*Assumption!D12</f>
        <v>730000</v>
      </c>
    </row>
    <row r="7" spans="2:12" x14ac:dyDescent="0.25">
      <c r="B7" s="4" t="s">
        <v>91</v>
      </c>
      <c r="D7" s="38">
        <v>0</v>
      </c>
      <c r="G7" s="4" t="s">
        <v>91</v>
      </c>
      <c r="I7" s="43">
        <f>Assumption!H15</f>
        <v>217200</v>
      </c>
    </row>
    <row r="8" spans="2:12" x14ac:dyDescent="0.25">
      <c r="B8" s="36" t="s">
        <v>70</v>
      </c>
      <c r="C8" s="36"/>
      <c r="D8" s="37">
        <v>0</v>
      </c>
      <c r="E8" s="36"/>
      <c r="F8" s="36"/>
      <c r="G8" s="36" t="s">
        <v>70</v>
      </c>
      <c r="H8" s="36"/>
      <c r="I8" s="37">
        <f>'Model '!D16</f>
        <v>0.68538203194535252</v>
      </c>
      <c r="J8" s="37"/>
    </row>
    <row r="9" spans="2:12" x14ac:dyDescent="0.25">
      <c r="B9" s="36" t="s">
        <v>75</v>
      </c>
      <c r="C9" s="36"/>
      <c r="D9" s="38">
        <v>0</v>
      </c>
      <c r="E9" s="36"/>
      <c r="F9" s="36"/>
      <c r="G9" s="36" t="s">
        <v>75</v>
      </c>
      <c r="H9" s="36"/>
      <c r="I9" s="39">
        <f>'Model '!D20</f>
        <v>80186401.000140324</v>
      </c>
      <c r="J9" s="39"/>
    </row>
    <row r="10" spans="2:12" x14ac:dyDescent="0.25">
      <c r="B10" s="4" t="s">
        <v>76</v>
      </c>
      <c r="D10" s="40" t="s">
        <v>77</v>
      </c>
      <c r="G10" s="4" t="s">
        <v>76</v>
      </c>
      <c r="I10" s="40" t="s">
        <v>78</v>
      </c>
      <c r="J10" s="40"/>
    </row>
    <row r="11" spans="2:12" x14ac:dyDescent="0.25">
      <c r="B11" s="4" t="s">
        <v>79</v>
      </c>
      <c r="C11" s="4" t="s">
        <v>80</v>
      </c>
      <c r="D11" s="4">
        <v>0</v>
      </c>
      <c r="G11" s="4" t="s">
        <v>79</v>
      </c>
      <c r="H11" s="4" t="s">
        <v>80</v>
      </c>
      <c r="I11" s="8">
        <f>SUM('Model '!E4:AC4)*Assumption!G21/1000</f>
        <v>761735.68628345826</v>
      </c>
      <c r="J11" s="40"/>
    </row>
    <row r="12" spans="2:12" x14ac:dyDescent="0.25">
      <c r="B12" s="4" t="s">
        <v>103</v>
      </c>
      <c r="D12" s="40" t="s">
        <v>77</v>
      </c>
      <c r="G12" s="4" t="s">
        <v>103</v>
      </c>
      <c r="I12" s="40" t="s">
        <v>78</v>
      </c>
      <c r="J12" s="8"/>
    </row>
    <row r="13" spans="2:12" ht="6" customHeight="1" x14ac:dyDescent="0.25"/>
    <row r="15" spans="2:12" x14ac:dyDescent="0.25">
      <c r="B15" s="4" t="s">
        <v>71</v>
      </c>
    </row>
    <row r="16" spans="2:12" x14ac:dyDescent="0.25">
      <c r="B16" s="4" t="s">
        <v>72</v>
      </c>
    </row>
    <row r="17" spans="2:15" x14ac:dyDescent="0.25">
      <c r="B17" s="4" t="s">
        <v>73</v>
      </c>
    </row>
    <row r="18" spans="2:15" ht="30" x14ac:dyDescent="0.25">
      <c r="B18" s="44" t="s">
        <v>74</v>
      </c>
      <c r="K18" s="41" t="s">
        <v>10</v>
      </c>
      <c r="L18" s="41" t="s">
        <v>82</v>
      </c>
      <c r="M18" s="41" t="s">
        <v>83</v>
      </c>
      <c r="N18" s="41" t="s">
        <v>84</v>
      </c>
      <c r="O18" s="41" t="s">
        <v>85</v>
      </c>
    </row>
    <row r="19" spans="2:15" x14ac:dyDescent="0.25">
      <c r="B19" s="61" t="s">
        <v>81</v>
      </c>
      <c r="C19" s="62"/>
      <c r="D19" s="62"/>
      <c r="E19" s="63">
        <f>Assumption!H15</f>
        <v>217200</v>
      </c>
      <c r="F19" s="64"/>
      <c r="K19" s="42" t="s">
        <v>81</v>
      </c>
      <c r="L19" s="52">
        <f>Assumption!H15</f>
        <v>217200</v>
      </c>
      <c r="M19" s="52">
        <f>Assumption!H15</f>
        <v>217200</v>
      </c>
      <c r="N19" s="52">
        <f>Assumption!H15</f>
        <v>217200</v>
      </c>
      <c r="O19" s="52">
        <f>Assumption!H15</f>
        <v>217200</v>
      </c>
    </row>
    <row r="20" spans="2:15" x14ac:dyDescent="0.25">
      <c r="B20" s="53" t="s">
        <v>93</v>
      </c>
      <c r="C20" s="54"/>
      <c r="D20" s="54"/>
      <c r="E20" s="57">
        <f>'Model '!D16</f>
        <v>0.68538203194535252</v>
      </c>
      <c r="F20" s="58"/>
      <c r="K20" s="42" t="s">
        <v>104</v>
      </c>
      <c r="L20" s="48">
        <v>7.7499999999999999E-2</v>
      </c>
      <c r="M20" s="48">
        <v>0.13400000000000001</v>
      </c>
      <c r="N20" s="48">
        <v>0.22869999999999999</v>
      </c>
      <c r="O20" s="69">
        <f>((O21/O19)^(1/25))-1</f>
        <v>0.26674627543015639</v>
      </c>
    </row>
    <row r="21" spans="2:15" x14ac:dyDescent="0.25">
      <c r="B21" s="55" t="s">
        <v>94</v>
      </c>
      <c r="C21" s="56"/>
      <c r="D21" s="56"/>
      <c r="E21" s="59">
        <f>'Model '!D20</f>
        <v>80186401.000140324</v>
      </c>
      <c r="F21" s="60"/>
      <c r="K21" s="42" t="s">
        <v>95</v>
      </c>
      <c r="L21" s="52">
        <f>FV(L20,25,0,-L19)</f>
        <v>1403756.5371403794</v>
      </c>
      <c r="M21" s="52">
        <f t="shared" ref="M21:N21" si="0">FV(M20,25,0,-M19)</f>
        <v>5037165.0901443465</v>
      </c>
      <c r="N21" s="52">
        <f>FV(N20,25,0,-N19)</f>
        <v>37411599.611063883</v>
      </c>
      <c r="O21" s="52">
        <f>'Model '!D20</f>
        <v>80186401.000140324</v>
      </c>
    </row>
    <row r="22" spans="2:15" x14ac:dyDescent="0.25">
      <c r="K22" s="42" t="s">
        <v>86</v>
      </c>
      <c r="L22" s="42" t="s">
        <v>87</v>
      </c>
      <c r="M22" s="42" t="s">
        <v>88</v>
      </c>
      <c r="N22" s="42" t="s">
        <v>88</v>
      </c>
      <c r="O22" s="42" t="s">
        <v>87</v>
      </c>
    </row>
    <row r="23" spans="2:15" x14ac:dyDescent="0.25">
      <c r="N23" s="68"/>
      <c r="O23" s="68"/>
    </row>
  </sheetData>
  <mergeCells count="8">
    <mergeCell ref="B2:E2"/>
    <mergeCell ref="G2:I2"/>
    <mergeCell ref="B20:D20"/>
    <mergeCell ref="B21:D21"/>
    <mergeCell ref="E20:F20"/>
    <mergeCell ref="E21:F21"/>
    <mergeCell ref="B19:D19"/>
    <mergeCell ref="E19:F19"/>
  </mergeCells>
  <hyperlinks>
    <hyperlink ref="M20" r:id="rId1" display="https://www.livemint.com/market/stock-market-news/sensex-at-74-000-a-look-at-its-journey-from-1-000-in-1990-to-current-level-indian-stock-market-journey-sensex-nifty-11709789894348.html" xr:uid="{ECB6D121-CFD8-4A1A-9783-E223179BF419}"/>
    <hyperlink ref="L20" r:id="rId2" display="https://www.google.com/search?q=fixed+deposit+highest+return&amp;rlz=1C1CHZN_enIN1027IN1027&amp;oq=fixed+deposit+highest+return&amp;gs_lcrp=EgZjaHJvbWUyCQgAEEUYORiABDIICAEQABgWGB4yDQgCEAAYhgMYgAQYigUyDQgDEAAYhgMYgAQYigUyCggEEAAYgAQYogTSAQk4ODM1ajBqMTWoAgiwAgE&amp;sourceid=chrome&amp;ie=UTF-8" xr:uid="{16168D8B-4D61-448E-8273-3232BFCD87EC}"/>
    <hyperlink ref="N20" r:id="rId3" display="https://www.moneycontrol.com/mutual-funds/find-fund/" xr:uid="{7CE36B65-3574-44AF-8179-5BEB0DEF786C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CFF1-3622-48E1-A566-34A5B0ED4558}">
  <dimension ref="B1:O21"/>
  <sheetViews>
    <sheetView zoomScaleNormal="100" workbookViewId="0">
      <selection activeCell="G16" sqref="G16"/>
    </sheetView>
  </sheetViews>
  <sheetFormatPr defaultRowHeight="15" x14ac:dyDescent="0.25"/>
  <cols>
    <col min="1" max="1" width="2.7109375" style="4" customWidth="1"/>
    <col min="2" max="2" width="26.140625" style="4" customWidth="1"/>
    <col min="3" max="3" width="9.140625" style="4"/>
    <col min="4" max="4" width="10" style="4" bestFit="1" customWidth="1"/>
    <col min="5" max="5" width="10.42578125" style="4" customWidth="1"/>
    <col min="6" max="6" width="38" style="4" bestFit="1" customWidth="1"/>
    <col min="7" max="7" width="11.7109375" style="4" bestFit="1" customWidth="1"/>
    <col min="8" max="8" width="14.28515625" style="4" bestFit="1" customWidth="1"/>
    <col min="9" max="9" width="2.5703125" style="4" customWidth="1"/>
    <col min="10" max="10" width="3.28515625" style="4" customWidth="1"/>
    <col min="11" max="11" width="24.140625" style="4" customWidth="1"/>
    <col min="12" max="13" width="9.140625" style="4"/>
    <col min="14" max="14" width="4.5703125" style="4" customWidth="1"/>
    <col min="15" max="16384" width="9.140625" style="4"/>
  </cols>
  <sheetData>
    <row r="1" spans="2:15" ht="18.75" x14ac:dyDescent="0.3">
      <c r="B1" s="67" t="s">
        <v>66</v>
      </c>
      <c r="C1" s="67"/>
      <c r="D1" s="67"/>
      <c r="E1" s="67"/>
      <c r="F1" s="67"/>
      <c r="G1" s="67"/>
    </row>
    <row r="2" spans="2:15" x14ac:dyDescent="0.25">
      <c r="J2" s="46"/>
      <c r="K2" s="4" t="s">
        <v>62</v>
      </c>
    </row>
    <row r="3" spans="2:15" x14ac:dyDescent="0.25">
      <c r="B3" s="2" t="s">
        <v>0</v>
      </c>
      <c r="C3" s="2" t="s">
        <v>1</v>
      </c>
      <c r="D3" s="4" t="s">
        <v>97</v>
      </c>
      <c r="E3" s="25"/>
      <c r="F3" s="2" t="s">
        <v>0</v>
      </c>
      <c r="G3" s="2" t="s">
        <v>1</v>
      </c>
      <c r="J3" s="47"/>
      <c r="K3" s="4" t="s">
        <v>63</v>
      </c>
    </row>
    <row r="4" spans="2:15" x14ac:dyDescent="0.25">
      <c r="C4" s="24"/>
      <c r="E4" s="25"/>
      <c r="F4" s="10" t="s">
        <v>17</v>
      </c>
      <c r="G4" s="24" t="s">
        <v>18</v>
      </c>
      <c r="H4" s="11">
        <v>45</v>
      </c>
      <c r="K4" s="4" t="s">
        <v>102</v>
      </c>
    </row>
    <row r="5" spans="2:15" x14ac:dyDescent="0.25">
      <c r="B5" s="4" t="s">
        <v>2</v>
      </c>
      <c r="C5" s="24" t="s">
        <v>3</v>
      </c>
      <c r="D5" s="11">
        <v>50</v>
      </c>
      <c r="E5" s="25" t="s">
        <v>20</v>
      </c>
      <c r="F5" s="4" t="s">
        <v>21</v>
      </c>
      <c r="G5" s="24"/>
      <c r="H5" s="8">
        <f>D5*H4*1000</f>
        <v>2250000</v>
      </c>
    </row>
    <row r="6" spans="2:15" x14ac:dyDescent="0.25">
      <c r="B6" s="10" t="s">
        <v>4</v>
      </c>
      <c r="C6" s="24" t="s">
        <v>5</v>
      </c>
      <c r="D6" s="11">
        <v>4</v>
      </c>
      <c r="E6" s="25"/>
      <c r="G6" s="24"/>
      <c r="K6" s="4" t="s">
        <v>64</v>
      </c>
      <c r="L6" s="13"/>
    </row>
    <row r="7" spans="2:15" x14ac:dyDescent="0.25">
      <c r="B7" s="4" t="s">
        <v>6</v>
      </c>
      <c r="C7" s="24" t="s">
        <v>5</v>
      </c>
      <c r="D7" s="8">
        <f>365*D6*D5</f>
        <v>73000</v>
      </c>
      <c r="E7" s="25"/>
      <c r="F7" s="4" t="s">
        <v>19</v>
      </c>
      <c r="G7" s="24"/>
      <c r="H7" s="8">
        <v>78000</v>
      </c>
      <c r="K7" s="4" t="s">
        <v>65</v>
      </c>
      <c r="L7" s="23"/>
    </row>
    <row r="8" spans="2:15" x14ac:dyDescent="0.25">
      <c r="C8" s="24"/>
      <c r="E8" s="25"/>
      <c r="F8" s="4" t="s">
        <v>22</v>
      </c>
      <c r="G8" s="24"/>
      <c r="H8" s="6">
        <f>H5-H7</f>
        <v>2172000</v>
      </c>
    </row>
    <row r="9" spans="2:15" x14ac:dyDescent="0.25">
      <c r="B9" s="4" t="s">
        <v>11</v>
      </c>
      <c r="C9" s="24" t="s">
        <v>13</v>
      </c>
      <c r="D9" s="12">
        <v>4.4999999999999998E-2</v>
      </c>
      <c r="E9" s="25"/>
      <c r="G9" s="24"/>
      <c r="H9" s="6"/>
    </row>
    <row r="10" spans="2:15" x14ac:dyDescent="0.25">
      <c r="B10" s="10" t="s">
        <v>61</v>
      </c>
      <c r="C10" s="24" t="s">
        <v>13</v>
      </c>
      <c r="D10" s="12">
        <v>0.01</v>
      </c>
      <c r="E10" s="25"/>
      <c r="F10" s="4" t="s">
        <v>34</v>
      </c>
      <c r="G10" s="24" t="s">
        <v>35</v>
      </c>
      <c r="H10" s="11">
        <v>3</v>
      </c>
      <c r="K10" s="61" t="s">
        <v>81</v>
      </c>
      <c r="L10" s="62"/>
      <c r="M10" s="62"/>
      <c r="N10" s="63">
        <f>H15</f>
        <v>217200</v>
      </c>
      <c r="O10" s="64"/>
    </row>
    <row r="11" spans="2:15" x14ac:dyDescent="0.25">
      <c r="C11" s="24"/>
      <c r="E11" s="25"/>
      <c r="F11" s="4" t="s">
        <v>23</v>
      </c>
      <c r="G11" s="24" t="s">
        <v>26</v>
      </c>
      <c r="H11" s="11">
        <v>4000</v>
      </c>
      <c r="K11" s="53" t="s">
        <v>93</v>
      </c>
      <c r="L11" s="54"/>
      <c r="M11" s="54"/>
      <c r="N11" s="57">
        <f>'Model '!D16</f>
        <v>0.68538203194535252</v>
      </c>
      <c r="O11" s="58"/>
    </row>
    <row r="12" spans="2:15" x14ac:dyDescent="0.25">
      <c r="B12" s="4" t="s">
        <v>14</v>
      </c>
      <c r="C12" s="24" t="s">
        <v>15</v>
      </c>
      <c r="D12" s="11">
        <v>10</v>
      </c>
      <c r="E12" s="25"/>
      <c r="F12" s="4" t="s">
        <v>24</v>
      </c>
      <c r="G12" s="24" t="s">
        <v>15</v>
      </c>
      <c r="H12" s="4">
        <f>D5/5*H11</f>
        <v>40000</v>
      </c>
      <c r="K12" s="55" t="s">
        <v>94</v>
      </c>
      <c r="L12" s="56"/>
      <c r="M12" s="56"/>
      <c r="N12" s="59">
        <f>'Model '!D20</f>
        <v>80186401.000140324</v>
      </c>
      <c r="O12" s="60"/>
    </row>
    <row r="13" spans="2:15" x14ac:dyDescent="0.25">
      <c r="B13" s="4" t="s">
        <v>7</v>
      </c>
      <c r="C13" s="24" t="s">
        <v>8</v>
      </c>
      <c r="D13" s="13">
        <v>0.12</v>
      </c>
      <c r="E13" s="25"/>
    </row>
    <row r="14" spans="2:15" x14ac:dyDescent="0.25">
      <c r="B14" s="4" t="s">
        <v>36</v>
      </c>
      <c r="C14" s="24" t="s">
        <v>37</v>
      </c>
      <c r="D14" s="11">
        <v>5</v>
      </c>
      <c r="E14" s="25"/>
      <c r="F14" s="2" t="s">
        <v>27</v>
      </c>
      <c r="G14" s="2" t="s">
        <v>30</v>
      </c>
      <c r="H14" s="2" t="s">
        <v>32</v>
      </c>
    </row>
    <row r="15" spans="2:15" x14ac:dyDescent="0.25">
      <c r="B15" s="4" t="s">
        <v>38</v>
      </c>
      <c r="C15" s="24"/>
      <c r="D15" s="8">
        <f>Debt!D7</f>
        <v>43483.446334445987</v>
      </c>
      <c r="E15" s="25"/>
      <c r="F15" s="4" t="s">
        <v>28</v>
      </c>
      <c r="G15" s="13">
        <v>0.1</v>
      </c>
      <c r="H15" s="6">
        <f>H8*G15</f>
        <v>217200</v>
      </c>
    </row>
    <row r="16" spans="2:15" x14ac:dyDescent="0.25">
      <c r="B16" s="10" t="s">
        <v>9</v>
      </c>
      <c r="C16" s="24"/>
      <c r="D16" s="23">
        <v>0.1</v>
      </c>
      <c r="E16" s="24" t="s">
        <v>56</v>
      </c>
      <c r="F16" s="4" t="s">
        <v>29</v>
      </c>
      <c r="G16" s="5">
        <f>100%-G15</f>
        <v>0.9</v>
      </c>
      <c r="H16" s="6">
        <f>H8*G16</f>
        <v>1954800</v>
      </c>
    </row>
    <row r="17" spans="2:8" x14ac:dyDescent="0.25">
      <c r="B17" s="14" t="s">
        <v>50</v>
      </c>
      <c r="C17" s="24"/>
      <c r="E17" s="66" t="s">
        <v>39</v>
      </c>
      <c r="F17" s="4" t="s">
        <v>31</v>
      </c>
      <c r="G17" s="5">
        <f>SUM(G15:G16)</f>
        <v>1</v>
      </c>
      <c r="H17" s="6">
        <f>SUM(H15:H16)</f>
        <v>2172000</v>
      </c>
    </row>
    <row r="18" spans="2:8" x14ac:dyDescent="0.25">
      <c r="B18" s="4" t="s">
        <v>40</v>
      </c>
      <c r="C18" s="24"/>
      <c r="D18" s="13">
        <v>0.05</v>
      </c>
      <c r="E18" s="66"/>
    </row>
    <row r="19" spans="2:8" x14ac:dyDescent="0.25">
      <c r="B19" s="1" t="s">
        <v>96</v>
      </c>
      <c r="C19" s="24"/>
      <c r="D19" s="13">
        <v>0.15</v>
      </c>
      <c r="E19" s="45" t="s">
        <v>84</v>
      </c>
      <c r="F19" s="4" t="s">
        <v>58</v>
      </c>
      <c r="G19" s="13">
        <v>0.1</v>
      </c>
    </row>
    <row r="20" spans="2:8" x14ac:dyDescent="0.25">
      <c r="F20" s="4" t="s">
        <v>57</v>
      </c>
      <c r="G20" s="6">
        <f>H17*G19</f>
        <v>217200</v>
      </c>
    </row>
    <row r="21" spans="2:8" x14ac:dyDescent="0.25">
      <c r="F21" s="4" t="s">
        <v>101</v>
      </c>
      <c r="G21" s="11">
        <v>475</v>
      </c>
    </row>
  </sheetData>
  <mergeCells count="8">
    <mergeCell ref="E17:E18"/>
    <mergeCell ref="B1:G1"/>
    <mergeCell ref="K10:M10"/>
    <mergeCell ref="N10:O10"/>
    <mergeCell ref="K11:M11"/>
    <mergeCell ref="N11:O11"/>
    <mergeCell ref="K12:M12"/>
    <mergeCell ref="N12:O12"/>
  </mergeCells>
  <hyperlinks>
    <hyperlink ref="B16" r:id="rId1" xr:uid="{73C551E0-DCBA-4F88-AE74-F3BC4D535A62}"/>
    <hyperlink ref="B10" r:id="rId2" xr:uid="{634CDF32-CAFC-4B80-AE32-8664307C0DE8}"/>
    <hyperlink ref="B6" location="Sheet2!A1" display="Production per KW" xr:uid="{86B2F569-B1FE-4DEA-89CB-BF86E085C443}"/>
    <hyperlink ref="F4" r:id="rId3" xr:uid="{9C4DAE29-6012-405D-B6A7-8BE1155F2C79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D9F6-E856-46B6-8DB3-8839E1D3B14A}">
  <dimension ref="B1:AD22"/>
  <sheetViews>
    <sheetView zoomScaleNormal="100" workbookViewId="0">
      <selection activeCell="F17" sqref="F17"/>
    </sheetView>
  </sheetViews>
  <sheetFormatPr defaultRowHeight="15" x14ac:dyDescent="0.25"/>
  <cols>
    <col min="1" max="1" width="4" style="4" customWidth="1"/>
    <col min="2" max="2" width="29.85546875" style="4" bestFit="1" customWidth="1"/>
    <col min="3" max="3" width="8.5703125" style="4" customWidth="1"/>
    <col min="4" max="4" width="13.42578125" style="4" bestFit="1" customWidth="1"/>
    <col min="5" max="29" width="11.7109375" style="4" bestFit="1" customWidth="1"/>
    <col min="30" max="16384" width="9.140625" style="4"/>
  </cols>
  <sheetData>
    <row r="1" spans="2:29" x14ac:dyDescent="0.25">
      <c r="E1" s="32">
        <v>1</v>
      </c>
      <c r="F1" s="32">
        <v>2</v>
      </c>
      <c r="G1" s="32">
        <v>3</v>
      </c>
      <c r="H1" s="32">
        <v>4</v>
      </c>
      <c r="I1" s="32">
        <v>5</v>
      </c>
      <c r="J1" s="32">
        <v>6</v>
      </c>
      <c r="K1" s="32">
        <v>7</v>
      </c>
      <c r="L1" s="32">
        <v>8</v>
      </c>
      <c r="M1" s="32">
        <v>9</v>
      </c>
      <c r="N1" s="32">
        <v>10</v>
      </c>
      <c r="O1" s="32">
        <v>11</v>
      </c>
      <c r="P1" s="32">
        <v>12</v>
      </c>
      <c r="Q1" s="32">
        <v>13</v>
      </c>
      <c r="R1" s="32">
        <v>14</v>
      </c>
      <c r="S1" s="32">
        <v>15</v>
      </c>
      <c r="T1" s="32">
        <v>16</v>
      </c>
      <c r="U1" s="32">
        <v>17</v>
      </c>
      <c r="V1" s="32">
        <v>18</v>
      </c>
      <c r="W1" s="32">
        <v>19</v>
      </c>
      <c r="X1" s="32">
        <v>20</v>
      </c>
      <c r="Y1" s="32">
        <v>21</v>
      </c>
      <c r="Z1" s="32">
        <v>22</v>
      </c>
      <c r="AA1" s="32">
        <v>23</v>
      </c>
      <c r="AB1" s="32">
        <v>24</v>
      </c>
      <c r="AC1" s="32">
        <v>25</v>
      </c>
    </row>
    <row r="2" spans="2:29" x14ac:dyDescent="0.25">
      <c r="B2" s="2" t="s">
        <v>10</v>
      </c>
      <c r="C2" s="3" t="s">
        <v>1</v>
      </c>
      <c r="D2" s="15"/>
      <c r="E2" s="7">
        <v>2024</v>
      </c>
      <c r="F2" s="2">
        <v>2025</v>
      </c>
      <c r="G2" s="2">
        <v>2026</v>
      </c>
      <c r="H2" s="2">
        <v>2027</v>
      </c>
      <c r="I2" s="2">
        <v>2028</v>
      </c>
      <c r="J2" s="2">
        <v>2029</v>
      </c>
      <c r="K2" s="2">
        <v>2030</v>
      </c>
      <c r="L2" s="2">
        <v>2031</v>
      </c>
      <c r="M2" s="2">
        <v>2032</v>
      </c>
      <c r="N2" s="2">
        <v>2033</v>
      </c>
      <c r="O2" s="2">
        <v>2034</v>
      </c>
      <c r="P2" s="2">
        <v>2035</v>
      </c>
      <c r="Q2" s="2">
        <v>2036</v>
      </c>
      <c r="R2" s="2">
        <v>2037</v>
      </c>
      <c r="S2" s="2">
        <v>2038</v>
      </c>
      <c r="T2" s="2">
        <v>2039</v>
      </c>
      <c r="U2" s="2">
        <v>2040</v>
      </c>
      <c r="V2" s="2">
        <v>2041</v>
      </c>
      <c r="W2" s="2">
        <v>2042</v>
      </c>
      <c r="X2" s="2">
        <v>2043</v>
      </c>
      <c r="Y2" s="2">
        <v>2044</v>
      </c>
      <c r="Z2" s="2">
        <v>2045</v>
      </c>
      <c r="AA2" s="2">
        <v>2046</v>
      </c>
      <c r="AB2" s="2">
        <v>2047</v>
      </c>
      <c r="AC2" s="2">
        <v>2048</v>
      </c>
    </row>
    <row r="3" spans="2:29" x14ac:dyDescent="0.25">
      <c r="D3" s="15"/>
    </row>
    <row r="4" spans="2:29" x14ac:dyDescent="0.25">
      <c r="B4" s="4" t="s">
        <v>12</v>
      </c>
      <c r="C4" s="4" t="s">
        <v>1</v>
      </c>
      <c r="D4" s="16">
        <f>Assumption!D7</f>
        <v>73000</v>
      </c>
      <c r="E4" s="17">
        <f>D4*((12-Assumption!H10)/12)</f>
        <v>54750</v>
      </c>
      <c r="F4" s="18">
        <f>D4*(1-Assumption!$D$10)</f>
        <v>72270</v>
      </c>
      <c r="G4" s="18">
        <f>F4*(1-Assumption!$D$10)</f>
        <v>71547.3</v>
      </c>
      <c r="H4" s="18">
        <f>G4*(1-Assumption!$D$10)</f>
        <v>70831.827000000005</v>
      </c>
      <c r="I4" s="18">
        <f>H4*(1-Assumption!$D$10)</f>
        <v>70123.508730000001</v>
      </c>
      <c r="J4" s="18">
        <f>I4*(1-Assumption!$D$10)</f>
        <v>69422.273642700005</v>
      </c>
      <c r="K4" s="18">
        <f>J4*(1-Assumption!$D$10)</f>
        <v>68728.050906272998</v>
      </c>
      <c r="L4" s="18">
        <f>K4*(1-Assumption!$D$10)</f>
        <v>68040.770397210261</v>
      </c>
      <c r="M4" s="18">
        <f>L4*(1-Assumption!$D$10)</f>
        <v>67360.362693238159</v>
      </c>
      <c r="N4" s="18">
        <f>M4*(1-Assumption!$D$10)</f>
        <v>66686.759066305778</v>
      </c>
      <c r="O4" s="18">
        <f>N4*(1-Assumption!$D$10)</f>
        <v>66019.891475642726</v>
      </c>
      <c r="P4" s="18">
        <f>O4*(1-Assumption!$D$10)</f>
        <v>65359.692560886295</v>
      </c>
      <c r="Q4" s="18">
        <f>P4*(1-Assumption!$D$10)</f>
        <v>64706.09563527743</v>
      </c>
      <c r="R4" s="18">
        <f>Q4*(1-Assumption!$D$10)</f>
        <v>64059.034678924654</v>
      </c>
      <c r="S4" s="18">
        <f>R4*(1-Assumption!$D$10)</f>
        <v>63418.444332135405</v>
      </c>
      <c r="T4" s="18">
        <f>S4*(1-Assumption!$D$10)</f>
        <v>62784.259888814049</v>
      </c>
      <c r="U4" s="18">
        <f>T4*(1-Assumption!$D$10)</f>
        <v>62156.417289925907</v>
      </c>
      <c r="V4" s="18">
        <f>U4*(1-Assumption!$D$10)</f>
        <v>61534.853117026643</v>
      </c>
      <c r="W4" s="18">
        <f>V4*(1-Assumption!$D$10)</f>
        <v>60919.504585856375</v>
      </c>
      <c r="X4" s="18">
        <f>W4*(1-Assumption!$D$10)</f>
        <v>60310.309539997812</v>
      </c>
      <c r="Y4" s="18">
        <f>X4*(1-Assumption!$D$10)</f>
        <v>59707.206444597832</v>
      </c>
      <c r="Z4" s="18">
        <f>Y4*(1-Assumption!$D$10)</f>
        <v>59110.134380151852</v>
      </c>
      <c r="AA4" s="18">
        <f>Z4*(1-Assumption!$D$10)</f>
        <v>58519.033036350331</v>
      </c>
      <c r="AB4" s="18">
        <f>AA4*(1-Assumption!$D$10)</f>
        <v>57933.842705986826</v>
      </c>
      <c r="AC4" s="18">
        <f>AB4*(1-Assumption!$D$10)</f>
        <v>57354.504278926957</v>
      </c>
    </row>
    <row r="5" spans="2:29" x14ac:dyDescent="0.25">
      <c r="B5" s="4" t="s">
        <v>16</v>
      </c>
      <c r="C5" s="4" t="s">
        <v>15</v>
      </c>
      <c r="D5" s="9"/>
      <c r="E5" s="8">
        <f>'Model '!E4*Assumption!$D$12</f>
        <v>547500</v>
      </c>
      <c r="F5" s="8">
        <f>'Model '!F4*Assumption!$D$12</f>
        <v>722700</v>
      </c>
      <c r="G5" s="8">
        <f>'Model '!G4*Assumption!$D$12</f>
        <v>715473</v>
      </c>
      <c r="H5" s="8">
        <f>'Model '!H4*Assumption!$D$12</f>
        <v>708318.27</v>
      </c>
      <c r="I5" s="8">
        <f>'Model '!I4*Assumption!$D$12</f>
        <v>701235.08730000001</v>
      </c>
      <c r="J5" s="8">
        <f>'Model '!J4*Assumption!$D$12</f>
        <v>694222.73642700003</v>
      </c>
      <c r="K5" s="8">
        <f>'Model '!K4*Assumption!$D$12</f>
        <v>687280.50906273001</v>
      </c>
      <c r="L5" s="8">
        <f>'Model '!L4*Assumption!$D$12</f>
        <v>680407.70397210261</v>
      </c>
      <c r="M5" s="8">
        <f>'Model '!M4*Assumption!$D$12</f>
        <v>673603.62693238165</v>
      </c>
      <c r="N5" s="8">
        <f>'Model '!N4*Assumption!$D$12</f>
        <v>666867.59066305775</v>
      </c>
      <c r="O5" s="8">
        <f>'Model '!O4*Assumption!$D$12</f>
        <v>660198.91475642729</v>
      </c>
      <c r="P5" s="8">
        <f>'Model '!P4*Assumption!$D$12</f>
        <v>653596.92560886289</v>
      </c>
      <c r="Q5" s="8">
        <f>'Model '!Q4*Assumption!$D$12</f>
        <v>647060.95635277429</v>
      </c>
      <c r="R5" s="8">
        <f>'Model '!R4*Assumption!$D$12</f>
        <v>640590.34678924654</v>
      </c>
      <c r="S5" s="8">
        <f>'Model '!S4*Assumption!$D$12</f>
        <v>634184.44332135399</v>
      </c>
      <c r="T5" s="8">
        <f>'Model '!T4*Assumption!$D$12</f>
        <v>627842.59888814052</v>
      </c>
      <c r="U5" s="8">
        <f>'Model '!U4*Assumption!$D$12</f>
        <v>621564.17289925902</v>
      </c>
      <c r="V5" s="8">
        <f>'Model '!V4*Assumption!$D$12</f>
        <v>615348.53117026645</v>
      </c>
      <c r="W5" s="8">
        <f>'Model '!W4*Assumption!$D$12</f>
        <v>609195.04585856374</v>
      </c>
      <c r="X5" s="8">
        <f>'Model '!X4*Assumption!$D$12</f>
        <v>603103.0953999781</v>
      </c>
      <c r="Y5" s="8">
        <f>'Model '!Y4*Assumption!$D$12</f>
        <v>597072.06444597826</v>
      </c>
      <c r="Z5" s="8">
        <f>'Model '!Z4*Assumption!$D$12</f>
        <v>591101.34380151855</v>
      </c>
      <c r="AA5" s="8">
        <f>'Model '!AA4*Assumption!$D$12</f>
        <v>585190.33036350331</v>
      </c>
      <c r="AB5" s="8">
        <f>'Model '!AB4*Assumption!$D$12</f>
        <v>579338.42705986823</v>
      </c>
      <c r="AC5" s="8">
        <f>'Model '!AC4*Assumption!$D$12</f>
        <v>573545.04278926959</v>
      </c>
    </row>
    <row r="6" spans="2:29" x14ac:dyDescent="0.25">
      <c r="B6" s="4" t="s">
        <v>25</v>
      </c>
      <c r="D6" s="9"/>
      <c r="E6" s="8">
        <f>E5</f>
        <v>547500</v>
      </c>
      <c r="F6" s="8">
        <f>'Model '!F4*(Assumption!$D$12*(1+Assumption!D9))</f>
        <v>755221.5</v>
      </c>
      <c r="G6" s="8">
        <f>G5*(1+Assumption!$D$9)</f>
        <v>747669.28499999992</v>
      </c>
      <c r="H6" s="8">
        <f>H5*(1+Assumption!$D$9)</f>
        <v>740192.59214999992</v>
      </c>
      <c r="I6" s="8">
        <f>I5*(1+Assumption!$D$9)</f>
        <v>732790.66622849996</v>
      </c>
      <c r="J6" s="8">
        <f>J5*(1+Assumption!$D$9)</f>
        <v>725462.75956621498</v>
      </c>
      <c r="K6" s="8">
        <f>K5*(1+Assumption!$D$9)</f>
        <v>718208.13197055284</v>
      </c>
      <c r="L6" s="8">
        <f>L5*(1+Assumption!$D$9)</f>
        <v>711026.05065084714</v>
      </c>
      <c r="M6" s="8">
        <f>M5*(1+Assumption!$D$9)</f>
        <v>703915.79014433874</v>
      </c>
      <c r="N6" s="8">
        <f>N5*(1+Assumption!$D$9)</f>
        <v>696876.63224289531</v>
      </c>
      <c r="O6" s="8">
        <f>O5*(1+Assumption!$D$9)</f>
        <v>689907.86592046649</v>
      </c>
      <c r="P6" s="8">
        <f>P5*(1+Assumption!$D$9)</f>
        <v>683008.78726126172</v>
      </c>
      <c r="Q6" s="8">
        <f>Q5*(1+Assumption!$D$9)</f>
        <v>676178.69938864908</v>
      </c>
      <c r="R6" s="8">
        <f>R5*(1+Assumption!$D$9)</f>
        <v>669416.91239476262</v>
      </c>
      <c r="S6" s="8">
        <f>S5*(1+Assumption!$D$9)</f>
        <v>662722.74327081488</v>
      </c>
      <c r="T6" s="8">
        <f>T5*(1+Assumption!$D$9)</f>
        <v>656095.51583810674</v>
      </c>
      <c r="U6" s="8">
        <f>U5*(1+Assumption!$D$9)</f>
        <v>649534.5606797256</v>
      </c>
      <c r="V6" s="8">
        <f>V5*(1+Assumption!$D$9)</f>
        <v>643039.21507292835</v>
      </c>
      <c r="W6" s="8">
        <f>W5*(1+Assumption!$D$9)</f>
        <v>636608.82292219903</v>
      </c>
      <c r="X6" s="8">
        <f>X5*(1+Assumption!$D$9)</f>
        <v>630242.73469297704</v>
      </c>
      <c r="Y6" s="8">
        <f>Y5*(1+Assumption!$D$9)</f>
        <v>623940.30734604725</v>
      </c>
      <c r="Z6" s="8">
        <f>Z5*(1+Assumption!$D$9)</f>
        <v>617700.90427258681</v>
      </c>
      <c r="AA6" s="8">
        <f>AA5*(1+Assumption!$D$9)</f>
        <v>611523.89522986091</v>
      </c>
      <c r="AB6" s="8">
        <f>AB5*(1+Assumption!$D$9)</f>
        <v>605408.65627756226</v>
      </c>
      <c r="AC6" s="8">
        <f>AC5*(1+Assumption!$D$9)</f>
        <v>599354.56971478672</v>
      </c>
    </row>
    <row r="7" spans="2:29" x14ac:dyDescent="0.25">
      <c r="B7" s="4" t="s">
        <v>23</v>
      </c>
      <c r="D7" s="9">
        <f>Assumption!H12</f>
        <v>40000</v>
      </c>
      <c r="E7" s="8">
        <f>D7</f>
        <v>40000</v>
      </c>
      <c r="F7" s="8">
        <f>E7*(1+Assumption!$D$9)</f>
        <v>41800</v>
      </c>
      <c r="G7" s="8">
        <f>F7*(1+Assumption!$D$9)</f>
        <v>43681</v>
      </c>
      <c r="H7" s="8">
        <f>G7*(1+Assumption!$D$9)</f>
        <v>45646.644999999997</v>
      </c>
      <c r="I7" s="8">
        <f>H7*(1+Assumption!$D$9)</f>
        <v>47700.744024999993</v>
      </c>
      <c r="J7" s="8">
        <f>I7*(1+Assumption!$D$9)</f>
        <v>49847.277506124992</v>
      </c>
      <c r="K7" s="8">
        <f>J7*(1+Assumption!$D$9)</f>
        <v>52090.404993900614</v>
      </c>
      <c r="L7" s="8">
        <f>K7*(1+Assumption!$D$9)</f>
        <v>54434.473218626139</v>
      </c>
      <c r="M7" s="8">
        <f>L7*(1+Assumption!$D$9)</f>
        <v>56884.024513464312</v>
      </c>
      <c r="N7" s="8">
        <f>M7*(1+Assumption!$D$9)</f>
        <v>59443.8056165702</v>
      </c>
      <c r="O7" s="8">
        <f>N7*(1+Assumption!$D$9)</f>
        <v>62118.776869315858</v>
      </c>
      <c r="P7" s="8">
        <f>O7*(1+Assumption!$D$9)</f>
        <v>64914.121828435069</v>
      </c>
      <c r="Q7" s="8">
        <f>P7*(1+Assumption!$D$9)</f>
        <v>67835.257310714645</v>
      </c>
      <c r="R7" s="8">
        <f>Q7*(1+Assumption!$D$9)</f>
        <v>70887.8438896968</v>
      </c>
      <c r="S7" s="8">
        <f>R7*(1+Assumption!$D$9)</f>
        <v>74077.796864733158</v>
      </c>
      <c r="T7" s="8">
        <f>S7*(1+Assumption!$D$9)</f>
        <v>77411.297723646145</v>
      </c>
      <c r="U7" s="8">
        <f>T7*(1+Assumption!$D$9)</f>
        <v>80894.806121210218</v>
      </c>
      <c r="V7" s="8">
        <f>U7*(1+Assumption!$D$9)</f>
        <v>84535.072396664676</v>
      </c>
      <c r="W7" s="8">
        <f>V7*(1+Assumption!$D$9)</f>
        <v>88339.150654514582</v>
      </c>
      <c r="X7" s="8">
        <f>W7*(1+Assumption!$D$9)</f>
        <v>92314.412433967736</v>
      </c>
      <c r="Y7" s="8">
        <f>X7*(1+Assumption!$D$9)</f>
        <v>96468.560993496285</v>
      </c>
      <c r="Z7" s="8">
        <f>Y7*(1+Assumption!$D$9)</f>
        <v>100809.64623820361</v>
      </c>
      <c r="AA7" s="8">
        <f>Z7*(1+Assumption!$D$9)</f>
        <v>105346.08031892277</v>
      </c>
      <c r="AB7" s="8">
        <f>AA7*(1+Assumption!$D$9)</f>
        <v>110086.6539332743</v>
      </c>
      <c r="AC7" s="8">
        <f>AB7*(1+Assumption!$D$9)</f>
        <v>115040.55336027163</v>
      </c>
    </row>
    <row r="8" spans="2:29" x14ac:dyDescent="0.25"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25">
      <c r="B9" s="4" t="s">
        <v>33</v>
      </c>
      <c r="D9" s="9"/>
      <c r="E9" s="8">
        <f>IF(E1&lt;=Debt!$D$4,IFERROR(Debt!$D$8,0),0)</f>
        <v>521801.35601335182</v>
      </c>
      <c r="F9" s="8">
        <f>IF(F1&lt;=Debt!$D$4,IFERROR(Debt!$D$8,0),0)</f>
        <v>521801.35601335182</v>
      </c>
      <c r="G9" s="8">
        <f>IF(G1&lt;=Debt!$D$4,IFERROR(Debt!$D$8,0),0)</f>
        <v>521801.35601335182</v>
      </c>
      <c r="H9" s="8">
        <f>IF(H1&lt;=Debt!$D$4,IFERROR(Debt!$D$8,0),0)</f>
        <v>521801.35601335182</v>
      </c>
      <c r="I9" s="8">
        <f>IF(I1&lt;=Debt!$D$4,IFERROR(Debt!$D$8,0),0)</f>
        <v>521801.35601335182</v>
      </c>
      <c r="J9" s="8">
        <f>IF(J1&lt;=Debt!$D$4,IFERROR(Debt!$D$8,0),0)</f>
        <v>0</v>
      </c>
      <c r="K9" s="8">
        <f>IF(K1&lt;=Debt!$D$4,IFERROR(Debt!$D$8,0),0)</f>
        <v>0</v>
      </c>
      <c r="L9" s="8">
        <f>IF(L1&lt;=Debt!$D$4,IFERROR(Debt!$D$8,0),0)</f>
        <v>0</v>
      </c>
      <c r="M9" s="8">
        <f>IF(M1&lt;=Debt!$D$4,IFERROR(Debt!$D$8,0),0)</f>
        <v>0</v>
      </c>
      <c r="N9" s="8">
        <f>IF(N1&lt;=Debt!$D$4,IFERROR(Debt!$D$8,0),0)</f>
        <v>0</v>
      </c>
      <c r="O9" s="8">
        <f>IF(O1&lt;=Debt!$D$4,IFERROR(Debt!$D$8,0),0)</f>
        <v>0</v>
      </c>
      <c r="P9" s="8">
        <f>IF(P1&lt;=Debt!$D$4,IFERROR(Debt!$D$8,0),0)</f>
        <v>0</v>
      </c>
      <c r="Q9" s="8">
        <f>IF(Q1&lt;=Debt!$D$4,IFERROR(Debt!$D$8,0),0)</f>
        <v>0</v>
      </c>
      <c r="R9" s="8">
        <f>IF(R1&lt;=Debt!$D$4,IFERROR(Debt!$D$8,0),0)</f>
        <v>0</v>
      </c>
      <c r="S9" s="8">
        <f>IF(S1&lt;=Debt!$D$4,IFERROR(Debt!$D$8,0),0)</f>
        <v>0</v>
      </c>
      <c r="T9" s="8">
        <f>IF(T1&lt;=Debt!$D$4,IFERROR(Debt!$D$8,0),0)</f>
        <v>0</v>
      </c>
      <c r="U9" s="8">
        <f>IF(U1&lt;=Debt!$D$4,IFERROR(Debt!$D$8,0),0)</f>
        <v>0</v>
      </c>
      <c r="V9" s="8">
        <f>IF(V1&lt;=Debt!$D$4,IFERROR(Debt!$D$8,0),0)</f>
        <v>0</v>
      </c>
      <c r="W9" s="8">
        <f>IF(W1&lt;=Debt!$D$4,IFERROR(Debt!$D$8,0),0)</f>
        <v>0</v>
      </c>
      <c r="X9" s="8">
        <f>IF(X1&lt;=Debt!$D$4,IFERROR(Debt!$D$8,0),0)</f>
        <v>0</v>
      </c>
      <c r="Y9" s="8">
        <f>IF(Y1&lt;=Debt!$D$4,IFERROR(Debt!$D$8,0),0)</f>
        <v>0</v>
      </c>
      <c r="Z9" s="8">
        <f>IF(Z1&lt;=Debt!$D$4,IFERROR(Debt!$D$8,0),0)</f>
        <v>0</v>
      </c>
      <c r="AA9" s="8">
        <f>IF(AA1&lt;=Debt!$D$4,IFERROR(Debt!$D$8,0),0)</f>
        <v>0</v>
      </c>
      <c r="AB9" s="8">
        <f>IF(AB1&lt;=Debt!$D$4,IFERROR(Debt!$D$8,0),0)</f>
        <v>0</v>
      </c>
      <c r="AC9" s="8">
        <f>IF(AC1&lt;=Debt!$D$4,IFERROR(Debt!$D$8,0),0)</f>
        <v>0</v>
      </c>
    </row>
    <row r="10" spans="2:29" x14ac:dyDescent="0.25">
      <c r="B10" s="4" t="s">
        <v>48</v>
      </c>
      <c r="D10" s="9" t="s">
        <v>49</v>
      </c>
      <c r="E10" s="8">
        <f>Assumption!$H$17/10</f>
        <v>217200</v>
      </c>
      <c r="F10" s="8">
        <f>Assumption!$H$17/10</f>
        <v>217200</v>
      </c>
      <c r="G10" s="8">
        <f>Assumption!$H$17/10</f>
        <v>217200</v>
      </c>
      <c r="H10" s="8">
        <f>Assumption!$H$17/10</f>
        <v>217200</v>
      </c>
      <c r="I10" s="8">
        <f>Assumption!$H$17/10</f>
        <v>217200</v>
      </c>
      <c r="J10" s="8">
        <f>Assumption!$H$17/10</f>
        <v>217200</v>
      </c>
      <c r="K10" s="8">
        <f>Assumption!$H$17/10</f>
        <v>217200</v>
      </c>
      <c r="L10" s="8">
        <f>Assumption!$H$17/10</f>
        <v>217200</v>
      </c>
      <c r="M10" s="8">
        <f>Assumption!$H$17/10</f>
        <v>217200</v>
      </c>
      <c r="N10" s="8">
        <f>Assumption!$H$17/10</f>
        <v>217200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2:29" x14ac:dyDescent="0.25">
      <c r="B11" s="4" t="s">
        <v>47</v>
      </c>
      <c r="D11" s="19">
        <f>Assumption!D18</f>
        <v>0.05</v>
      </c>
      <c r="E11" s="8">
        <f>E10*$D$11</f>
        <v>10860</v>
      </c>
      <c r="F11" s="8">
        <f t="shared" ref="F11:N11" si="0">F10*$D$11</f>
        <v>10860</v>
      </c>
      <c r="G11" s="8">
        <f t="shared" si="0"/>
        <v>10860</v>
      </c>
      <c r="H11" s="8">
        <f t="shared" si="0"/>
        <v>10860</v>
      </c>
      <c r="I11" s="8">
        <f t="shared" si="0"/>
        <v>10860</v>
      </c>
      <c r="J11" s="8">
        <f t="shared" si="0"/>
        <v>10860</v>
      </c>
      <c r="K11" s="8">
        <f t="shared" si="0"/>
        <v>10860</v>
      </c>
      <c r="L11" s="8">
        <f t="shared" si="0"/>
        <v>10860</v>
      </c>
      <c r="M11" s="8">
        <f t="shared" si="0"/>
        <v>10860</v>
      </c>
      <c r="N11" s="8">
        <f t="shared" si="0"/>
        <v>10860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2:29" x14ac:dyDescent="0.25"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 x14ac:dyDescent="0.25">
      <c r="B13" s="4" t="s">
        <v>53</v>
      </c>
      <c r="D13" s="9"/>
      <c r="E13" s="8">
        <f>E6-E7-E9+E11</f>
        <v>-3441.3560133518185</v>
      </c>
      <c r="F13" s="8">
        <f t="shared" ref="F13:AC13" si="1">F6-F7-F9+F11</f>
        <v>202480.14398664818</v>
      </c>
      <c r="G13" s="8">
        <f t="shared" si="1"/>
        <v>193046.9289866481</v>
      </c>
      <c r="H13" s="8">
        <f t="shared" si="1"/>
        <v>183604.59113664809</v>
      </c>
      <c r="I13" s="8">
        <f t="shared" si="1"/>
        <v>174148.56619014812</v>
      </c>
      <c r="J13" s="8">
        <f t="shared" si="1"/>
        <v>686475.48206008994</v>
      </c>
      <c r="K13" s="8">
        <f t="shared" si="1"/>
        <v>676977.72697665228</v>
      </c>
      <c r="L13" s="8">
        <f t="shared" si="1"/>
        <v>667451.57743222103</v>
      </c>
      <c r="M13" s="8">
        <f t="shared" si="1"/>
        <v>657891.76563087443</v>
      </c>
      <c r="N13" s="8">
        <f t="shared" si="1"/>
        <v>648292.82662632514</v>
      </c>
      <c r="O13" s="8">
        <f t="shared" si="1"/>
        <v>627789.0890511506</v>
      </c>
      <c r="P13" s="8">
        <f t="shared" si="1"/>
        <v>618094.66543282662</v>
      </c>
      <c r="Q13" s="8">
        <f t="shared" si="1"/>
        <v>608343.44207793439</v>
      </c>
      <c r="R13" s="8">
        <f t="shared" si="1"/>
        <v>598529.06850506586</v>
      </c>
      <c r="S13" s="8">
        <f t="shared" si="1"/>
        <v>588644.94640608178</v>
      </c>
      <c r="T13" s="8">
        <f t="shared" si="1"/>
        <v>578684.21811446059</v>
      </c>
      <c r="U13" s="8">
        <f t="shared" si="1"/>
        <v>568639.75455851539</v>
      </c>
      <c r="V13" s="8">
        <f t="shared" si="1"/>
        <v>558504.1426762637</v>
      </c>
      <c r="W13" s="8">
        <f t="shared" si="1"/>
        <v>548269.67226768448</v>
      </c>
      <c r="X13" s="8">
        <f t="shared" si="1"/>
        <v>537928.32225900935</v>
      </c>
      <c r="Y13" s="8">
        <f t="shared" si="1"/>
        <v>527471.74635255092</v>
      </c>
      <c r="Z13" s="8">
        <f t="shared" si="1"/>
        <v>516891.25803438318</v>
      </c>
      <c r="AA13" s="8">
        <f t="shared" si="1"/>
        <v>506177.81491093815</v>
      </c>
      <c r="AB13" s="8">
        <f t="shared" si="1"/>
        <v>495322.00234428793</v>
      </c>
      <c r="AC13" s="8">
        <f t="shared" si="1"/>
        <v>484314.0163545151</v>
      </c>
    </row>
    <row r="14" spans="2:29" s="20" customFormat="1" x14ac:dyDescent="0.25">
      <c r="D14" s="4"/>
    </row>
    <row r="15" spans="2:29" x14ac:dyDescent="0.25">
      <c r="B15" s="4" t="s">
        <v>55</v>
      </c>
      <c r="D15" s="50">
        <f>-Assumption!H15</f>
        <v>-217200</v>
      </c>
      <c r="E15" s="8">
        <f t="shared" ref="E15:AC15" si="2">E13</f>
        <v>-3441.3560133518185</v>
      </c>
      <c r="F15" s="8">
        <f t="shared" si="2"/>
        <v>202480.14398664818</v>
      </c>
      <c r="G15" s="8">
        <f t="shared" si="2"/>
        <v>193046.9289866481</v>
      </c>
      <c r="H15" s="8">
        <f t="shared" si="2"/>
        <v>183604.59113664809</v>
      </c>
      <c r="I15" s="8">
        <f t="shared" si="2"/>
        <v>174148.56619014812</v>
      </c>
      <c r="J15" s="8">
        <f t="shared" si="2"/>
        <v>686475.48206008994</v>
      </c>
      <c r="K15" s="8">
        <f t="shared" si="2"/>
        <v>676977.72697665228</v>
      </c>
      <c r="L15" s="8">
        <f t="shared" si="2"/>
        <v>667451.57743222103</v>
      </c>
      <c r="M15" s="8">
        <f t="shared" si="2"/>
        <v>657891.76563087443</v>
      </c>
      <c r="N15" s="8">
        <f t="shared" si="2"/>
        <v>648292.82662632514</v>
      </c>
      <c r="O15" s="8">
        <f t="shared" si="2"/>
        <v>627789.0890511506</v>
      </c>
      <c r="P15" s="8">
        <f t="shared" si="2"/>
        <v>618094.66543282662</v>
      </c>
      <c r="Q15" s="8">
        <f t="shared" si="2"/>
        <v>608343.44207793439</v>
      </c>
      <c r="R15" s="8">
        <f t="shared" si="2"/>
        <v>598529.06850506586</v>
      </c>
      <c r="S15" s="8">
        <f t="shared" si="2"/>
        <v>588644.94640608178</v>
      </c>
      <c r="T15" s="8">
        <f t="shared" si="2"/>
        <v>578684.21811446059</v>
      </c>
      <c r="U15" s="8">
        <f t="shared" si="2"/>
        <v>568639.75455851539</v>
      </c>
      <c r="V15" s="8">
        <f t="shared" si="2"/>
        <v>558504.1426762637</v>
      </c>
      <c r="W15" s="8">
        <f t="shared" si="2"/>
        <v>548269.67226768448</v>
      </c>
      <c r="X15" s="8">
        <f t="shared" si="2"/>
        <v>537928.32225900935</v>
      </c>
      <c r="Y15" s="8">
        <f t="shared" si="2"/>
        <v>527471.74635255092</v>
      </c>
      <c r="Z15" s="8">
        <f t="shared" si="2"/>
        <v>516891.25803438318</v>
      </c>
      <c r="AA15" s="8">
        <f t="shared" si="2"/>
        <v>506177.81491093815</v>
      </c>
      <c r="AB15" s="8">
        <f t="shared" si="2"/>
        <v>495322.00234428793</v>
      </c>
      <c r="AC15" s="8">
        <f t="shared" si="2"/>
        <v>484314.0163545151</v>
      </c>
    </row>
    <row r="16" spans="2:29" s="20" customFormat="1" x14ac:dyDescent="0.25">
      <c r="B16" s="20" t="s">
        <v>54</v>
      </c>
      <c r="D16" s="33">
        <f>IRR(D15:AC15)</f>
        <v>0.68538203194535252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2:30" x14ac:dyDescent="0.25">
      <c r="D17" s="15"/>
    </row>
    <row r="18" spans="2:30" x14ac:dyDescent="0.25">
      <c r="B18" s="49" t="s">
        <v>98</v>
      </c>
      <c r="D18" s="15"/>
    </row>
    <row r="19" spans="2:30" x14ac:dyDescent="0.25">
      <c r="B19" s="4" t="s">
        <v>60</v>
      </c>
      <c r="D19" s="15"/>
      <c r="E19" s="21">
        <f>FV(Assumption!$D$19,COUNT('Model '!F13:$AC$13),0,-'Model '!E13)</f>
        <v>-98509.422218570908</v>
      </c>
      <c r="F19" s="21">
        <f>FV(Assumption!$D$19,COUNT('Model '!G13:$AC$13),0,-'Model '!F13)</f>
        <v>5040025.9102795077</v>
      </c>
      <c r="G19" s="21">
        <f>FV(Assumption!$D$19,COUNT('Model '!H13:$AC$13),0,-'Model '!G13)</f>
        <v>4178451.6865010988</v>
      </c>
      <c r="H19" s="21">
        <f>FV(Assumption!$D$19,COUNT('Model '!I13:$AC$13),0,-'Model '!H13)</f>
        <v>3455717.1173077067</v>
      </c>
      <c r="I19" s="21">
        <f>FV(Assumption!$D$19,COUNT('Model '!J13:$AC$13),0,-'Model '!I13)</f>
        <v>2850209.0204790048</v>
      </c>
      <c r="J19" s="21">
        <f>FV(Assumption!$D$19,COUNT('Model '!K13:$AC$13),0,-'Model '!J13)</f>
        <v>9769762.301284479</v>
      </c>
      <c r="K19" s="21">
        <f>FV(Assumption!$D$19,COUNT('Model '!L13:$AC$13),0,-'Model '!K13)</f>
        <v>8377906.4519886766</v>
      </c>
      <c r="L19" s="21">
        <f>FV(Assumption!$D$19,COUNT('Model '!M13:$AC$13),0,-'Model '!L13)</f>
        <v>7182622.635012934</v>
      </c>
      <c r="M19" s="21">
        <f>FV(Assumption!$D$19,COUNT('Model '!N13:$AC$13),0,-'Model '!M13)</f>
        <v>6156301.7185953623</v>
      </c>
      <c r="N19" s="21">
        <f>FV(Assumption!$D$19,COUNT('Model '!O13:$AC$13),0,-'Model '!N13)</f>
        <v>5275198.6840022504</v>
      </c>
      <c r="O19" s="21">
        <f>FV(Assumption!$D$19,COUNT('Model '!P13:$AC$13),0,-'Model '!O13)</f>
        <v>4442050.8762825094</v>
      </c>
      <c r="P19" s="21">
        <f>FV(Assumption!$D$19,COUNT('Model '!Q13:$AC$13),0,-'Model '!P13)</f>
        <v>3803005.2062634225</v>
      </c>
      <c r="Q19" s="21">
        <f>FV(Assumption!$D$19,COUNT('Model '!R13:$AC$13),0,-'Model '!Q13)</f>
        <v>3254789.5651417053</v>
      </c>
      <c r="R19" s="21">
        <f>FV(Assumption!$D$19,COUNT('Model '!S13:$AC$13),0,-'Model '!R13)</f>
        <v>2784591.4886072241</v>
      </c>
      <c r="S19" s="21">
        <f>FV(Assumption!$D$19,COUNT('Model '!T13:$AC$13),0,-'Model '!S13)</f>
        <v>2381397.1165184905</v>
      </c>
      <c r="T19" s="21">
        <f>FV(Assumption!$D$19,COUNT('Model '!U13:$AC$13),0,-'Model '!T13)</f>
        <v>2035739.4914130764</v>
      </c>
      <c r="U19" s="21">
        <f>FV(Assumption!$D$19,COUNT('Model '!V13:$AC$13),0,-'Model '!U13)</f>
        <v>1739482.0097430984</v>
      </c>
      <c r="V19" s="21">
        <f>FV(Assumption!$D$19,COUNT('Model '!W13:$AC$13),0,-'Model '!V13)</f>
        <v>1485632.1228430157</v>
      </c>
      <c r="W19" s="21">
        <f>FV(Assumption!$D$19,COUNT('Model '!X13:$AC$13),0,-'Model '!W13)</f>
        <v>1268181.0679044577</v>
      </c>
      <c r="X19" s="21">
        <f>FV(Assumption!$D$19,COUNT('Model '!Y13:$AC$13),0,-'Model '!X13)</f>
        <v>1081965.9973354742</v>
      </c>
      <c r="Y19" s="21">
        <f>FV(Assumption!$D$19,COUNT('Model '!Z13:$AC$13),0,-'Model '!Y13)</f>
        <v>922551.38106902596</v>
      </c>
      <c r="Z19" s="21">
        <f>FV(Assumption!$D$19,COUNT('Model '!AA13:$AC$13),0,-'Model '!Z13)</f>
        <v>786126.99206304224</v>
      </c>
      <c r="AA19" s="21">
        <f>FV(Assumption!$D$19,COUNT('Model '!AB13:$AC$13),0,-'Model '!AA13)</f>
        <v>669420.16021971556</v>
      </c>
      <c r="AB19" s="21">
        <f>FV(Assumption!$D$19,COUNT('Model '!AC13:$AC$13),0,-'Model '!AB13)</f>
        <v>569620.30269593105</v>
      </c>
      <c r="AC19" s="21">
        <f>FV(Assumption!$D$19,COUNT('Model '!$AC13:AD$13),0,-'Model '!AC13)</f>
        <v>556961.11880769231</v>
      </c>
      <c r="AD19" s="21"/>
    </row>
    <row r="20" spans="2:30" x14ac:dyDescent="0.25">
      <c r="B20" s="4" t="s">
        <v>59</v>
      </c>
      <c r="D20" s="9">
        <f>SUM(E19:AC19)+Assumption!G20</f>
        <v>80186401.000140324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30" x14ac:dyDescent="0.25">
      <c r="B21" s="4" t="s">
        <v>81</v>
      </c>
      <c r="C21" s="8">
        <f>Assumption!H15</f>
        <v>217200</v>
      </c>
      <c r="D21" s="9">
        <f>FV(Assumption!$D$19,25,0,-'Model '!C21)</f>
        <v>7149996.509018301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2:30" x14ac:dyDescent="0.25"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CFE9-3897-4D9D-96E9-E1DD33376C75}">
  <dimension ref="B2:K142"/>
  <sheetViews>
    <sheetView workbookViewId="0">
      <selection activeCell="C12" sqref="C12"/>
    </sheetView>
  </sheetViews>
  <sheetFormatPr defaultRowHeight="15" x14ac:dyDescent="0.25"/>
  <cols>
    <col min="1" max="1" width="9.140625" style="1"/>
    <col min="2" max="2" width="18.5703125" style="1" bestFit="1" customWidth="1"/>
    <col min="3" max="3" width="9.140625" style="1"/>
    <col min="4" max="4" width="10.5703125" style="1" bestFit="1" customWidth="1"/>
    <col min="5" max="6" width="9.140625" style="1"/>
    <col min="7" max="8" width="9.5703125" style="1" bestFit="1" customWidth="1"/>
    <col min="9" max="9" width="9.140625" style="1"/>
    <col min="10" max="10" width="9.5703125" style="1" bestFit="1" customWidth="1"/>
    <col min="11" max="16384" width="9.140625" style="1"/>
  </cols>
  <sheetData>
    <row r="2" spans="2:11" x14ac:dyDescent="0.25">
      <c r="F2" s="35" t="s">
        <v>43</v>
      </c>
      <c r="G2" s="35" t="s">
        <v>44</v>
      </c>
      <c r="H2" s="35" t="s">
        <v>45</v>
      </c>
      <c r="I2" s="35" t="s">
        <v>33</v>
      </c>
      <c r="J2" s="35" t="s">
        <v>46</v>
      </c>
    </row>
    <row r="3" spans="2:11" x14ac:dyDescent="0.25">
      <c r="B3" s="51" t="s">
        <v>7</v>
      </c>
      <c r="C3" s="26" t="s">
        <v>8</v>
      </c>
      <c r="D3" s="27">
        <f>Assumption!D13</f>
        <v>0.12</v>
      </c>
      <c r="F3" s="29">
        <v>1</v>
      </c>
      <c r="G3" s="31">
        <f>PPMT($D$3/12,F3,$D$5,-$D$6)</f>
        <v>23935.446334445995</v>
      </c>
      <c r="H3" s="31">
        <f>IPMT($D$3/12,F3,$D$5,-$D$6)</f>
        <v>19548.000000000004</v>
      </c>
      <c r="I3" s="30">
        <f>PMT($D$3/12,$D$5,-$D$6)</f>
        <v>43483.446334445987</v>
      </c>
      <c r="J3" s="30">
        <f>D6-G3</f>
        <v>1930864.5536655539</v>
      </c>
    </row>
    <row r="4" spans="2:11" x14ac:dyDescent="0.25">
      <c r="B4" s="51" t="s">
        <v>36</v>
      </c>
      <c r="C4" s="26" t="s">
        <v>37</v>
      </c>
      <c r="D4" s="28">
        <f>Assumption!D14</f>
        <v>5</v>
      </c>
      <c r="F4" s="29">
        <v>2</v>
      </c>
      <c r="G4" s="31">
        <f t="shared" ref="G4:G67" si="0">PPMT($D$3/12,F4,$D$5,-$D$6)</f>
        <v>24174.800797790449</v>
      </c>
      <c r="H4" s="31">
        <f t="shared" ref="H4" si="1">IPMT($D$3/12,F4,$D$5,-$D$6)</f>
        <v>19308.645536655542</v>
      </c>
      <c r="I4" s="30">
        <f t="shared" ref="I4:I67" si="2">PMT($D$3/12,$D$5,-$D$6)</f>
        <v>43483.446334445987</v>
      </c>
      <c r="J4" s="30">
        <f>J3-G4</f>
        <v>1906689.7528677634</v>
      </c>
    </row>
    <row r="5" spans="2:11" x14ac:dyDescent="0.25">
      <c r="B5" s="51" t="s">
        <v>42</v>
      </c>
      <c r="C5" s="26"/>
      <c r="D5" s="28">
        <f>D4*12</f>
        <v>60</v>
      </c>
      <c r="F5" s="29">
        <v>3</v>
      </c>
      <c r="G5" s="31">
        <f t="shared" si="0"/>
        <v>24416.548805768351</v>
      </c>
      <c r="H5" s="31">
        <f t="shared" ref="H5:H8" si="3">IPMT($D$3/12,F5,$D$5,-$D$6)</f>
        <v>19066.897528677633</v>
      </c>
      <c r="I5" s="30">
        <f t="shared" si="2"/>
        <v>43483.446334445987</v>
      </c>
      <c r="J5" s="30">
        <f t="shared" ref="J5:J8" si="4">J4-G5</f>
        <v>1882273.204061995</v>
      </c>
    </row>
    <row r="6" spans="2:11" x14ac:dyDescent="0.25">
      <c r="B6" s="51" t="s">
        <v>41</v>
      </c>
      <c r="C6" s="29"/>
      <c r="D6" s="29">
        <f>Assumption!H16</f>
        <v>1954800</v>
      </c>
      <c r="F6" s="29">
        <v>4</v>
      </c>
      <c r="G6" s="31">
        <f t="shared" si="0"/>
        <v>24660.714293826037</v>
      </c>
      <c r="H6" s="31">
        <f t="shared" si="3"/>
        <v>18822.732040619954</v>
      </c>
      <c r="I6" s="30">
        <f t="shared" si="2"/>
        <v>43483.446334445987</v>
      </c>
      <c r="J6" s="30">
        <f t="shared" si="4"/>
        <v>1857612.4897681689</v>
      </c>
      <c r="K6" s="22"/>
    </row>
    <row r="7" spans="2:11" x14ac:dyDescent="0.25">
      <c r="B7" s="51" t="s">
        <v>51</v>
      </c>
      <c r="C7" s="29"/>
      <c r="D7" s="30">
        <f>PMT(D3/12,D5,-D6,0)</f>
        <v>43483.446334445987</v>
      </c>
      <c r="F7" s="29">
        <v>5</v>
      </c>
      <c r="G7" s="31">
        <f t="shared" si="0"/>
        <v>24907.321436764294</v>
      </c>
      <c r="H7" s="31">
        <f t="shared" si="3"/>
        <v>18576.12489768169</v>
      </c>
      <c r="I7" s="30">
        <f t="shared" si="2"/>
        <v>43483.446334445987</v>
      </c>
      <c r="J7" s="30">
        <f t="shared" si="4"/>
        <v>1832705.1683314047</v>
      </c>
    </row>
    <row r="8" spans="2:11" x14ac:dyDescent="0.25">
      <c r="B8" s="51" t="s">
        <v>52</v>
      </c>
      <c r="C8" s="29"/>
      <c r="D8" s="31">
        <f>D7*12</f>
        <v>521801.35601335182</v>
      </c>
      <c r="F8" s="29">
        <v>6</v>
      </c>
      <c r="G8" s="31">
        <f t="shared" si="0"/>
        <v>25156.394651131937</v>
      </c>
      <c r="H8" s="31">
        <f t="shared" si="3"/>
        <v>18327.05168331405</v>
      </c>
      <c r="I8" s="30">
        <f t="shared" si="2"/>
        <v>43483.446334445987</v>
      </c>
      <c r="J8" s="30">
        <f t="shared" si="4"/>
        <v>1807548.7736802727</v>
      </c>
    </row>
    <row r="9" spans="2:11" x14ac:dyDescent="0.25">
      <c r="F9" s="29">
        <v>7</v>
      </c>
      <c r="G9" s="31">
        <f t="shared" si="0"/>
        <v>25407.958597643265</v>
      </c>
      <c r="H9" s="31">
        <f t="shared" ref="H9:H72" si="5">IPMT($D$3/12,F9,$D$5,-$D$6)</f>
        <v>18075.48773680273</v>
      </c>
      <c r="I9" s="30">
        <f t="shared" si="2"/>
        <v>43483.446334445987</v>
      </c>
      <c r="J9" s="30">
        <f t="shared" ref="J9:J72" si="6">J8-G9</f>
        <v>1782140.8150826294</v>
      </c>
    </row>
    <row r="10" spans="2:11" x14ac:dyDescent="0.25">
      <c r="F10" s="29">
        <v>8</v>
      </c>
      <c r="G10" s="31">
        <f t="shared" si="0"/>
        <v>25662.038183619694</v>
      </c>
      <c r="H10" s="31">
        <f t="shared" si="5"/>
        <v>17821.408150826297</v>
      </c>
      <c r="I10" s="30">
        <f t="shared" si="2"/>
        <v>43483.446334445987</v>
      </c>
      <c r="J10" s="30">
        <f t="shared" si="6"/>
        <v>1756478.7768990097</v>
      </c>
    </row>
    <row r="11" spans="2:11" x14ac:dyDescent="0.25">
      <c r="F11" s="29">
        <v>9</v>
      </c>
      <c r="G11" s="31">
        <f t="shared" si="0"/>
        <v>25918.658565455891</v>
      </c>
      <c r="H11" s="31">
        <f t="shared" si="5"/>
        <v>17564.787768990103</v>
      </c>
      <c r="I11" s="30">
        <f t="shared" si="2"/>
        <v>43483.446334445987</v>
      </c>
      <c r="J11" s="30">
        <f t="shared" si="6"/>
        <v>1730560.1183335539</v>
      </c>
    </row>
    <row r="12" spans="2:11" x14ac:dyDescent="0.25">
      <c r="F12" s="29">
        <v>10</v>
      </c>
      <c r="G12" s="31">
        <f t="shared" si="0"/>
        <v>26177.845151110447</v>
      </c>
      <c r="H12" s="31">
        <f t="shared" si="5"/>
        <v>17305.601183335544</v>
      </c>
      <c r="I12" s="30">
        <f t="shared" si="2"/>
        <v>43483.446334445987</v>
      </c>
      <c r="J12" s="30">
        <f t="shared" si="6"/>
        <v>1704382.2731824433</v>
      </c>
    </row>
    <row r="13" spans="2:11" x14ac:dyDescent="0.25">
      <c r="F13" s="29">
        <v>11</v>
      </c>
      <c r="G13" s="31">
        <f t="shared" si="0"/>
        <v>26439.623602621552</v>
      </c>
      <c r="H13" s="31">
        <f t="shared" si="5"/>
        <v>17043.822731824439</v>
      </c>
      <c r="I13" s="30">
        <f t="shared" si="2"/>
        <v>43483.446334445987</v>
      </c>
      <c r="J13" s="30">
        <f t="shared" si="6"/>
        <v>1677942.6495798219</v>
      </c>
    </row>
    <row r="14" spans="2:11" x14ac:dyDescent="0.25">
      <c r="F14" s="29">
        <v>12</v>
      </c>
      <c r="G14" s="31">
        <f t="shared" si="0"/>
        <v>26704.019838647768</v>
      </c>
      <c r="H14" s="31">
        <f t="shared" si="5"/>
        <v>16779.426495798223</v>
      </c>
      <c r="I14" s="30">
        <f t="shared" si="2"/>
        <v>43483.446334445987</v>
      </c>
      <c r="J14" s="30">
        <f t="shared" si="6"/>
        <v>1651238.6297411742</v>
      </c>
    </row>
    <row r="15" spans="2:11" x14ac:dyDescent="0.25">
      <c r="F15" s="29">
        <v>13</v>
      </c>
      <c r="G15" s="31">
        <f t="shared" si="0"/>
        <v>26971.060037034247</v>
      </c>
      <c r="H15" s="31">
        <f t="shared" si="5"/>
        <v>16512.386297411744</v>
      </c>
      <c r="I15" s="30">
        <f t="shared" si="2"/>
        <v>43483.446334445987</v>
      </c>
      <c r="J15" s="30">
        <f t="shared" si="6"/>
        <v>1624267.5697041398</v>
      </c>
    </row>
    <row r="16" spans="2:11" x14ac:dyDescent="0.25">
      <c r="F16" s="29">
        <v>14</v>
      </c>
      <c r="G16" s="31">
        <f t="shared" si="0"/>
        <v>27240.770637404592</v>
      </c>
      <c r="H16" s="31">
        <f t="shared" si="5"/>
        <v>16242.675697041401</v>
      </c>
      <c r="I16" s="30">
        <f t="shared" si="2"/>
        <v>43483.446334445987</v>
      </c>
      <c r="J16" s="30">
        <f t="shared" si="6"/>
        <v>1597026.7990667352</v>
      </c>
    </row>
    <row r="17" spans="6:10" x14ac:dyDescent="0.25">
      <c r="F17" s="29">
        <v>15</v>
      </c>
      <c r="G17" s="31">
        <f t="shared" si="0"/>
        <v>27513.178343778636</v>
      </c>
      <c r="H17" s="31">
        <f t="shared" si="5"/>
        <v>15970.267990667353</v>
      </c>
      <c r="I17" s="30">
        <f t="shared" si="2"/>
        <v>43483.446334445987</v>
      </c>
      <c r="J17" s="30">
        <f t="shared" si="6"/>
        <v>1569513.6207229565</v>
      </c>
    </row>
    <row r="18" spans="6:10" x14ac:dyDescent="0.25">
      <c r="F18" s="29">
        <v>16</v>
      </c>
      <c r="G18" s="31">
        <f t="shared" si="0"/>
        <v>27788.31012721642</v>
      </c>
      <c r="H18" s="31">
        <f t="shared" si="5"/>
        <v>15695.136207229567</v>
      </c>
      <c r="I18" s="30">
        <f t="shared" si="2"/>
        <v>43483.446334445987</v>
      </c>
      <c r="J18" s="30">
        <f t="shared" si="6"/>
        <v>1541725.3105957401</v>
      </c>
    </row>
    <row r="19" spans="6:10" x14ac:dyDescent="0.25">
      <c r="F19" s="29">
        <v>17</v>
      </c>
      <c r="G19" s="31">
        <f t="shared" si="0"/>
        <v>28066.193228488584</v>
      </c>
      <c r="H19" s="31">
        <f t="shared" si="5"/>
        <v>15417.253105957403</v>
      </c>
      <c r="I19" s="30">
        <f t="shared" si="2"/>
        <v>43483.446334445987</v>
      </c>
      <c r="J19" s="30">
        <f t="shared" si="6"/>
        <v>1513659.1173672515</v>
      </c>
    </row>
    <row r="20" spans="6:10" x14ac:dyDescent="0.25">
      <c r="F20" s="29">
        <v>18</v>
      </c>
      <c r="G20" s="31">
        <f t="shared" si="0"/>
        <v>28346.85516077347</v>
      </c>
      <c r="H20" s="31">
        <f t="shared" si="5"/>
        <v>15136.591173672516</v>
      </c>
      <c r="I20" s="30">
        <f t="shared" si="2"/>
        <v>43483.446334445987</v>
      </c>
      <c r="J20" s="30">
        <f t="shared" si="6"/>
        <v>1485312.262206478</v>
      </c>
    </row>
    <row r="21" spans="6:10" x14ac:dyDescent="0.25">
      <c r="F21" s="29">
        <v>19</v>
      </c>
      <c r="G21" s="31">
        <f t="shared" si="0"/>
        <v>28630.323712381203</v>
      </c>
      <c r="H21" s="31">
        <f t="shared" si="5"/>
        <v>14853.122622064782</v>
      </c>
      <c r="I21" s="30">
        <f t="shared" si="2"/>
        <v>43483.446334445987</v>
      </c>
      <c r="J21" s="30">
        <f t="shared" si="6"/>
        <v>1456681.9384940967</v>
      </c>
    </row>
    <row r="22" spans="6:10" x14ac:dyDescent="0.25">
      <c r="F22" s="29">
        <v>20</v>
      </c>
      <c r="G22" s="31">
        <f t="shared" si="0"/>
        <v>28916.626949505018</v>
      </c>
      <c r="H22" s="31">
        <f t="shared" si="5"/>
        <v>14566.819384940973</v>
      </c>
      <c r="I22" s="30">
        <f t="shared" si="2"/>
        <v>43483.446334445987</v>
      </c>
      <c r="J22" s="30">
        <f t="shared" si="6"/>
        <v>1427765.3115445918</v>
      </c>
    </row>
    <row r="23" spans="6:10" x14ac:dyDescent="0.25">
      <c r="F23" s="29">
        <v>21</v>
      </c>
      <c r="G23" s="31">
        <f t="shared" si="0"/>
        <v>29205.793219000068</v>
      </c>
      <c r="H23" s="31">
        <f t="shared" si="5"/>
        <v>14277.653115445921</v>
      </c>
      <c r="I23" s="30">
        <f t="shared" si="2"/>
        <v>43483.446334445987</v>
      </c>
      <c r="J23" s="30">
        <f t="shared" si="6"/>
        <v>1398559.5183255917</v>
      </c>
    </row>
    <row r="24" spans="6:10" x14ac:dyDescent="0.25">
      <c r="F24" s="29">
        <v>22</v>
      </c>
      <c r="G24" s="31">
        <f t="shared" si="0"/>
        <v>29497.851151190069</v>
      </c>
      <c r="H24" s="31">
        <f t="shared" si="5"/>
        <v>13985.595183255922</v>
      </c>
      <c r="I24" s="30">
        <f t="shared" si="2"/>
        <v>43483.446334445987</v>
      </c>
      <c r="J24" s="30">
        <f t="shared" si="6"/>
        <v>1369061.6671744017</v>
      </c>
    </row>
    <row r="25" spans="6:10" x14ac:dyDescent="0.25">
      <c r="F25" s="29">
        <v>23</v>
      </c>
      <c r="G25" s="31">
        <f t="shared" si="0"/>
        <v>29792.829662701974</v>
      </c>
      <c r="H25" s="31">
        <f t="shared" si="5"/>
        <v>13690.616671744019</v>
      </c>
      <c r="I25" s="30">
        <f t="shared" si="2"/>
        <v>43483.446334445987</v>
      </c>
      <c r="J25" s="30">
        <f t="shared" si="6"/>
        <v>1339268.8375116996</v>
      </c>
    </row>
    <row r="26" spans="6:10" x14ac:dyDescent="0.25">
      <c r="F26" s="29">
        <v>24</v>
      </c>
      <c r="G26" s="31">
        <f t="shared" si="0"/>
        <v>30090.757959328992</v>
      </c>
      <c r="H26" s="31">
        <f t="shared" si="5"/>
        <v>13392.688375117001</v>
      </c>
      <c r="I26" s="30">
        <f t="shared" si="2"/>
        <v>43483.446334445987</v>
      </c>
      <c r="J26" s="30">
        <f t="shared" si="6"/>
        <v>1309178.0795523706</v>
      </c>
    </row>
    <row r="27" spans="6:10" x14ac:dyDescent="0.25">
      <c r="F27" s="29">
        <v>25</v>
      </c>
      <c r="G27" s="31">
        <f t="shared" si="0"/>
        <v>30391.66553892228</v>
      </c>
      <c r="H27" s="31">
        <f t="shared" si="5"/>
        <v>13091.780795523708</v>
      </c>
      <c r="I27" s="30">
        <f t="shared" si="2"/>
        <v>43483.446334445987</v>
      </c>
      <c r="J27" s="30">
        <f t="shared" si="6"/>
        <v>1278786.4140134484</v>
      </c>
    </row>
    <row r="28" spans="6:10" x14ac:dyDescent="0.25">
      <c r="F28" s="29">
        <v>26</v>
      </c>
      <c r="G28" s="31">
        <f t="shared" si="0"/>
        <v>30695.582194311504</v>
      </c>
      <c r="H28" s="31">
        <f t="shared" si="5"/>
        <v>12787.864140134487</v>
      </c>
      <c r="I28" s="30">
        <f t="shared" si="2"/>
        <v>43483.446334445987</v>
      </c>
      <c r="J28" s="30">
        <f t="shared" si="6"/>
        <v>1248090.8318191369</v>
      </c>
    </row>
    <row r="29" spans="6:10" x14ac:dyDescent="0.25">
      <c r="F29" s="29">
        <v>27</v>
      </c>
      <c r="G29" s="31">
        <f t="shared" si="0"/>
        <v>31002.538016254617</v>
      </c>
      <c r="H29" s="31">
        <f t="shared" si="5"/>
        <v>12480.908318191374</v>
      </c>
      <c r="I29" s="30">
        <f t="shared" si="2"/>
        <v>43483.446334445987</v>
      </c>
      <c r="J29" s="30">
        <f t="shared" si="6"/>
        <v>1217088.2938028823</v>
      </c>
    </row>
    <row r="30" spans="6:10" x14ac:dyDescent="0.25">
      <c r="F30" s="29">
        <v>28</v>
      </c>
      <c r="G30" s="31">
        <f t="shared" si="0"/>
        <v>31312.563396417165</v>
      </c>
      <c r="H30" s="31">
        <f t="shared" si="5"/>
        <v>12170.882938028826</v>
      </c>
      <c r="I30" s="30">
        <f t="shared" si="2"/>
        <v>43483.446334445987</v>
      </c>
      <c r="J30" s="30">
        <f t="shared" si="6"/>
        <v>1185775.7304064652</v>
      </c>
    </row>
    <row r="31" spans="6:10" x14ac:dyDescent="0.25">
      <c r="F31" s="29">
        <v>29</v>
      </c>
      <c r="G31" s="31">
        <f t="shared" si="0"/>
        <v>31625.689030381334</v>
      </c>
      <c r="H31" s="31">
        <f t="shared" si="5"/>
        <v>11857.757304064653</v>
      </c>
      <c r="I31" s="30">
        <f t="shared" si="2"/>
        <v>43483.446334445987</v>
      </c>
      <c r="J31" s="30">
        <f t="shared" si="6"/>
        <v>1154150.0413760839</v>
      </c>
    </row>
    <row r="32" spans="6:10" x14ac:dyDescent="0.25">
      <c r="F32" s="29">
        <v>30</v>
      </c>
      <c r="G32" s="31">
        <f t="shared" si="0"/>
        <v>31941.94592068515</v>
      </c>
      <c r="H32" s="31">
        <f t="shared" si="5"/>
        <v>11541.500413760841</v>
      </c>
      <c r="I32" s="30">
        <f t="shared" si="2"/>
        <v>43483.446334445987</v>
      </c>
      <c r="J32" s="30">
        <f t="shared" si="6"/>
        <v>1122208.0954553988</v>
      </c>
    </row>
    <row r="33" spans="6:10" x14ac:dyDescent="0.25">
      <c r="F33" s="29">
        <v>31</v>
      </c>
      <c r="G33" s="31">
        <f t="shared" si="0"/>
        <v>32261.365379892002</v>
      </c>
      <c r="H33" s="31">
        <f t="shared" si="5"/>
        <v>11222.080954553989</v>
      </c>
      <c r="I33" s="30">
        <f t="shared" si="2"/>
        <v>43483.446334445987</v>
      </c>
      <c r="J33" s="30">
        <f t="shared" si="6"/>
        <v>1089946.7300755067</v>
      </c>
    </row>
    <row r="34" spans="6:10" x14ac:dyDescent="0.25">
      <c r="F34" s="29">
        <v>32</v>
      </c>
      <c r="G34" s="31">
        <f t="shared" si="0"/>
        <v>32583.979033690921</v>
      </c>
      <c r="H34" s="31">
        <f t="shared" si="5"/>
        <v>10899.46730075507</v>
      </c>
      <c r="I34" s="30">
        <f t="shared" si="2"/>
        <v>43483.446334445987</v>
      </c>
      <c r="J34" s="30">
        <f t="shared" si="6"/>
        <v>1057362.7510418158</v>
      </c>
    </row>
    <row r="35" spans="6:10" x14ac:dyDescent="0.25">
      <c r="F35" s="29">
        <v>33</v>
      </c>
      <c r="G35" s="31">
        <f t="shared" si="0"/>
        <v>32909.818824027825</v>
      </c>
      <c r="H35" s="31">
        <f t="shared" si="5"/>
        <v>10573.62751041816</v>
      </c>
      <c r="I35" s="30">
        <f t="shared" si="2"/>
        <v>43483.446334445987</v>
      </c>
      <c r="J35" s="30">
        <f t="shared" si="6"/>
        <v>1024452.9322177881</v>
      </c>
    </row>
    <row r="36" spans="6:10" x14ac:dyDescent="0.25">
      <c r="F36" s="29">
        <v>34</v>
      </c>
      <c r="G36" s="31">
        <f t="shared" si="0"/>
        <v>33238.91701226811</v>
      </c>
      <c r="H36" s="31">
        <f t="shared" si="5"/>
        <v>10244.529322177881</v>
      </c>
      <c r="I36" s="30">
        <f t="shared" si="2"/>
        <v>43483.446334445987</v>
      </c>
      <c r="J36" s="30">
        <f t="shared" si="6"/>
        <v>991214.01520551997</v>
      </c>
    </row>
    <row r="37" spans="6:10" x14ac:dyDescent="0.25">
      <c r="F37" s="29">
        <v>35</v>
      </c>
      <c r="G37" s="31">
        <f t="shared" si="0"/>
        <v>33571.306182390785</v>
      </c>
      <c r="H37" s="31">
        <f t="shared" si="5"/>
        <v>9912.1401520552008</v>
      </c>
      <c r="I37" s="30">
        <f t="shared" si="2"/>
        <v>43483.446334445987</v>
      </c>
      <c r="J37" s="30">
        <f t="shared" si="6"/>
        <v>957642.70902312919</v>
      </c>
    </row>
    <row r="38" spans="6:10" x14ac:dyDescent="0.25">
      <c r="F38" s="29">
        <v>36</v>
      </c>
      <c r="G38" s="31">
        <f t="shared" si="0"/>
        <v>33907.019244214694</v>
      </c>
      <c r="H38" s="31">
        <f t="shared" si="5"/>
        <v>9576.4270902312928</v>
      </c>
      <c r="I38" s="30">
        <f t="shared" si="2"/>
        <v>43483.446334445987</v>
      </c>
      <c r="J38" s="30">
        <f t="shared" si="6"/>
        <v>923735.68977891444</v>
      </c>
    </row>
    <row r="39" spans="6:10" x14ac:dyDescent="0.25">
      <c r="F39" s="29">
        <v>37</v>
      </c>
      <c r="G39" s="31">
        <f t="shared" si="0"/>
        <v>34246.089436656839</v>
      </c>
      <c r="H39" s="31">
        <f t="shared" si="5"/>
        <v>9237.3568977891446</v>
      </c>
      <c r="I39" s="30">
        <f t="shared" si="2"/>
        <v>43483.446334445987</v>
      </c>
      <c r="J39" s="30">
        <f t="shared" si="6"/>
        <v>889489.60034225765</v>
      </c>
    </row>
    <row r="40" spans="6:10" x14ac:dyDescent="0.25">
      <c r="F40" s="29">
        <v>38</v>
      </c>
      <c r="G40" s="31">
        <f t="shared" si="0"/>
        <v>34588.550331023413</v>
      </c>
      <c r="H40" s="31">
        <f t="shared" si="5"/>
        <v>8894.8960034225747</v>
      </c>
      <c r="I40" s="30">
        <f t="shared" si="2"/>
        <v>43483.446334445987</v>
      </c>
      <c r="J40" s="30">
        <f t="shared" si="6"/>
        <v>854901.05001123424</v>
      </c>
    </row>
    <row r="41" spans="6:10" x14ac:dyDescent="0.25">
      <c r="F41" s="29">
        <v>39</v>
      </c>
      <c r="G41" s="31">
        <f t="shared" si="0"/>
        <v>34934.435834333643</v>
      </c>
      <c r="H41" s="31">
        <f t="shared" si="5"/>
        <v>8549.0105001123429</v>
      </c>
      <c r="I41" s="30">
        <f t="shared" si="2"/>
        <v>43483.446334445987</v>
      </c>
      <c r="J41" s="30">
        <f t="shared" si="6"/>
        <v>819966.61417690059</v>
      </c>
    </row>
    <row r="42" spans="6:10" x14ac:dyDescent="0.25">
      <c r="F42" s="29">
        <v>40</v>
      </c>
      <c r="G42" s="31">
        <f t="shared" si="0"/>
        <v>35283.780192676983</v>
      </c>
      <c r="H42" s="31">
        <f t="shared" si="5"/>
        <v>8199.6661417690066</v>
      </c>
      <c r="I42" s="30">
        <f t="shared" si="2"/>
        <v>43483.446334445987</v>
      </c>
      <c r="J42" s="30">
        <f t="shared" si="6"/>
        <v>784682.83398422366</v>
      </c>
    </row>
    <row r="43" spans="6:10" x14ac:dyDescent="0.25">
      <c r="F43" s="29">
        <v>41</v>
      </c>
      <c r="G43" s="31">
        <f t="shared" si="0"/>
        <v>35636.617994603752</v>
      </c>
      <c r="H43" s="31">
        <f t="shared" si="5"/>
        <v>7846.8283398422363</v>
      </c>
      <c r="I43" s="30">
        <f t="shared" si="2"/>
        <v>43483.446334445987</v>
      </c>
      <c r="J43" s="30">
        <f t="shared" si="6"/>
        <v>749046.21598961996</v>
      </c>
    </row>
    <row r="44" spans="6:10" x14ac:dyDescent="0.25">
      <c r="F44" s="29">
        <v>42</v>
      </c>
      <c r="G44" s="31">
        <f t="shared" si="0"/>
        <v>35992.984174549791</v>
      </c>
      <c r="H44" s="31">
        <f t="shared" si="5"/>
        <v>7490.4621598961985</v>
      </c>
      <c r="I44" s="30">
        <f t="shared" si="2"/>
        <v>43483.446334445987</v>
      </c>
      <c r="J44" s="30">
        <f t="shared" si="6"/>
        <v>713053.23181507015</v>
      </c>
    </row>
    <row r="45" spans="6:10" x14ac:dyDescent="0.25">
      <c r="F45" s="29">
        <v>43</v>
      </c>
      <c r="G45" s="31">
        <f t="shared" si="0"/>
        <v>36352.91401629529</v>
      </c>
      <c r="H45" s="31">
        <f t="shared" si="5"/>
        <v>7130.5323181506992</v>
      </c>
      <c r="I45" s="30">
        <f t="shared" si="2"/>
        <v>43483.446334445987</v>
      </c>
      <c r="J45" s="30">
        <f t="shared" si="6"/>
        <v>676700.31779877481</v>
      </c>
    </row>
    <row r="46" spans="6:10" x14ac:dyDescent="0.25">
      <c r="F46" s="29">
        <v>44</v>
      </c>
      <c r="G46" s="31">
        <f t="shared" si="0"/>
        <v>36716.443156458241</v>
      </c>
      <c r="H46" s="31">
        <f t="shared" si="5"/>
        <v>6767.0031779877481</v>
      </c>
      <c r="I46" s="30">
        <f t="shared" si="2"/>
        <v>43483.446334445987</v>
      </c>
      <c r="J46" s="30">
        <f t="shared" si="6"/>
        <v>639983.8746423166</v>
      </c>
    </row>
    <row r="47" spans="6:10" x14ac:dyDescent="0.25">
      <c r="F47" s="29">
        <v>45</v>
      </c>
      <c r="G47" s="31">
        <f t="shared" si="0"/>
        <v>37083.607588022824</v>
      </c>
      <c r="H47" s="31">
        <f t="shared" si="5"/>
        <v>6399.8387464231646</v>
      </c>
      <c r="I47" s="30">
        <f t="shared" si="2"/>
        <v>43483.446334445987</v>
      </c>
      <c r="J47" s="30">
        <f t="shared" si="6"/>
        <v>602900.26705429377</v>
      </c>
    </row>
    <row r="48" spans="6:10" x14ac:dyDescent="0.25">
      <c r="F48" s="29">
        <v>46</v>
      </c>
      <c r="G48" s="31">
        <f t="shared" si="0"/>
        <v>37454.443663903054</v>
      </c>
      <c r="H48" s="31">
        <f t="shared" si="5"/>
        <v>6029.0026705429354</v>
      </c>
      <c r="I48" s="30">
        <f t="shared" si="2"/>
        <v>43483.446334445987</v>
      </c>
      <c r="J48" s="30">
        <f t="shared" si="6"/>
        <v>565445.82339039072</v>
      </c>
    </row>
    <row r="49" spans="6:10" x14ac:dyDescent="0.25">
      <c r="F49" s="29">
        <v>47</v>
      </c>
      <c r="G49" s="31">
        <f t="shared" si="0"/>
        <v>37828.988100542083</v>
      </c>
      <c r="H49" s="31">
        <f t="shared" si="5"/>
        <v>5654.4582339039061</v>
      </c>
      <c r="I49" s="30">
        <f t="shared" si="2"/>
        <v>43483.446334445987</v>
      </c>
      <c r="J49" s="30">
        <f t="shared" si="6"/>
        <v>527616.83528984862</v>
      </c>
    </row>
    <row r="50" spans="6:10" x14ac:dyDescent="0.25">
      <c r="F50" s="29">
        <v>48</v>
      </c>
      <c r="G50" s="31">
        <f t="shared" si="0"/>
        <v>38207.277981547508</v>
      </c>
      <c r="H50" s="31">
        <f t="shared" si="5"/>
        <v>5276.168352898485</v>
      </c>
      <c r="I50" s="30">
        <f t="shared" si="2"/>
        <v>43483.446334445987</v>
      </c>
      <c r="J50" s="30">
        <f t="shared" si="6"/>
        <v>489409.5573083011</v>
      </c>
    </row>
    <row r="51" spans="6:10" x14ac:dyDescent="0.25">
      <c r="F51" s="29">
        <v>49</v>
      </c>
      <c r="G51" s="31">
        <f t="shared" si="0"/>
        <v>38589.350761362984</v>
      </c>
      <c r="H51" s="31">
        <f t="shared" si="5"/>
        <v>4894.0955730830101</v>
      </c>
      <c r="I51" s="30">
        <f t="shared" si="2"/>
        <v>43483.446334445987</v>
      </c>
      <c r="J51" s="30">
        <f t="shared" si="6"/>
        <v>450820.20654693811</v>
      </c>
    </row>
    <row r="52" spans="6:10" x14ac:dyDescent="0.25">
      <c r="F52" s="29">
        <v>50</v>
      </c>
      <c r="G52" s="31">
        <f t="shared" si="0"/>
        <v>38975.24426897661</v>
      </c>
      <c r="H52" s="31">
        <f t="shared" si="5"/>
        <v>4508.2020654693797</v>
      </c>
      <c r="I52" s="30">
        <f t="shared" si="2"/>
        <v>43483.446334445987</v>
      </c>
      <c r="J52" s="30">
        <f t="shared" si="6"/>
        <v>411844.96227796149</v>
      </c>
    </row>
    <row r="53" spans="6:10" x14ac:dyDescent="0.25">
      <c r="F53" s="29">
        <v>51</v>
      </c>
      <c r="G53" s="31">
        <f t="shared" si="0"/>
        <v>39364.996711666376</v>
      </c>
      <c r="H53" s="31">
        <f t="shared" si="5"/>
        <v>4118.4496227796135</v>
      </c>
      <c r="I53" s="30">
        <f t="shared" si="2"/>
        <v>43483.446334445987</v>
      </c>
      <c r="J53" s="30">
        <f t="shared" si="6"/>
        <v>372479.96556629508</v>
      </c>
    </row>
    <row r="54" spans="6:10" x14ac:dyDescent="0.25">
      <c r="F54" s="29">
        <v>52</v>
      </c>
      <c r="G54" s="31">
        <f t="shared" si="0"/>
        <v>39758.646678783043</v>
      </c>
      <c r="H54" s="31">
        <f t="shared" si="5"/>
        <v>3724.7996556629496</v>
      </c>
      <c r="I54" s="30">
        <f t="shared" si="2"/>
        <v>43483.446334445987</v>
      </c>
      <c r="J54" s="30">
        <f t="shared" si="6"/>
        <v>332721.31888751202</v>
      </c>
    </row>
    <row r="55" spans="6:10" x14ac:dyDescent="0.25">
      <c r="F55" s="29">
        <v>53</v>
      </c>
      <c r="G55" s="31">
        <f t="shared" si="0"/>
        <v>40156.23314557087</v>
      </c>
      <c r="H55" s="31">
        <f t="shared" si="5"/>
        <v>3327.2131888751192</v>
      </c>
      <c r="I55" s="30">
        <f t="shared" si="2"/>
        <v>43483.446334445987</v>
      </c>
      <c r="J55" s="30">
        <f t="shared" si="6"/>
        <v>292565.08574194118</v>
      </c>
    </row>
    <row r="56" spans="6:10" x14ac:dyDescent="0.25">
      <c r="F56" s="29">
        <v>54</v>
      </c>
      <c r="G56" s="31">
        <f t="shared" si="0"/>
        <v>40557.795477026579</v>
      </c>
      <c r="H56" s="31">
        <f t="shared" si="5"/>
        <v>2925.6508574194099</v>
      </c>
      <c r="I56" s="30">
        <f t="shared" si="2"/>
        <v>43483.446334445987</v>
      </c>
      <c r="J56" s="30">
        <f t="shared" si="6"/>
        <v>252007.2902649146</v>
      </c>
    </row>
    <row r="57" spans="6:10" x14ac:dyDescent="0.25">
      <c r="F57" s="29">
        <v>55</v>
      </c>
      <c r="G57" s="31">
        <f t="shared" si="0"/>
        <v>40963.373431796841</v>
      </c>
      <c r="H57" s="31">
        <f t="shared" si="5"/>
        <v>2520.0729026491445</v>
      </c>
      <c r="I57" s="30">
        <f t="shared" si="2"/>
        <v>43483.446334445987</v>
      </c>
      <c r="J57" s="30">
        <f t="shared" si="6"/>
        <v>211043.91683311775</v>
      </c>
    </row>
    <row r="58" spans="6:10" x14ac:dyDescent="0.25">
      <c r="F58" s="29">
        <v>56</v>
      </c>
      <c r="G58" s="31">
        <f t="shared" si="0"/>
        <v>41373.00716611481</v>
      </c>
      <c r="H58" s="31">
        <f t="shared" si="5"/>
        <v>2110.439168331176</v>
      </c>
      <c r="I58" s="30">
        <f t="shared" si="2"/>
        <v>43483.446334445987</v>
      </c>
      <c r="J58" s="30">
        <f t="shared" si="6"/>
        <v>169670.90966700294</v>
      </c>
    </row>
    <row r="59" spans="6:10" x14ac:dyDescent="0.25">
      <c r="F59" s="29">
        <v>57</v>
      </c>
      <c r="G59" s="31">
        <f t="shared" si="0"/>
        <v>41786.737237775968</v>
      </c>
      <c r="H59" s="31">
        <f t="shared" si="5"/>
        <v>1696.7090966700277</v>
      </c>
      <c r="I59" s="30">
        <f t="shared" si="2"/>
        <v>43483.446334445987</v>
      </c>
      <c r="J59" s="30">
        <f t="shared" si="6"/>
        <v>127884.17242922698</v>
      </c>
    </row>
    <row r="60" spans="6:10" x14ac:dyDescent="0.25">
      <c r="F60" s="29">
        <v>58</v>
      </c>
      <c r="G60" s="31">
        <f t="shared" si="0"/>
        <v>42204.604610153714</v>
      </c>
      <c r="H60" s="31">
        <f t="shared" si="5"/>
        <v>1278.8417242922681</v>
      </c>
      <c r="I60" s="30">
        <f t="shared" si="2"/>
        <v>43483.446334445987</v>
      </c>
      <c r="J60" s="30">
        <f t="shared" si="6"/>
        <v>85679.567819073272</v>
      </c>
    </row>
    <row r="61" spans="6:10" x14ac:dyDescent="0.25">
      <c r="F61" s="29">
        <v>59</v>
      </c>
      <c r="G61" s="31">
        <f t="shared" si="0"/>
        <v>42626.65065625526</v>
      </c>
      <c r="H61" s="31">
        <f t="shared" si="5"/>
        <v>856.795678190731</v>
      </c>
      <c r="I61" s="30">
        <f t="shared" si="2"/>
        <v>43483.446334445987</v>
      </c>
      <c r="J61" s="30">
        <f t="shared" si="6"/>
        <v>43052.917162818012</v>
      </c>
    </row>
    <row r="62" spans="6:10" x14ac:dyDescent="0.25">
      <c r="F62" s="29">
        <v>60</v>
      </c>
      <c r="G62" s="31">
        <f t="shared" si="0"/>
        <v>43052.917162817808</v>
      </c>
      <c r="H62" s="31">
        <f t="shared" si="5"/>
        <v>430.52917162817818</v>
      </c>
      <c r="I62" s="30">
        <f t="shared" si="2"/>
        <v>43483.446334445987</v>
      </c>
      <c r="J62" s="30">
        <f t="shared" si="6"/>
        <v>2.0372681319713593E-10</v>
      </c>
    </row>
    <row r="63" spans="6:10" x14ac:dyDescent="0.25">
      <c r="F63" s="29">
        <v>61</v>
      </c>
      <c r="G63" s="31" t="e">
        <f t="shared" si="0"/>
        <v>#NUM!</v>
      </c>
      <c r="H63" s="31" t="e">
        <f t="shared" si="5"/>
        <v>#NUM!</v>
      </c>
      <c r="I63" s="30">
        <f t="shared" si="2"/>
        <v>43483.446334445987</v>
      </c>
      <c r="J63" s="30" t="e">
        <f t="shared" si="6"/>
        <v>#NUM!</v>
      </c>
    </row>
    <row r="64" spans="6:10" x14ac:dyDescent="0.25">
      <c r="F64" s="29">
        <v>62</v>
      </c>
      <c r="G64" s="31" t="e">
        <f t="shared" si="0"/>
        <v>#NUM!</v>
      </c>
      <c r="H64" s="31" t="e">
        <f t="shared" si="5"/>
        <v>#NUM!</v>
      </c>
      <c r="I64" s="30">
        <f t="shared" si="2"/>
        <v>43483.446334445987</v>
      </c>
      <c r="J64" s="30" t="e">
        <f t="shared" si="6"/>
        <v>#NUM!</v>
      </c>
    </row>
    <row r="65" spans="6:10" x14ac:dyDescent="0.25">
      <c r="F65" s="29">
        <v>63</v>
      </c>
      <c r="G65" s="31" t="e">
        <f t="shared" si="0"/>
        <v>#NUM!</v>
      </c>
      <c r="H65" s="31" t="e">
        <f t="shared" si="5"/>
        <v>#NUM!</v>
      </c>
      <c r="I65" s="30">
        <f t="shared" si="2"/>
        <v>43483.446334445987</v>
      </c>
      <c r="J65" s="30" t="e">
        <f t="shared" si="6"/>
        <v>#NUM!</v>
      </c>
    </row>
    <row r="66" spans="6:10" x14ac:dyDescent="0.25">
      <c r="F66" s="29">
        <v>64</v>
      </c>
      <c r="G66" s="31" t="e">
        <f t="shared" si="0"/>
        <v>#NUM!</v>
      </c>
      <c r="H66" s="31" t="e">
        <f t="shared" si="5"/>
        <v>#NUM!</v>
      </c>
      <c r="I66" s="30">
        <f t="shared" si="2"/>
        <v>43483.446334445987</v>
      </c>
      <c r="J66" s="30" t="e">
        <f t="shared" si="6"/>
        <v>#NUM!</v>
      </c>
    </row>
    <row r="67" spans="6:10" x14ac:dyDescent="0.25">
      <c r="F67" s="29">
        <v>65</v>
      </c>
      <c r="G67" s="31" t="e">
        <f t="shared" si="0"/>
        <v>#NUM!</v>
      </c>
      <c r="H67" s="31" t="e">
        <f t="shared" si="5"/>
        <v>#NUM!</v>
      </c>
      <c r="I67" s="30">
        <f t="shared" si="2"/>
        <v>43483.446334445987</v>
      </c>
      <c r="J67" s="30" t="e">
        <f t="shared" si="6"/>
        <v>#NUM!</v>
      </c>
    </row>
    <row r="68" spans="6:10" x14ac:dyDescent="0.25">
      <c r="F68" s="29">
        <v>66</v>
      </c>
      <c r="G68" s="31" t="e">
        <f t="shared" ref="G68:G131" si="7">PPMT($D$3/12,F68,$D$5,-$D$6)</f>
        <v>#NUM!</v>
      </c>
      <c r="H68" s="31" t="e">
        <f t="shared" si="5"/>
        <v>#NUM!</v>
      </c>
      <c r="I68" s="30">
        <f t="shared" ref="I68:I131" si="8">PMT($D$3/12,$D$5,-$D$6)</f>
        <v>43483.446334445987</v>
      </c>
      <c r="J68" s="30" t="e">
        <f t="shared" si="6"/>
        <v>#NUM!</v>
      </c>
    </row>
    <row r="69" spans="6:10" x14ac:dyDescent="0.25">
      <c r="F69" s="29">
        <v>67</v>
      </c>
      <c r="G69" s="31" t="e">
        <f t="shared" si="7"/>
        <v>#NUM!</v>
      </c>
      <c r="H69" s="31" t="e">
        <f t="shared" si="5"/>
        <v>#NUM!</v>
      </c>
      <c r="I69" s="30">
        <f t="shared" si="8"/>
        <v>43483.446334445987</v>
      </c>
      <c r="J69" s="30" t="e">
        <f t="shared" si="6"/>
        <v>#NUM!</v>
      </c>
    </row>
    <row r="70" spans="6:10" x14ac:dyDescent="0.25">
      <c r="F70" s="29">
        <v>68</v>
      </c>
      <c r="G70" s="31" t="e">
        <f t="shared" si="7"/>
        <v>#NUM!</v>
      </c>
      <c r="H70" s="31" t="e">
        <f t="shared" si="5"/>
        <v>#NUM!</v>
      </c>
      <c r="I70" s="30">
        <f t="shared" si="8"/>
        <v>43483.446334445987</v>
      </c>
      <c r="J70" s="30" t="e">
        <f t="shared" si="6"/>
        <v>#NUM!</v>
      </c>
    </row>
    <row r="71" spans="6:10" x14ac:dyDescent="0.25">
      <c r="F71" s="29">
        <v>69</v>
      </c>
      <c r="G71" s="31" t="e">
        <f t="shared" si="7"/>
        <v>#NUM!</v>
      </c>
      <c r="H71" s="31" t="e">
        <f t="shared" si="5"/>
        <v>#NUM!</v>
      </c>
      <c r="I71" s="30">
        <f t="shared" si="8"/>
        <v>43483.446334445987</v>
      </c>
      <c r="J71" s="30" t="e">
        <f t="shared" si="6"/>
        <v>#NUM!</v>
      </c>
    </row>
    <row r="72" spans="6:10" x14ac:dyDescent="0.25">
      <c r="F72" s="29">
        <v>70</v>
      </c>
      <c r="G72" s="31" t="e">
        <f t="shared" si="7"/>
        <v>#NUM!</v>
      </c>
      <c r="H72" s="31" t="e">
        <f t="shared" si="5"/>
        <v>#NUM!</v>
      </c>
      <c r="I72" s="30">
        <f t="shared" si="8"/>
        <v>43483.446334445987</v>
      </c>
      <c r="J72" s="30" t="e">
        <f t="shared" si="6"/>
        <v>#NUM!</v>
      </c>
    </row>
    <row r="73" spans="6:10" x14ac:dyDescent="0.25">
      <c r="F73" s="29">
        <v>71</v>
      </c>
      <c r="G73" s="31" t="e">
        <f t="shared" si="7"/>
        <v>#NUM!</v>
      </c>
      <c r="H73" s="31" t="e">
        <f t="shared" ref="H73:H80" si="9">IPMT($D$3/12,F73,$D$5,-$D$6)</f>
        <v>#NUM!</v>
      </c>
      <c r="I73" s="30">
        <f t="shared" si="8"/>
        <v>43483.446334445987</v>
      </c>
      <c r="J73" s="30" t="e">
        <f t="shared" ref="J73:J80" si="10">J72-G73</f>
        <v>#NUM!</v>
      </c>
    </row>
    <row r="74" spans="6:10" x14ac:dyDescent="0.25">
      <c r="F74" s="29">
        <v>72</v>
      </c>
      <c r="G74" s="31" t="e">
        <f t="shared" si="7"/>
        <v>#NUM!</v>
      </c>
      <c r="H74" s="31" t="e">
        <f t="shared" si="9"/>
        <v>#NUM!</v>
      </c>
      <c r="I74" s="30">
        <f t="shared" si="8"/>
        <v>43483.446334445987</v>
      </c>
      <c r="J74" s="30" t="e">
        <f t="shared" si="10"/>
        <v>#NUM!</v>
      </c>
    </row>
    <row r="75" spans="6:10" x14ac:dyDescent="0.25">
      <c r="F75" s="29">
        <v>73</v>
      </c>
      <c r="G75" s="31" t="e">
        <f t="shared" si="7"/>
        <v>#NUM!</v>
      </c>
      <c r="H75" s="31" t="e">
        <f t="shared" si="9"/>
        <v>#NUM!</v>
      </c>
      <c r="I75" s="30">
        <f t="shared" si="8"/>
        <v>43483.446334445987</v>
      </c>
      <c r="J75" s="30" t="e">
        <f t="shared" si="10"/>
        <v>#NUM!</v>
      </c>
    </row>
    <row r="76" spans="6:10" x14ac:dyDescent="0.25">
      <c r="F76" s="29">
        <v>74</v>
      </c>
      <c r="G76" s="31" t="e">
        <f t="shared" si="7"/>
        <v>#NUM!</v>
      </c>
      <c r="H76" s="31" t="e">
        <f t="shared" si="9"/>
        <v>#NUM!</v>
      </c>
      <c r="I76" s="30">
        <f t="shared" si="8"/>
        <v>43483.446334445987</v>
      </c>
      <c r="J76" s="30" t="e">
        <f t="shared" si="10"/>
        <v>#NUM!</v>
      </c>
    </row>
    <row r="77" spans="6:10" x14ac:dyDescent="0.25">
      <c r="F77" s="29">
        <v>75</v>
      </c>
      <c r="G77" s="31" t="e">
        <f t="shared" si="7"/>
        <v>#NUM!</v>
      </c>
      <c r="H77" s="31" t="e">
        <f t="shared" si="9"/>
        <v>#NUM!</v>
      </c>
      <c r="I77" s="30">
        <f t="shared" si="8"/>
        <v>43483.446334445987</v>
      </c>
      <c r="J77" s="30" t="e">
        <f t="shared" si="10"/>
        <v>#NUM!</v>
      </c>
    </row>
    <row r="78" spans="6:10" x14ac:dyDescent="0.25">
      <c r="F78" s="29">
        <v>76</v>
      </c>
      <c r="G78" s="31" t="e">
        <f t="shared" si="7"/>
        <v>#NUM!</v>
      </c>
      <c r="H78" s="31" t="e">
        <f t="shared" si="9"/>
        <v>#NUM!</v>
      </c>
      <c r="I78" s="30">
        <f t="shared" si="8"/>
        <v>43483.446334445987</v>
      </c>
      <c r="J78" s="30" t="e">
        <f t="shared" si="10"/>
        <v>#NUM!</v>
      </c>
    </row>
    <row r="79" spans="6:10" x14ac:dyDescent="0.25">
      <c r="F79" s="29">
        <v>77</v>
      </c>
      <c r="G79" s="31" t="e">
        <f t="shared" si="7"/>
        <v>#NUM!</v>
      </c>
      <c r="H79" s="31" t="e">
        <f t="shared" si="9"/>
        <v>#NUM!</v>
      </c>
      <c r="I79" s="30">
        <f t="shared" si="8"/>
        <v>43483.446334445987</v>
      </c>
      <c r="J79" s="30" t="e">
        <f t="shared" si="10"/>
        <v>#NUM!</v>
      </c>
    </row>
    <row r="80" spans="6:10" x14ac:dyDescent="0.25">
      <c r="F80" s="29">
        <v>78</v>
      </c>
      <c r="G80" s="31" t="e">
        <f t="shared" si="7"/>
        <v>#NUM!</v>
      </c>
      <c r="H80" s="31" t="e">
        <f t="shared" si="9"/>
        <v>#NUM!</v>
      </c>
      <c r="I80" s="30">
        <f t="shared" si="8"/>
        <v>43483.446334445987</v>
      </c>
      <c r="J80" s="30" t="e">
        <f t="shared" si="10"/>
        <v>#NUM!</v>
      </c>
    </row>
    <row r="81" spans="6:10" x14ac:dyDescent="0.25">
      <c r="F81" s="29">
        <v>79</v>
      </c>
      <c r="G81" s="31" t="e">
        <f t="shared" si="7"/>
        <v>#NUM!</v>
      </c>
      <c r="H81" s="31" t="e">
        <f t="shared" ref="H81:H99" si="11">IPMT($D$3/12,F81,$D$5,-$D$6)</f>
        <v>#NUM!</v>
      </c>
      <c r="I81" s="30">
        <f t="shared" si="8"/>
        <v>43483.446334445987</v>
      </c>
      <c r="J81" s="30" t="e">
        <f t="shared" ref="J81:J99" si="12">J80-G81</f>
        <v>#NUM!</v>
      </c>
    </row>
    <row r="82" spans="6:10" x14ac:dyDescent="0.25">
      <c r="F82" s="29">
        <v>80</v>
      </c>
      <c r="G82" s="31" t="e">
        <f t="shared" si="7"/>
        <v>#NUM!</v>
      </c>
      <c r="H82" s="31" t="e">
        <f t="shared" si="11"/>
        <v>#NUM!</v>
      </c>
      <c r="I82" s="30">
        <f t="shared" si="8"/>
        <v>43483.446334445987</v>
      </c>
      <c r="J82" s="30" t="e">
        <f t="shared" si="12"/>
        <v>#NUM!</v>
      </c>
    </row>
    <row r="83" spans="6:10" x14ac:dyDescent="0.25">
      <c r="F83" s="29">
        <v>81</v>
      </c>
      <c r="G83" s="31" t="e">
        <f t="shared" si="7"/>
        <v>#NUM!</v>
      </c>
      <c r="H83" s="31" t="e">
        <f t="shared" si="11"/>
        <v>#NUM!</v>
      </c>
      <c r="I83" s="30">
        <f t="shared" si="8"/>
        <v>43483.446334445987</v>
      </c>
      <c r="J83" s="30" t="e">
        <f t="shared" si="12"/>
        <v>#NUM!</v>
      </c>
    </row>
    <row r="84" spans="6:10" x14ac:dyDescent="0.25">
      <c r="F84" s="29">
        <v>82</v>
      </c>
      <c r="G84" s="31" t="e">
        <f t="shared" si="7"/>
        <v>#NUM!</v>
      </c>
      <c r="H84" s="31" t="e">
        <f t="shared" si="11"/>
        <v>#NUM!</v>
      </c>
      <c r="I84" s="30">
        <f t="shared" si="8"/>
        <v>43483.446334445987</v>
      </c>
      <c r="J84" s="30" t="e">
        <f t="shared" si="12"/>
        <v>#NUM!</v>
      </c>
    </row>
    <row r="85" spans="6:10" x14ac:dyDescent="0.25">
      <c r="F85" s="29">
        <v>83</v>
      </c>
      <c r="G85" s="31" t="e">
        <f t="shared" si="7"/>
        <v>#NUM!</v>
      </c>
      <c r="H85" s="31" t="e">
        <f t="shared" si="11"/>
        <v>#NUM!</v>
      </c>
      <c r="I85" s="30">
        <f t="shared" si="8"/>
        <v>43483.446334445987</v>
      </c>
      <c r="J85" s="30" t="e">
        <f t="shared" si="12"/>
        <v>#NUM!</v>
      </c>
    </row>
    <row r="86" spans="6:10" x14ac:dyDescent="0.25">
      <c r="F86" s="29">
        <v>84</v>
      </c>
      <c r="G86" s="31" t="e">
        <f t="shared" si="7"/>
        <v>#NUM!</v>
      </c>
      <c r="H86" s="31" t="e">
        <f t="shared" si="11"/>
        <v>#NUM!</v>
      </c>
      <c r="I86" s="30">
        <f t="shared" si="8"/>
        <v>43483.446334445987</v>
      </c>
      <c r="J86" s="30" t="e">
        <f t="shared" si="12"/>
        <v>#NUM!</v>
      </c>
    </row>
    <row r="87" spans="6:10" x14ac:dyDescent="0.25">
      <c r="F87" s="29">
        <v>85</v>
      </c>
      <c r="G87" s="31" t="e">
        <f t="shared" si="7"/>
        <v>#NUM!</v>
      </c>
      <c r="H87" s="31" t="e">
        <f t="shared" si="11"/>
        <v>#NUM!</v>
      </c>
      <c r="I87" s="30">
        <f t="shared" si="8"/>
        <v>43483.446334445987</v>
      </c>
      <c r="J87" s="30" t="e">
        <f t="shared" si="12"/>
        <v>#NUM!</v>
      </c>
    </row>
    <row r="88" spans="6:10" x14ac:dyDescent="0.25">
      <c r="F88" s="29">
        <v>86</v>
      </c>
      <c r="G88" s="31" t="e">
        <f t="shared" si="7"/>
        <v>#NUM!</v>
      </c>
      <c r="H88" s="31" t="e">
        <f t="shared" si="11"/>
        <v>#NUM!</v>
      </c>
      <c r="I88" s="30">
        <f t="shared" si="8"/>
        <v>43483.446334445987</v>
      </c>
      <c r="J88" s="30" t="e">
        <f t="shared" si="12"/>
        <v>#NUM!</v>
      </c>
    </row>
    <row r="89" spans="6:10" x14ac:dyDescent="0.25">
      <c r="F89" s="29">
        <v>87</v>
      </c>
      <c r="G89" s="31" t="e">
        <f t="shared" si="7"/>
        <v>#NUM!</v>
      </c>
      <c r="H89" s="31" t="e">
        <f t="shared" si="11"/>
        <v>#NUM!</v>
      </c>
      <c r="I89" s="30">
        <f t="shared" si="8"/>
        <v>43483.446334445987</v>
      </c>
      <c r="J89" s="30" t="e">
        <f t="shared" si="12"/>
        <v>#NUM!</v>
      </c>
    </row>
    <row r="90" spans="6:10" x14ac:dyDescent="0.25">
      <c r="F90" s="29">
        <v>88</v>
      </c>
      <c r="G90" s="31" t="e">
        <f t="shared" si="7"/>
        <v>#NUM!</v>
      </c>
      <c r="H90" s="31" t="e">
        <f t="shared" si="11"/>
        <v>#NUM!</v>
      </c>
      <c r="I90" s="30">
        <f t="shared" si="8"/>
        <v>43483.446334445987</v>
      </c>
      <c r="J90" s="30" t="e">
        <f t="shared" si="12"/>
        <v>#NUM!</v>
      </c>
    </row>
    <row r="91" spans="6:10" x14ac:dyDescent="0.25">
      <c r="F91" s="29">
        <v>89</v>
      </c>
      <c r="G91" s="31" t="e">
        <f t="shared" si="7"/>
        <v>#NUM!</v>
      </c>
      <c r="H91" s="31" t="e">
        <f t="shared" si="11"/>
        <v>#NUM!</v>
      </c>
      <c r="I91" s="30">
        <f t="shared" si="8"/>
        <v>43483.446334445987</v>
      </c>
      <c r="J91" s="30" t="e">
        <f t="shared" si="12"/>
        <v>#NUM!</v>
      </c>
    </row>
    <row r="92" spans="6:10" x14ac:dyDescent="0.25">
      <c r="F92" s="29">
        <v>90</v>
      </c>
      <c r="G92" s="31" t="e">
        <f t="shared" si="7"/>
        <v>#NUM!</v>
      </c>
      <c r="H92" s="31" t="e">
        <f t="shared" si="11"/>
        <v>#NUM!</v>
      </c>
      <c r="I92" s="30">
        <f t="shared" si="8"/>
        <v>43483.446334445987</v>
      </c>
      <c r="J92" s="30" t="e">
        <f t="shared" si="12"/>
        <v>#NUM!</v>
      </c>
    </row>
    <row r="93" spans="6:10" x14ac:dyDescent="0.25">
      <c r="F93" s="29">
        <v>91</v>
      </c>
      <c r="G93" s="31" t="e">
        <f t="shared" si="7"/>
        <v>#NUM!</v>
      </c>
      <c r="H93" s="31" t="e">
        <f t="shared" si="11"/>
        <v>#NUM!</v>
      </c>
      <c r="I93" s="30">
        <f t="shared" si="8"/>
        <v>43483.446334445987</v>
      </c>
      <c r="J93" s="30" t="e">
        <f t="shared" si="12"/>
        <v>#NUM!</v>
      </c>
    </row>
    <row r="94" spans="6:10" x14ac:dyDescent="0.25">
      <c r="F94" s="29">
        <v>92</v>
      </c>
      <c r="G94" s="31" t="e">
        <f t="shared" si="7"/>
        <v>#NUM!</v>
      </c>
      <c r="H94" s="31" t="e">
        <f t="shared" si="11"/>
        <v>#NUM!</v>
      </c>
      <c r="I94" s="30">
        <f t="shared" si="8"/>
        <v>43483.446334445987</v>
      </c>
      <c r="J94" s="30" t="e">
        <f t="shared" si="12"/>
        <v>#NUM!</v>
      </c>
    </row>
    <row r="95" spans="6:10" x14ac:dyDescent="0.25">
      <c r="F95" s="29">
        <v>93</v>
      </c>
      <c r="G95" s="31" t="e">
        <f t="shared" si="7"/>
        <v>#NUM!</v>
      </c>
      <c r="H95" s="31" t="e">
        <f t="shared" si="11"/>
        <v>#NUM!</v>
      </c>
      <c r="I95" s="30">
        <f t="shared" si="8"/>
        <v>43483.446334445987</v>
      </c>
      <c r="J95" s="30" t="e">
        <f t="shared" si="12"/>
        <v>#NUM!</v>
      </c>
    </row>
    <row r="96" spans="6:10" x14ac:dyDescent="0.25">
      <c r="F96" s="29">
        <v>94</v>
      </c>
      <c r="G96" s="31" t="e">
        <f t="shared" si="7"/>
        <v>#NUM!</v>
      </c>
      <c r="H96" s="31" t="e">
        <f t="shared" si="11"/>
        <v>#NUM!</v>
      </c>
      <c r="I96" s="30">
        <f t="shared" si="8"/>
        <v>43483.446334445987</v>
      </c>
      <c r="J96" s="30" t="e">
        <f t="shared" si="12"/>
        <v>#NUM!</v>
      </c>
    </row>
    <row r="97" spans="6:10" x14ac:dyDescent="0.25">
      <c r="F97" s="29">
        <v>95</v>
      </c>
      <c r="G97" s="31" t="e">
        <f t="shared" si="7"/>
        <v>#NUM!</v>
      </c>
      <c r="H97" s="31" t="e">
        <f t="shared" si="11"/>
        <v>#NUM!</v>
      </c>
      <c r="I97" s="30">
        <f t="shared" si="8"/>
        <v>43483.446334445987</v>
      </c>
      <c r="J97" s="30" t="e">
        <f t="shared" si="12"/>
        <v>#NUM!</v>
      </c>
    </row>
    <row r="98" spans="6:10" x14ac:dyDescent="0.25">
      <c r="F98" s="29">
        <v>96</v>
      </c>
      <c r="G98" s="31" t="e">
        <f t="shared" si="7"/>
        <v>#NUM!</v>
      </c>
      <c r="H98" s="31" t="e">
        <f t="shared" si="11"/>
        <v>#NUM!</v>
      </c>
      <c r="I98" s="30">
        <f t="shared" si="8"/>
        <v>43483.446334445987</v>
      </c>
      <c r="J98" s="30" t="e">
        <f t="shared" si="12"/>
        <v>#NUM!</v>
      </c>
    </row>
    <row r="99" spans="6:10" x14ac:dyDescent="0.25">
      <c r="F99" s="29">
        <v>97</v>
      </c>
      <c r="G99" s="31" t="e">
        <f t="shared" si="7"/>
        <v>#NUM!</v>
      </c>
      <c r="H99" s="31" t="e">
        <f t="shared" si="11"/>
        <v>#NUM!</v>
      </c>
      <c r="I99" s="30">
        <f t="shared" si="8"/>
        <v>43483.446334445987</v>
      </c>
      <c r="J99" s="30" t="e">
        <f t="shared" si="12"/>
        <v>#NUM!</v>
      </c>
    </row>
    <row r="100" spans="6:10" x14ac:dyDescent="0.25">
      <c r="F100" s="29">
        <v>98</v>
      </c>
      <c r="G100" s="31" t="e">
        <f t="shared" si="7"/>
        <v>#NUM!</v>
      </c>
      <c r="H100" s="31" t="e">
        <f t="shared" ref="H100:H142" si="13">IPMT($D$3/12,F100,$D$5,-$D$6)</f>
        <v>#NUM!</v>
      </c>
      <c r="I100" s="30">
        <f t="shared" si="8"/>
        <v>43483.446334445987</v>
      </c>
      <c r="J100" s="30" t="e">
        <f t="shared" ref="J100:J142" si="14">J99-G100</f>
        <v>#NUM!</v>
      </c>
    </row>
    <row r="101" spans="6:10" x14ac:dyDescent="0.25">
      <c r="F101" s="29">
        <v>99</v>
      </c>
      <c r="G101" s="31" t="e">
        <f t="shared" si="7"/>
        <v>#NUM!</v>
      </c>
      <c r="H101" s="31" t="e">
        <f t="shared" si="13"/>
        <v>#NUM!</v>
      </c>
      <c r="I101" s="30">
        <f t="shared" si="8"/>
        <v>43483.446334445987</v>
      </c>
      <c r="J101" s="30" t="e">
        <f t="shared" si="14"/>
        <v>#NUM!</v>
      </c>
    </row>
    <row r="102" spans="6:10" x14ac:dyDescent="0.25">
      <c r="F102" s="29">
        <v>100</v>
      </c>
      <c r="G102" s="31" t="e">
        <f t="shared" si="7"/>
        <v>#NUM!</v>
      </c>
      <c r="H102" s="31" t="e">
        <f t="shared" si="13"/>
        <v>#NUM!</v>
      </c>
      <c r="I102" s="30">
        <f t="shared" si="8"/>
        <v>43483.446334445987</v>
      </c>
      <c r="J102" s="30" t="e">
        <f t="shared" si="14"/>
        <v>#NUM!</v>
      </c>
    </row>
    <row r="103" spans="6:10" x14ac:dyDescent="0.25">
      <c r="F103" s="29">
        <v>101</v>
      </c>
      <c r="G103" s="31" t="e">
        <f t="shared" si="7"/>
        <v>#NUM!</v>
      </c>
      <c r="H103" s="31" t="e">
        <f t="shared" si="13"/>
        <v>#NUM!</v>
      </c>
      <c r="I103" s="30">
        <f t="shared" si="8"/>
        <v>43483.446334445987</v>
      </c>
      <c r="J103" s="30" t="e">
        <f t="shared" si="14"/>
        <v>#NUM!</v>
      </c>
    </row>
    <row r="104" spans="6:10" x14ac:dyDescent="0.25">
      <c r="F104" s="29">
        <v>102</v>
      </c>
      <c r="G104" s="31" t="e">
        <f t="shared" si="7"/>
        <v>#NUM!</v>
      </c>
      <c r="H104" s="31" t="e">
        <f t="shared" si="13"/>
        <v>#NUM!</v>
      </c>
      <c r="I104" s="30">
        <f t="shared" si="8"/>
        <v>43483.446334445987</v>
      </c>
      <c r="J104" s="30" t="e">
        <f t="shared" si="14"/>
        <v>#NUM!</v>
      </c>
    </row>
    <row r="105" spans="6:10" x14ac:dyDescent="0.25">
      <c r="F105" s="29">
        <v>103</v>
      </c>
      <c r="G105" s="31" t="e">
        <f t="shared" si="7"/>
        <v>#NUM!</v>
      </c>
      <c r="H105" s="31" t="e">
        <f t="shared" si="13"/>
        <v>#NUM!</v>
      </c>
      <c r="I105" s="30">
        <f t="shared" si="8"/>
        <v>43483.446334445987</v>
      </c>
      <c r="J105" s="30" t="e">
        <f t="shared" si="14"/>
        <v>#NUM!</v>
      </c>
    </row>
    <row r="106" spans="6:10" x14ac:dyDescent="0.25">
      <c r="F106" s="29">
        <v>104</v>
      </c>
      <c r="G106" s="31" t="e">
        <f t="shared" si="7"/>
        <v>#NUM!</v>
      </c>
      <c r="H106" s="31" t="e">
        <f t="shared" si="13"/>
        <v>#NUM!</v>
      </c>
      <c r="I106" s="30">
        <f t="shared" si="8"/>
        <v>43483.446334445987</v>
      </c>
      <c r="J106" s="30" t="e">
        <f t="shared" si="14"/>
        <v>#NUM!</v>
      </c>
    </row>
    <row r="107" spans="6:10" x14ac:dyDescent="0.25">
      <c r="F107" s="29">
        <v>105</v>
      </c>
      <c r="G107" s="31" t="e">
        <f t="shared" si="7"/>
        <v>#NUM!</v>
      </c>
      <c r="H107" s="31" t="e">
        <f t="shared" si="13"/>
        <v>#NUM!</v>
      </c>
      <c r="I107" s="30">
        <f t="shared" si="8"/>
        <v>43483.446334445987</v>
      </c>
      <c r="J107" s="30" t="e">
        <f t="shared" si="14"/>
        <v>#NUM!</v>
      </c>
    </row>
    <row r="108" spans="6:10" x14ac:dyDescent="0.25">
      <c r="F108" s="29">
        <v>106</v>
      </c>
      <c r="G108" s="31" t="e">
        <f t="shared" si="7"/>
        <v>#NUM!</v>
      </c>
      <c r="H108" s="31" t="e">
        <f t="shared" si="13"/>
        <v>#NUM!</v>
      </c>
      <c r="I108" s="30">
        <f t="shared" si="8"/>
        <v>43483.446334445987</v>
      </c>
      <c r="J108" s="30" t="e">
        <f t="shared" si="14"/>
        <v>#NUM!</v>
      </c>
    </row>
    <row r="109" spans="6:10" x14ac:dyDescent="0.25">
      <c r="F109" s="29">
        <v>107</v>
      </c>
      <c r="G109" s="31" t="e">
        <f t="shared" si="7"/>
        <v>#NUM!</v>
      </c>
      <c r="H109" s="31" t="e">
        <f t="shared" si="13"/>
        <v>#NUM!</v>
      </c>
      <c r="I109" s="30">
        <f t="shared" si="8"/>
        <v>43483.446334445987</v>
      </c>
      <c r="J109" s="30" t="e">
        <f t="shared" si="14"/>
        <v>#NUM!</v>
      </c>
    </row>
    <row r="110" spans="6:10" x14ac:dyDescent="0.25">
      <c r="F110" s="29">
        <v>108</v>
      </c>
      <c r="G110" s="31" t="e">
        <f t="shared" si="7"/>
        <v>#NUM!</v>
      </c>
      <c r="H110" s="31" t="e">
        <f t="shared" si="13"/>
        <v>#NUM!</v>
      </c>
      <c r="I110" s="30">
        <f t="shared" si="8"/>
        <v>43483.446334445987</v>
      </c>
      <c r="J110" s="30" t="e">
        <f t="shared" si="14"/>
        <v>#NUM!</v>
      </c>
    </row>
    <row r="111" spans="6:10" x14ac:dyDescent="0.25">
      <c r="F111" s="29">
        <v>109</v>
      </c>
      <c r="G111" s="31" t="e">
        <f t="shared" si="7"/>
        <v>#NUM!</v>
      </c>
      <c r="H111" s="31" t="e">
        <f t="shared" si="13"/>
        <v>#NUM!</v>
      </c>
      <c r="I111" s="30">
        <f t="shared" si="8"/>
        <v>43483.446334445987</v>
      </c>
      <c r="J111" s="30" t="e">
        <f t="shared" si="14"/>
        <v>#NUM!</v>
      </c>
    </row>
    <row r="112" spans="6:10" x14ac:dyDescent="0.25">
      <c r="F112" s="29">
        <v>110</v>
      </c>
      <c r="G112" s="31" t="e">
        <f t="shared" si="7"/>
        <v>#NUM!</v>
      </c>
      <c r="H112" s="31" t="e">
        <f t="shared" si="13"/>
        <v>#NUM!</v>
      </c>
      <c r="I112" s="30">
        <f t="shared" si="8"/>
        <v>43483.446334445987</v>
      </c>
      <c r="J112" s="30" t="e">
        <f t="shared" si="14"/>
        <v>#NUM!</v>
      </c>
    </row>
    <row r="113" spans="6:10" x14ac:dyDescent="0.25">
      <c r="F113" s="29">
        <v>111</v>
      </c>
      <c r="G113" s="31" t="e">
        <f t="shared" si="7"/>
        <v>#NUM!</v>
      </c>
      <c r="H113" s="31" t="e">
        <f t="shared" si="13"/>
        <v>#NUM!</v>
      </c>
      <c r="I113" s="30">
        <f t="shared" si="8"/>
        <v>43483.446334445987</v>
      </c>
      <c r="J113" s="30" t="e">
        <f t="shared" si="14"/>
        <v>#NUM!</v>
      </c>
    </row>
    <row r="114" spans="6:10" x14ac:dyDescent="0.25">
      <c r="F114" s="29">
        <v>112</v>
      </c>
      <c r="G114" s="31" t="e">
        <f t="shared" si="7"/>
        <v>#NUM!</v>
      </c>
      <c r="H114" s="31" t="e">
        <f t="shared" si="13"/>
        <v>#NUM!</v>
      </c>
      <c r="I114" s="30">
        <f t="shared" si="8"/>
        <v>43483.446334445987</v>
      </c>
      <c r="J114" s="30" t="e">
        <f t="shared" si="14"/>
        <v>#NUM!</v>
      </c>
    </row>
    <row r="115" spans="6:10" x14ac:dyDescent="0.25">
      <c r="F115" s="29">
        <v>113</v>
      </c>
      <c r="G115" s="31" t="e">
        <f t="shared" si="7"/>
        <v>#NUM!</v>
      </c>
      <c r="H115" s="31" t="e">
        <f t="shared" si="13"/>
        <v>#NUM!</v>
      </c>
      <c r="I115" s="30">
        <f t="shared" si="8"/>
        <v>43483.446334445987</v>
      </c>
      <c r="J115" s="30" t="e">
        <f t="shared" si="14"/>
        <v>#NUM!</v>
      </c>
    </row>
    <row r="116" spans="6:10" x14ac:dyDescent="0.25">
      <c r="F116" s="29">
        <v>114</v>
      </c>
      <c r="G116" s="31" t="e">
        <f t="shared" si="7"/>
        <v>#NUM!</v>
      </c>
      <c r="H116" s="31" t="e">
        <f t="shared" si="13"/>
        <v>#NUM!</v>
      </c>
      <c r="I116" s="30">
        <f t="shared" si="8"/>
        <v>43483.446334445987</v>
      </c>
      <c r="J116" s="30" t="e">
        <f t="shared" si="14"/>
        <v>#NUM!</v>
      </c>
    </row>
    <row r="117" spans="6:10" x14ac:dyDescent="0.25">
      <c r="F117" s="29">
        <v>115</v>
      </c>
      <c r="G117" s="31" t="e">
        <f t="shared" si="7"/>
        <v>#NUM!</v>
      </c>
      <c r="H117" s="31" t="e">
        <f t="shared" si="13"/>
        <v>#NUM!</v>
      </c>
      <c r="I117" s="30">
        <f t="shared" si="8"/>
        <v>43483.446334445987</v>
      </c>
      <c r="J117" s="30" t="e">
        <f t="shared" si="14"/>
        <v>#NUM!</v>
      </c>
    </row>
    <row r="118" spans="6:10" x14ac:dyDescent="0.25">
      <c r="F118" s="29">
        <v>116</v>
      </c>
      <c r="G118" s="31" t="e">
        <f t="shared" si="7"/>
        <v>#NUM!</v>
      </c>
      <c r="H118" s="31" t="e">
        <f t="shared" si="13"/>
        <v>#NUM!</v>
      </c>
      <c r="I118" s="30">
        <f t="shared" si="8"/>
        <v>43483.446334445987</v>
      </c>
      <c r="J118" s="30" t="e">
        <f t="shared" si="14"/>
        <v>#NUM!</v>
      </c>
    </row>
    <row r="119" spans="6:10" x14ac:dyDescent="0.25">
      <c r="F119" s="29">
        <v>117</v>
      </c>
      <c r="G119" s="31" t="e">
        <f t="shared" si="7"/>
        <v>#NUM!</v>
      </c>
      <c r="H119" s="31" t="e">
        <f t="shared" si="13"/>
        <v>#NUM!</v>
      </c>
      <c r="I119" s="30">
        <f t="shared" si="8"/>
        <v>43483.446334445987</v>
      </c>
      <c r="J119" s="30" t="e">
        <f t="shared" si="14"/>
        <v>#NUM!</v>
      </c>
    </row>
    <row r="120" spans="6:10" x14ac:dyDescent="0.25">
      <c r="F120" s="29">
        <v>118</v>
      </c>
      <c r="G120" s="31" t="e">
        <f t="shared" si="7"/>
        <v>#NUM!</v>
      </c>
      <c r="H120" s="31" t="e">
        <f t="shared" si="13"/>
        <v>#NUM!</v>
      </c>
      <c r="I120" s="30">
        <f t="shared" si="8"/>
        <v>43483.446334445987</v>
      </c>
      <c r="J120" s="30" t="e">
        <f t="shared" si="14"/>
        <v>#NUM!</v>
      </c>
    </row>
    <row r="121" spans="6:10" x14ac:dyDescent="0.25">
      <c r="F121" s="29">
        <v>119</v>
      </c>
      <c r="G121" s="31" t="e">
        <f t="shared" si="7"/>
        <v>#NUM!</v>
      </c>
      <c r="H121" s="31" t="e">
        <f t="shared" si="13"/>
        <v>#NUM!</v>
      </c>
      <c r="I121" s="30">
        <f t="shared" si="8"/>
        <v>43483.446334445987</v>
      </c>
      <c r="J121" s="30" t="e">
        <f t="shared" si="14"/>
        <v>#NUM!</v>
      </c>
    </row>
    <row r="122" spans="6:10" x14ac:dyDescent="0.25">
      <c r="F122" s="29">
        <v>120</v>
      </c>
      <c r="G122" s="31" t="e">
        <f t="shared" si="7"/>
        <v>#NUM!</v>
      </c>
      <c r="H122" s="31" t="e">
        <f t="shared" si="13"/>
        <v>#NUM!</v>
      </c>
      <c r="I122" s="30">
        <f t="shared" si="8"/>
        <v>43483.446334445987</v>
      </c>
      <c r="J122" s="30" t="e">
        <f t="shared" si="14"/>
        <v>#NUM!</v>
      </c>
    </row>
    <row r="123" spans="6:10" x14ac:dyDescent="0.25">
      <c r="F123" s="29">
        <v>121</v>
      </c>
      <c r="G123" s="31" t="e">
        <f t="shared" si="7"/>
        <v>#NUM!</v>
      </c>
      <c r="H123" s="31" t="e">
        <f t="shared" si="13"/>
        <v>#NUM!</v>
      </c>
      <c r="I123" s="30">
        <f t="shared" si="8"/>
        <v>43483.446334445987</v>
      </c>
      <c r="J123" s="30" t="e">
        <f t="shared" si="14"/>
        <v>#NUM!</v>
      </c>
    </row>
    <row r="124" spans="6:10" x14ac:dyDescent="0.25">
      <c r="F124" s="29">
        <v>122</v>
      </c>
      <c r="G124" s="31" t="e">
        <f t="shared" si="7"/>
        <v>#NUM!</v>
      </c>
      <c r="H124" s="31" t="e">
        <f t="shared" si="13"/>
        <v>#NUM!</v>
      </c>
      <c r="I124" s="30">
        <f t="shared" si="8"/>
        <v>43483.446334445987</v>
      </c>
      <c r="J124" s="30" t="e">
        <f t="shared" si="14"/>
        <v>#NUM!</v>
      </c>
    </row>
    <row r="125" spans="6:10" x14ac:dyDescent="0.25">
      <c r="F125" s="29">
        <v>123</v>
      </c>
      <c r="G125" s="31" t="e">
        <f t="shared" si="7"/>
        <v>#NUM!</v>
      </c>
      <c r="H125" s="31" t="e">
        <f t="shared" si="13"/>
        <v>#NUM!</v>
      </c>
      <c r="I125" s="30">
        <f t="shared" si="8"/>
        <v>43483.446334445987</v>
      </c>
      <c r="J125" s="30" t="e">
        <f t="shared" si="14"/>
        <v>#NUM!</v>
      </c>
    </row>
    <row r="126" spans="6:10" x14ac:dyDescent="0.25">
      <c r="F126" s="29">
        <v>124</v>
      </c>
      <c r="G126" s="31" t="e">
        <f t="shared" si="7"/>
        <v>#NUM!</v>
      </c>
      <c r="H126" s="31" t="e">
        <f t="shared" si="13"/>
        <v>#NUM!</v>
      </c>
      <c r="I126" s="30">
        <f t="shared" si="8"/>
        <v>43483.446334445987</v>
      </c>
      <c r="J126" s="30" t="e">
        <f t="shared" si="14"/>
        <v>#NUM!</v>
      </c>
    </row>
    <row r="127" spans="6:10" x14ac:dyDescent="0.25">
      <c r="F127" s="29">
        <v>125</v>
      </c>
      <c r="G127" s="31" t="e">
        <f t="shared" si="7"/>
        <v>#NUM!</v>
      </c>
      <c r="H127" s="31" t="e">
        <f t="shared" si="13"/>
        <v>#NUM!</v>
      </c>
      <c r="I127" s="30">
        <f t="shared" si="8"/>
        <v>43483.446334445987</v>
      </c>
      <c r="J127" s="30" t="e">
        <f t="shared" si="14"/>
        <v>#NUM!</v>
      </c>
    </row>
    <row r="128" spans="6:10" x14ac:dyDescent="0.25">
      <c r="F128" s="29">
        <v>126</v>
      </c>
      <c r="G128" s="31" t="e">
        <f t="shared" si="7"/>
        <v>#NUM!</v>
      </c>
      <c r="H128" s="31" t="e">
        <f t="shared" si="13"/>
        <v>#NUM!</v>
      </c>
      <c r="I128" s="30">
        <f t="shared" si="8"/>
        <v>43483.446334445987</v>
      </c>
      <c r="J128" s="30" t="e">
        <f t="shared" si="14"/>
        <v>#NUM!</v>
      </c>
    </row>
    <row r="129" spans="6:10" x14ac:dyDescent="0.25">
      <c r="F129" s="29">
        <v>127</v>
      </c>
      <c r="G129" s="31" t="e">
        <f t="shared" si="7"/>
        <v>#NUM!</v>
      </c>
      <c r="H129" s="31" t="e">
        <f t="shared" si="13"/>
        <v>#NUM!</v>
      </c>
      <c r="I129" s="30">
        <f t="shared" si="8"/>
        <v>43483.446334445987</v>
      </c>
      <c r="J129" s="30" t="e">
        <f t="shared" si="14"/>
        <v>#NUM!</v>
      </c>
    </row>
    <row r="130" spans="6:10" x14ac:dyDescent="0.25">
      <c r="F130" s="29">
        <v>128</v>
      </c>
      <c r="G130" s="31" t="e">
        <f t="shared" si="7"/>
        <v>#NUM!</v>
      </c>
      <c r="H130" s="31" t="e">
        <f t="shared" si="13"/>
        <v>#NUM!</v>
      </c>
      <c r="I130" s="30">
        <f t="shared" si="8"/>
        <v>43483.446334445987</v>
      </c>
      <c r="J130" s="30" t="e">
        <f t="shared" si="14"/>
        <v>#NUM!</v>
      </c>
    </row>
    <row r="131" spans="6:10" x14ac:dyDescent="0.25">
      <c r="F131" s="29">
        <v>129</v>
      </c>
      <c r="G131" s="31" t="e">
        <f t="shared" si="7"/>
        <v>#NUM!</v>
      </c>
      <c r="H131" s="31" t="e">
        <f t="shared" si="13"/>
        <v>#NUM!</v>
      </c>
      <c r="I131" s="30">
        <f t="shared" si="8"/>
        <v>43483.446334445987</v>
      </c>
      <c r="J131" s="30" t="e">
        <f t="shared" si="14"/>
        <v>#NUM!</v>
      </c>
    </row>
    <row r="132" spans="6:10" x14ac:dyDescent="0.25">
      <c r="F132" s="29">
        <v>130</v>
      </c>
      <c r="G132" s="31" t="e">
        <f t="shared" ref="G132:G142" si="15">PPMT($D$3/12,F132,$D$5,-$D$6)</f>
        <v>#NUM!</v>
      </c>
      <c r="H132" s="31" t="e">
        <f t="shared" si="13"/>
        <v>#NUM!</v>
      </c>
      <c r="I132" s="30">
        <f t="shared" ref="I132:I142" si="16">PMT($D$3/12,$D$5,-$D$6)</f>
        <v>43483.446334445987</v>
      </c>
      <c r="J132" s="30" t="e">
        <f t="shared" si="14"/>
        <v>#NUM!</v>
      </c>
    </row>
    <row r="133" spans="6:10" x14ac:dyDescent="0.25">
      <c r="F133" s="29">
        <v>131</v>
      </c>
      <c r="G133" s="31" t="e">
        <f t="shared" si="15"/>
        <v>#NUM!</v>
      </c>
      <c r="H133" s="31" t="e">
        <f t="shared" si="13"/>
        <v>#NUM!</v>
      </c>
      <c r="I133" s="30">
        <f t="shared" si="16"/>
        <v>43483.446334445987</v>
      </c>
      <c r="J133" s="30" t="e">
        <f t="shared" si="14"/>
        <v>#NUM!</v>
      </c>
    </row>
    <row r="134" spans="6:10" x14ac:dyDescent="0.25">
      <c r="F134" s="29">
        <v>132</v>
      </c>
      <c r="G134" s="31" t="e">
        <f t="shared" si="15"/>
        <v>#NUM!</v>
      </c>
      <c r="H134" s="31" t="e">
        <f t="shared" si="13"/>
        <v>#NUM!</v>
      </c>
      <c r="I134" s="30">
        <f t="shared" si="16"/>
        <v>43483.446334445987</v>
      </c>
      <c r="J134" s="30" t="e">
        <f t="shared" si="14"/>
        <v>#NUM!</v>
      </c>
    </row>
    <row r="135" spans="6:10" x14ac:dyDescent="0.25">
      <c r="F135" s="29">
        <v>133</v>
      </c>
      <c r="G135" s="31" t="e">
        <f t="shared" si="15"/>
        <v>#NUM!</v>
      </c>
      <c r="H135" s="31" t="e">
        <f t="shared" si="13"/>
        <v>#NUM!</v>
      </c>
      <c r="I135" s="30">
        <f t="shared" si="16"/>
        <v>43483.446334445987</v>
      </c>
      <c r="J135" s="30" t="e">
        <f t="shared" si="14"/>
        <v>#NUM!</v>
      </c>
    </row>
    <row r="136" spans="6:10" x14ac:dyDescent="0.25">
      <c r="F136" s="29">
        <v>134</v>
      </c>
      <c r="G136" s="31" t="e">
        <f t="shared" si="15"/>
        <v>#NUM!</v>
      </c>
      <c r="H136" s="31" t="e">
        <f t="shared" si="13"/>
        <v>#NUM!</v>
      </c>
      <c r="I136" s="30">
        <f t="shared" si="16"/>
        <v>43483.446334445987</v>
      </c>
      <c r="J136" s="30" t="e">
        <f t="shared" si="14"/>
        <v>#NUM!</v>
      </c>
    </row>
    <row r="137" spans="6:10" x14ac:dyDescent="0.25">
      <c r="F137" s="29">
        <v>135</v>
      </c>
      <c r="G137" s="31" t="e">
        <f t="shared" si="15"/>
        <v>#NUM!</v>
      </c>
      <c r="H137" s="31" t="e">
        <f t="shared" si="13"/>
        <v>#NUM!</v>
      </c>
      <c r="I137" s="30">
        <f t="shared" si="16"/>
        <v>43483.446334445987</v>
      </c>
      <c r="J137" s="30" t="e">
        <f t="shared" si="14"/>
        <v>#NUM!</v>
      </c>
    </row>
    <row r="138" spans="6:10" x14ac:dyDescent="0.25">
      <c r="F138" s="29">
        <v>136</v>
      </c>
      <c r="G138" s="31" t="e">
        <f t="shared" si="15"/>
        <v>#NUM!</v>
      </c>
      <c r="H138" s="31" t="e">
        <f t="shared" si="13"/>
        <v>#NUM!</v>
      </c>
      <c r="I138" s="30">
        <f t="shared" si="16"/>
        <v>43483.446334445987</v>
      </c>
      <c r="J138" s="30" t="e">
        <f t="shared" si="14"/>
        <v>#NUM!</v>
      </c>
    </row>
    <row r="139" spans="6:10" x14ac:dyDescent="0.25">
      <c r="F139" s="29">
        <v>137</v>
      </c>
      <c r="G139" s="31" t="e">
        <f t="shared" si="15"/>
        <v>#NUM!</v>
      </c>
      <c r="H139" s="31" t="e">
        <f t="shared" si="13"/>
        <v>#NUM!</v>
      </c>
      <c r="I139" s="30">
        <f t="shared" si="16"/>
        <v>43483.446334445987</v>
      </c>
      <c r="J139" s="30" t="e">
        <f t="shared" si="14"/>
        <v>#NUM!</v>
      </c>
    </row>
    <row r="140" spans="6:10" x14ac:dyDescent="0.25">
      <c r="F140" s="29">
        <v>138</v>
      </c>
      <c r="G140" s="31" t="e">
        <f t="shared" si="15"/>
        <v>#NUM!</v>
      </c>
      <c r="H140" s="31" t="e">
        <f t="shared" si="13"/>
        <v>#NUM!</v>
      </c>
      <c r="I140" s="30">
        <f t="shared" si="16"/>
        <v>43483.446334445987</v>
      </c>
      <c r="J140" s="30" t="e">
        <f t="shared" si="14"/>
        <v>#NUM!</v>
      </c>
    </row>
    <row r="141" spans="6:10" x14ac:dyDescent="0.25">
      <c r="F141" s="29">
        <v>139</v>
      </c>
      <c r="G141" s="31" t="e">
        <f t="shared" si="15"/>
        <v>#NUM!</v>
      </c>
      <c r="H141" s="31" t="e">
        <f t="shared" si="13"/>
        <v>#NUM!</v>
      </c>
      <c r="I141" s="30">
        <f t="shared" si="16"/>
        <v>43483.446334445987</v>
      </c>
      <c r="J141" s="30" t="e">
        <f t="shared" si="14"/>
        <v>#NUM!</v>
      </c>
    </row>
    <row r="142" spans="6:10" x14ac:dyDescent="0.25">
      <c r="F142" s="29">
        <v>140</v>
      </c>
      <c r="G142" s="31" t="e">
        <f t="shared" si="15"/>
        <v>#NUM!</v>
      </c>
      <c r="H142" s="31" t="e">
        <f t="shared" si="13"/>
        <v>#NUM!</v>
      </c>
      <c r="I142" s="30">
        <f t="shared" si="16"/>
        <v>43483.446334445987</v>
      </c>
      <c r="J142" s="30" t="e">
        <f t="shared" si="14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818-7EB0-49A6-A5E7-4E77B14BADA6}">
  <dimension ref="B29:B30"/>
  <sheetViews>
    <sheetView topLeftCell="A13" workbookViewId="0">
      <selection activeCell="B30" sqref="B30"/>
    </sheetView>
  </sheetViews>
  <sheetFormatPr defaultRowHeight="15" x14ac:dyDescent="0.25"/>
  <sheetData>
    <row r="29" spans="2:2" x14ac:dyDescent="0.25">
      <c r="B29" s="1" t="s">
        <v>99</v>
      </c>
    </row>
    <row r="30" spans="2:2" x14ac:dyDescent="0.25">
      <c r="B30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Comparision</vt:lpstr>
      <vt:lpstr>Assumption</vt:lpstr>
      <vt:lpstr>Model </vt:lpstr>
      <vt:lpstr>Debt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P2373022-SANDEEP SHARMA</dc:creator>
  <cp:lastModifiedBy>P2373022-SANDEEP SHARMA</cp:lastModifiedBy>
  <dcterms:created xsi:type="dcterms:W3CDTF">2024-11-17T06:05:04Z</dcterms:created>
  <dcterms:modified xsi:type="dcterms:W3CDTF">2024-11-20T09:53:29Z</dcterms:modified>
</cp:coreProperties>
</file>