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filterPrivacy="1" defaultThemeVersion="166925"/>
  <xr:revisionPtr revIDLastSave="0" documentId="13_ncr:1_{6C68E6CF-4DB0-4DA6-ABB2-591B72A7986B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Staff" sheetId="1" r:id="rId1"/>
    <sheet name="Stats" sheetId="2" r:id="rId2"/>
    <sheet name="Staff (2)" sheetId="3" r:id="rId3"/>
  </sheets>
  <definedNames>
    <definedName name="_xlnm._FilterDatabase" localSheetId="0" hidden="1">Staff!$A$4:$H$24</definedName>
    <definedName name="_xlnm._FilterDatabase" localSheetId="2" hidden="1">'Staff (2)'!$A$4:$H$42</definedName>
    <definedName name="Annual_Salary" localSheetId="2">'Staff (2)'!$N$4:$N$69</definedName>
    <definedName name="Annual_Salary">Staff!$N$4:$N$39</definedName>
    <definedName name="Date_of_Hire" localSheetId="2">'Staff (2)'!$F$4:$F$69</definedName>
    <definedName name="Date_of_Hire">Staff!$F$4:$F$39</definedName>
    <definedName name="Department" localSheetId="2">'Staff (2)'!$H$4:$H$69</definedName>
    <definedName name="Department">Staff!$H$4:$H$39</definedName>
    <definedName name="Email" localSheetId="2">'Staff (2)'!$E$4:$E$69</definedName>
    <definedName name="Email">Staff!$E$4:$E$39</definedName>
    <definedName name="Emp_ID" localSheetId="2">'Staff (2)'!$A$4:$A$69</definedName>
    <definedName name="Emp_ID">Staff!$A$4:$A$39</definedName>
    <definedName name="Extension" localSheetId="2">'Staff (2)'!$K$4:$K$69</definedName>
    <definedName name="Extension">Staff!$K$4:$K$39</definedName>
    <definedName name="First" localSheetId="2">'Staff (2)'!$C$4:$C$69</definedName>
    <definedName name="First">Staff!$C$4:$C$39</definedName>
    <definedName name="Floor" localSheetId="2">'Staff (2)'!$J$4:$J$69</definedName>
    <definedName name="Floor">Staff!$J$4:$J$39</definedName>
    <definedName name="Gender" localSheetId="2">'Staff (2)'!$D$4:$D$69</definedName>
    <definedName name="Gender">Staff!$D$4:$D$39</definedName>
    <definedName name="Last" localSheetId="2">'Staff (2)'!$B$4:$B$69</definedName>
    <definedName name="Last">Staff!$B$4:$B$39</definedName>
    <definedName name="Last_Review" localSheetId="2">'Staff (2)'!$L$4:$L$69</definedName>
    <definedName name="Last_Review">Staff!$L$4:$L$39</definedName>
    <definedName name="Location" localSheetId="2">'Staff (2)'!$I$4:$I$69</definedName>
    <definedName name="Location">Staff!$I$4:$I$39</definedName>
    <definedName name="Next_Review" localSheetId="2">'Staff (2)'!$M$4:$M$69</definedName>
    <definedName name="Next_Review">Staff!$M$4:$M$39</definedName>
    <definedName name="Pension" localSheetId="2">'Staff (2)'!$O$4:$O$69</definedName>
    <definedName name="Pension">Staff!$O$4:$O$39</definedName>
    <definedName name="Pension_Rate" localSheetId="2">'Staff (2)'!$P$1</definedName>
    <definedName name="Pension_Rate">Staff!$P$1</definedName>
    <definedName name="Years_Service" localSheetId="2">'Staff (2)'!$G$4:$G$69</definedName>
    <definedName name="Years_Service">Staff!$G$4:$G$39</definedName>
  </definedNames>
  <calcPr calcId="18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7" i="3" l="1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4" i="3"/>
  <c r="P5" i="3"/>
  <c r="P6" i="3"/>
  <c r="O69" i="3"/>
  <c r="P71" i="3"/>
  <c r="O5" i="3"/>
  <c r="O7" i="3"/>
  <c r="O9" i="3"/>
  <c r="O11" i="3"/>
  <c r="O13" i="3"/>
  <c r="O15" i="3"/>
  <c r="O17" i="3"/>
  <c r="O19" i="3"/>
  <c r="O21" i="3"/>
  <c r="O23" i="3"/>
  <c r="O25" i="3"/>
  <c r="O27" i="3"/>
  <c r="O30" i="3"/>
  <c r="O32" i="3"/>
  <c r="O35" i="3"/>
  <c r="O37" i="3"/>
  <c r="O39" i="3"/>
  <c r="O41" i="3"/>
  <c r="O44" i="3"/>
  <c r="O46" i="3"/>
  <c r="O49" i="3"/>
  <c r="O51" i="3"/>
  <c r="O53" i="3"/>
  <c r="O56" i="3"/>
  <c r="O58" i="3"/>
  <c r="O60" i="3"/>
  <c r="O62" i="3"/>
  <c r="O64" i="3"/>
  <c r="O66" i="3"/>
  <c r="O68" i="3"/>
  <c r="O71" i="3"/>
  <c r="N5" i="3"/>
  <c r="N7" i="3"/>
  <c r="N9" i="3"/>
  <c r="N11" i="3"/>
  <c r="N13" i="3"/>
  <c r="N15" i="3"/>
  <c r="N17" i="3"/>
  <c r="N19" i="3"/>
  <c r="N21" i="3"/>
  <c r="N23" i="3"/>
  <c r="N25" i="3"/>
  <c r="N27" i="3"/>
  <c r="N30" i="3"/>
  <c r="N32" i="3"/>
  <c r="N35" i="3"/>
  <c r="N37" i="3"/>
  <c r="N39" i="3"/>
  <c r="N41" i="3"/>
  <c r="N44" i="3"/>
  <c r="N46" i="3"/>
  <c r="N49" i="3"/>
  <c r="N51" i="3"/>
  <c r="N53" i="3"/>
  <c r="N56" i="3"/>
  <c r="N58" i="3"/>
  <c r="N60" i="3"/>
  <c r="N62" i="3"/>
  <c r="N64" i="3"/>
  <c r="N66" i="3"/>
  <c r="N68" i="3"/>
  <c r="N71" i="3"/>
  <c r="P70" i="3"/>
  <c r="O70" i="3"/>
  <c r="N70" i="3"/>
  <c r="G4" i="3"/>
  <c r="G6" i="3"/>
  <c r="G8" i="3"/>
  <c r="G10" i="3"/>
  <c r="G12" i="3"/>
  <c r="G14" i="3"/>
  <c r="G16" i="3"/>
  <c r="G18" i="3"/>
  <c r="G20" i="3"/>
  <c r="G22" i="3"/>
  <c r="G24" i="3"/>
  <c r="G26" i="3"/>
  <c r="G28" i="3"/>
  <c r="G29" i="3"/>
  <c r="G31" i="3"/>
  <c r="G33" i="3"/>
  <c r="G34" i="3"/>
  <c r="G36" i="3"/>
  <c r="G38" i="3"/>
  <c r="G40" i="3"/>
  <c r="G42" i="3"/>
  <c r="G43" i="3"/>
  <c r="G45" i="3"/>
  <c r="G47" i="3"/>
  <c r="G48" i="3"/>
  <c r="G50" i="3"/>
  <c r="G52" i="3"/>
  <c r="G54" i="3"/>
  <c r="G55" i="3"/>
  <c r="G57" i="3"/>
  <c r="G59" i="3"/>
  <c r="G61" i="3"/>
  <c r="G63" i="3"/>
  <c r="G65" i="3"/>
  <c r="G67" i="3"/>
  <c r="G69" i="3"/>
  <c r="O4" i="3"/>
  <c r="O6" i="3"/>
  <c r="O8" i="3"/>
  <c r="O10" i="3"/>
  <c r="O12" i="3"/>
  <c r="O14" i="3"/>
  <c r="O16" i="3"/>
  <c r="O18" i="3"/>
  <c r="O20" i="3"/>
  <c r="O22" i="3"/>
  <c r="O24" i="3"/>
  <c r="O26" i="3"/>
  <c r="O28" i="3"/>
  <c r="O29" i="3"/>
  <c r="O31" i="3"/>
  <c r="O33" i="3"/>
  <c r="O34" i="3"/>
  <c r="O36" i="3"/>
  <c r="O38" i="3"/>
  <c r="O40" i="3"/>
  <c r="O42" i="3"/>
  <c r="O43" i="3"/>
  <c r="O45" i="3"/>
  <c r="O47" i="3"/>
  <c r="O48" i="3"/>
  <c r="O50" i="3"/>
  <c r="O52" i="3"/>
  <c r="O54" i="3"/>
  <c r="O55" i="3"/>
  <c r="O57" i="3"/>
  <c r="O59" i="3"/>
  <c r="O61" i="3"/>
  <c r="O63" i="3"/>
  <c r="O65" i="3"/>
  <c r="O67" i="3"/>
  <c r="M69" i="3"/>
  <c r="K69" i="3"/>
  <c r="J69" i="3"/>
  <c r="E69" i="3"/>
  <c r="M67" i="3"/>
  <c r="K67" i="3"/>
  <c r="J67" i="3"/>
  <c r="E67" i="3"/>
  <c r="M65" i="3"/>
  <c r="K65" i="3"/>
  <c r="J65" i="3"/>
  <c r="E65" i="3"/>
  <c r="M63" i="3"/>
  <c r="K63" i="3"/>
  <c r="J63" i="3"/>
  <c r="E63" i="3"/>
  <c r="M61" i="3"/>
  <c r="K61" i="3"/>
  <c r="J61" i="3"/>
  <c r="E61" i="3"/>
  <c r="M59" i="3"/>
  <c r="K59" i="3"/>
  <c r="J59" i="3"/>
  <c r="E59" i="3"/>
  <c r="M57" i="3"/>
  <c r="K57" i="3"/>
  <c r="J57" i="3"/>
  <c r="E57" i="3"/>
  <c r="M55" i="3"/>
  <c r="K55" i="3"/>
  <c r="J55" i="3"/>
  <c r="E55" i="3"/>
  <c r="M54" i="3"/>
  <c r="K54" i="3"/>
  <c r="J54" i="3"/>
  <c r="E54" i="3"/>
  <c r="M52" i="3"/>
  <c r="K52" i="3"/>
  <c r="J52" i="3"/>
  <c r="E52" i="3"/>
  <c r="M50" i="3"/>
  <c r="K50" i="3"/>
  <c r="J50" i="3"/>
  <c r="E50" i="3"/>
  <c r="M48" i="3"/>
  <c r="K48" i="3"/>
  <c r="J48" i="3"/>
  <c r="E48" i="3"/>
  <c r="M47" i="3"/>
  <c r="K47" i="3"/>
  <c r="J47" i="3"/>
  <c r="E47" i="3"/>
  <c r="M45" i="3"/>
  <c r="K45" i="3"/>
  <c r="J45" i="3"/>
  <c r="E45" i="3"/>
  <c r="M43" i="3"/>
  <c r="K43" i="3"/>
  <c r="J43" i="3"/>
  <c r="E43" i="3"/>
  <c r="M42" i="3"/>
  <c r="K42" i="3"/>
  <c r="J42" i="3"/>
  <c r="E42" i="3"/>
  <c r="M40" i="3"/>
  <c r="K40" i="3"/>
  <c r="J40" i="3"/>
  <c r="E40" i="3"/>
  <c r="M38" i="3"/>
  <c r="K38" i="3"/>
  <c r="J38" i="3"/>
  <c r="E38" i="3"/>
  <c r="M36" i="3"/>
  <c r="K36" i="3"/>
  <c r="J36" i="3"/>
  <c r="E36" i="3"/>
  <c r="M34" i="3"/>
  <c r="K34" i="3"/>
  <c r="J34" i="3"/>
  <c r="E34" i="3"/>
  <c r="M33" i="3"/>
  <c r="K33" i="3"/>
  <c r="J33" i="3"/>
  <c r="E33" i="3"/>
  <c r="M31" i="3"/>
  <c r="K31" i="3"/>
  <c r="J31" i="3"/>
  <c r="E31" i="3"/>
  <c r="M29" i="3"/>
  <c r="K29" i="3"/>
  <c r="J29" i="3"/>
  <c r="E29" i="3"/>
  <c r="M28" i="3"/>
  <c r="K28" i="3"/>
  <c r="J28" i="3"/>
  <c r="E28" i="3"/>
  <c r="M26" i="3"/>
  <c r="K26" i="3"/>
  <c r="J26" i="3"/>
  <c r="E26" i="3"/>
  <c r="M24" i="3"/>
  <c r="K24" i="3"/>
  <c r="J24" i="3"/>
  <c r="E24" i="3"/>
  <c r="M22" i="3"/>
  <c r="K22" i="3"/>
  <c r="J22" i="3"/>
  <c r="E22" i="3"/>
  <c r="M20" i="3"/>
  <c r="K20" i="3"/>
  <c r="J20" i="3"/>
  <c r="E20" i="3"/>
  <c r="M18" i="3"/>
  <c r="K18" i="3"/>
  <c r="J18" i="3"/>
  <c r="E18" i="3"/>
  <c r="M16" i="3"/>
  <c r="K16" i="3"/>
  <c r="J16" i="3"/>
  <c r="E16" i="3"/>
  <c r="M14" i="3"/>
  <c r="K14" i="3"/>
  <c r="J14" i="3"/>
  <c r="E14" i="3"/>
  <c r="M12" i="3"/>
  <c r="K12" i="3"/>
  <c r="J12" i="3"/>
  <c r="E12" i="3"/>
  <c r="M10" i="3"/>
  <c r="K10" i="3"/>
  <c r="J10" i="3"/>
  <c r="E10" i="3"/>
  <c r="M8" i="3"/>
  <c r="K8" i="3"/>
  <c r="J8" i="3"/>
  <c r="E8" i="3"/>
  <c r="M6" i="3"/>
  <c r="K6" i="3"/>
  <c r="J6" i="3"/>
  <c r="E6" i="3"/>
  <c r="M4" i="3"/>
  <c r="K4" i="3"/>
  <c r="J4" i="3"/>
  <c r="E4" i="3"/>
  <c r="B22" i="2"/>
  <c r="C22" i="2"/>
  <c r="D22" i="2"/>
  <c r="E39" i="1"/>
  <c r="G39" i="1"/>
  <c r="J39" i="1"/>
  <c r="K39" i="1"/>
  <c r="M39" i="1"/>
  <c r="O39" i="1"/>
  <c r="P39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P40" i="1"/>
  <c r="A40" i="1"/>
  <c r="N40" i="1"/>
  <c r="B12" i="2"/>
  <c r="B11" i="2"/>
  <c r="B3" i="2"/>
  <c r="O40" i="1"/>
  <c r="G12" i="1"/>
  <c r="M7" i="1"/>
  <c r="M25" i="1"/>
  <c r="M30" i="1"/>
  <c r="M34" i="1"/>
  <c r="M23" i="1"/>
  <c r="M24" i="1"/>
  <c r="M10" i="1"/>
  <c r="M4" i="1"/>
  <c r="M22" i="1"/>
  <c r="M16" i="1"/>
  <c r="M18" i="1"/>
  <c r="M15" i="1"/>
  <c r="M5" i="1"/>
  <c r="M26" i="1"/>
  <c r="M38" i="1"/>
  <c r="M21" i="1"/>
  <c r="M13" i="1"/>
  <c r="M20" i="1"/>
  <c r="M19" i="1"/>
  <c r="M29" i="1"/>
  <c r="M33" i="1"/>
  <c r="M11" i="1"/>
  <c r="M8" i="1"/>
  <c r="M9" i="1"/>
  <c r="M6" i="1"/>
  <c r="M28" i="1"/>
  <c r="M36" i="1"/>
  <c r="M14" i="1"/>
  <c r="M35" i="1"/>
  <c r="M32" i="1"/>
  <c r="M17" i="1"/>
  <c r="M31" i="1"/>
  <c r="M37" i="1"/>
  <c r="M27" i="1"/>
  <c r="M12" i="1"/>
  <c r="B4" i="2"/>
  <c r="B5" i="2"/>
  <c r="G7" i="1"/>
  <c r="G25" i="1"/>
  <c r="G30" i="1"/>
  <c r="G34" i="1"/>
  <c r="G23" i="1"/>
  <c r="G24" i="1"/>
  <c r="G10" i="1"/>
  <c r="G4" i="1"/>
  <c r="G22" i="1"/>
  <c r="G16" i="1"/>
  <c r="G18" i="1"/>
  <c r="G15" i="1"/>
  <c r="G5" i="1"/>
  <c r="G26" i="1"/>
  <c r="G38" i="1"/>
  <c r="G21" i="1"/>
  <c r="G13" i="1"/>
  <c r="G20" i="1"/>
  <c r="G19" i="1"/>
  <c r="G29" i="1"/>
  <c r="G33" i="1"/>
  <c r="G11" i="1"/>
  <c r="G8" i="1"/>
  <c r="G9" i="1"/>
  <c r="G6" i="1"/>
  <c r="G28" i="1"/>
  <c r="G36" i="1"/>
  <c r="G14" i="1"/>
  <c r="G35" i="1"/>
  <c r="G32" i="1"/>
  <c r="G17" i="1"/>
  <c r="G31" i="1"/>
  <c r="G37" i="1"/>
  <c r="G27" i="1"/>
  <c r="E7" i="1"/>
  <c r="E25" i="1"/>
  <c r="E30" i="1"/>
  <c r="E34" i="1"/>
  <c r="E23" i="1"/>
  <c r="E24" i="1"/>
  <c r="E10" i="1"/>
  <c r="E4" i="1"/>
  <c r="E22" i="1"/>
  <c r="E16" i="1"/>
  <c r="E18" i="1"/>
  <c r="E15" i="1"/>
  <c r="E5" i="1"/>
  <c r="E26" i="1"/>
  <c r="E38" i="1"/>
  <c r="E21" i="1"/>
  <c r="E13" i="1"/>
  <c r="E20" i="1"/>
  <c r="E19" i="1"/>
  <c r="E29" i="1"/>
  <c r="E33" i="1"/>
  <c r="E11" i="1"/>
  <c r="E8" i="1"/>
  <c r="E9" i="1"/>
  <c r="E6" i="1"/>
  <c r="E28" i="1"/>
  <c r="E36" i="1"/>
  <c r="E14" i="1"/>
  <c r="E35" i="1"/>
  <c r="E32" i="1"/>
  <c r="E17" i="1"/>
  <c r="E31" i="1"/>
  <c r="E37" i="1"/>
  <c r="E27" i="1"/>
  <c r="E12" i="1"/>
  <c r="K7" i="1"/>
  <c r="K25" i="1"/>
  <c r="K30" i="1"/>
  <c r="K34" i="1"/>
  <c r="K23" i="1"/>
  <c r="K24" i="1"/>
  <c r="K10" i="1"/>
  <c r="K4" i="1"/>
  <c r="K22" i="1"/>
  <c r="K16" i="1"/>
  <c r="K18" i="1"/>
  <c r="K15" i="1"/>
  <c r="K5" i="1"/>
  <c r="K26" i="1"/>
  <c r="K38" i="1"/>
  <c r="K21" i="1"/>
  <c r="K13" i="1"/>
  <c r="K20" i="1"/>
  <c r="K19" i="1"/>
  <c r="K29" i="1"/>
  <c r="K33" i="1"/>
  <c r="K11" i="1"/>
  <c r="K8" i="1"/>
  <c r="K9" i="1"/>
  <c r="K6" i="1"/>
  <c r="K28" i="1"/>
  <c r="K36" i="1"/>
  <c r="K14" i="1"/>
  <c r="K35" i="1"/>
  <c r="K32" i="1"/>
  <c r="K17" i="1"/>
  <c r="K31" i="1"/>
  <c r="K37" i="1"/>
  <c r="K27" i="1"/>
  <c r="K12" i="1"/>
  <c r="J7" i="1"/>
  <c r="J25" i="1"/>
  <c r="J30" i="1"/>
  <c r="J34" i="1"/>
  <c r="J23" i="1"/>
  <c r="J24" i="1"/>
  <c r="J10" i="1"/>
  <c r="J4" i="1"/>
  <c r="J22" i="1"/>
  <c r="J16" i="1"/>
  <c r="J18" i="1"/>
  <c r="J15" i="1"/>
  <c r="J5" i="1"/>
  <c r="J26" i="1"/>
  <c r="J38" i="1"/>
  <c r="J21" i="1"/>
  <c r="J13" i="1"/>
  <c r="J20" i="1"/>
  <c r="J19" i="1"/>
  <c r="J29" i="1"/>
  <c r="J33" i="1"/>
  <c r="J11" i="1"/>
  <c r="J8" i="1"/>
  <c r="J9" i="1"/>
  <c r="J6" i="1"/>
  <c r="J28" i="1"/>
  <c r="J36" i="1"/>
  <c r="J14" i="1"/>
  <c r="J35" i="1"/>
  <c r="J32" i="1"/>
  <c r="J17" i="1"/>
  <c r="J31" i="1"/>
  <c r="J37" i="1"/>
  <c r="J27" i="1"/>
  <c r="J12" i="1"/>
  <c r="G40" i="1"/>
  <c r="D19" i="2"/>
  <c r="C17" i="2"/>
  <c r="C21" i="2"/>
  <c r="B17" i="2"/>
  <c r="B21" i="2"/>
  <c r="D20" i="2"/>
  <c r="C18" i="2"/>
  <c r="C16" i="2"/>
  <c r="B18" i="2"/>
  <c r="B16" i="2"/>
  <c r="D17" i="2"/>
  <c r="D21" i="2"/>
  <c r="C19" i="2"/>
  <c r="B19" i="2"/>
  <c r="D18" i="2"/>
  <c r="D16" i="2"/>
  <c r="C20" i="2"/>
  <c r="B20" i="2"/>
  <c r="B7" i="2"/>
  <c r="B6" i="2"/>
</calcChain>
</file>

<file path=xl/sharedStrings.xml><?xml version="1.0" encoding="utf-8"?>
<sst xmlns="http://schemas.openxmlformats.org/spreadsheetml/2006/main" count="519" uniqueCount="185">
  <si>
    <t>Emp ID</t>
  </si>
  <si>
    <t>Last</t>
  </si>
  <si>
    <t>First</t>
  </si>
  <si>
    <t>Email</t>
  </si>
  <si>
    <t>Date of Hire</t>
  </si>
  <si>
    <t>Department</t>
  </si>
  <si>
    <t>Location</t>
  </si>
  <si>
    <t>Extension</t>
  </si>
  <si>
    <t>E1001</t>
  </si>
  <si>
    <t>E1003</t>
  </si>
  <si>
    <t>Daniel</t>
  </si>
  <si>
    <t>E1004</t>
  </si>
  <si>
    <t>Adam</t>
  </si>
  <si>
    <t>Facilities</t>
  </si>
  <si>
    <t>Susan</t>
  </si>
  <si>
    <t>Accounting</t>
  </si>
  <si>
    <t>Elizabeth</t>
  </si>
  <si>
    <t>Human Resources</t>
  </si>
  <si>
    <t>Janet</t>
  </si>
  <si>
    <t>Bob</t>
  </si>
  <si>
    <t>Sabrina</t>
  </si>
  <si>
    <t>Mary</t>
  </si>
  <si>
    <t>Executive</t>
  </si>
  <si>
    <t>Joe</t>
  </si>
  <si>
    <t>Customer Service</t>
  </si>
  <si>
    <t>Mark</t>
  </si>
  <si>
    <t>Alexandra</t>
  </si>
  <si>
    <t>Jim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</si>
  <si>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</si>
  <si>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</si>
  <si>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</si>
  <si>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</si>
  <si>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</si>
  <si>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</si>
  <si>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</si>
  <si>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</si>
  <si>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</si>
  <si>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</si>
  <si>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</si>
  <si>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</si>
  <si>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</si>
  <si>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</si>
  <si>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</si>
  <si>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</si>
  <si>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</si>
  <si>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</si>
  <si>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</si>
  <si>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</si>
  <si>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</si>
  <si>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</si>
  <si>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</si>
  <si>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</si>
  <si>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</si>
  <si>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</si>
  <si>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</si>
  <si>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</si>
  <si>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</si>
  <si>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</si>
  <si>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Sean</t>
  </si>
  <si>
    <t>IT</t>
  </si>
  <si>
    <t>Floor</t>
  </si>
  <si>
    <t>Uma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</si>
  <si>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</si>
  <si>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</si>
  <si>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</si>
  <si>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</si>
  <si>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</si>
  <si>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</si>
  <si>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</si>
  <si>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</si>
  <si>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</si>
  <si>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</si>
  <si>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</si>
  <si>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</si>
  <si>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</si>
  <si>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</si>
  <si>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</si>
  <si>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</si>
  <si>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</si>
  <si>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</si>
  <si>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</si>
  <si>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</si>
  <si>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</si>
  <si>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</si>
  <si>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</si>
  <si>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</si>
  <si>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</si>
  <si>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</si>
  <si>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</si>
  <si>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</si>
  <si>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</si>
  <si>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</si>
  <si>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</si>
  <si>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</si>
  <si>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</si>
  <si>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</si>
  <si>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</si>
  <si>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</si>
  <si>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</si>
  <si>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</si>
  <si>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</si>
  <si>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</si>
  <si>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</si>
  <si>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</si>
  <si>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</si>
  <si>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</si>
  <si>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</si>
  <si>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</si>
  <si>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</si>
  <si>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</si>
  <si>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</si>
  <si>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</si>
  <si>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</si>
  <si>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</si>
  <si>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</si>
  <si>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</si>
  <si>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</si>
  <si>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</si>
  <si>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</si>
  <si>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</si>
  <si>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</si>
  <si>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</si>
  <si>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</si>
  <si>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</si>
  <si>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</si>
  <si>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</si>
  <si>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</si>
  <si>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</si>
  <si>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</si>
  <si>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2578</t>
  </si>
  <si>
    <t>02-North 2654</t>
  </si>
  <si>
    <t>02-North 2793</t>
  </si>
  <si>
    <t>Last Review</t>
  </si>
  <si>
    <t>Next Review</t>
  </si>
  <si>
    <t>Total Salaries:</t>
  </si>
  <si>
    <t>Average Salary:</t>
  </si>
  <si>
    <t>Longest Service:</t>
  </si>
  <si>
    <t>Most Recent Start Date:</t>
  </si>
  <si>
    <t>Barry</t>
  </si>
  <si>
    <t>Boller</t>
  </si>
  <si>
    <t>Carol</t>
  </si>
  <si>
    <t>Chaffee</t>
  </si>
  <si>
    <t>Chaudri</t>
  </si>
  <si>
    <t>Chu</t>
  </si>
  <si>
    <t>Chung</t>
  </si>
  <si>
    <t>Clark</t>
  </si>
  <si>
    <t>Anna</t>
  </si>
  <si>
    <t>Cole</t>
  </si>
  <si>
    <t>Comuntzis</t>
  </si>
  <si>
    <t>Decker</t>
  </si>
  <si>
    <t>Desiato</t>
  </si>
  <si>
    <t>Donnell</t>
  </si>
  <si>
    <t>Ellis</t>
  </si>
  <si>
    <t>Ferris</t>
  </si>
  <si>
    <t>Filosa</t>
  </si>
  <si>
    <t>Flanders</t>
  </si>
  <si>
    <t>Martinez</t>
  </si>
  <si>
    <t>Carlos</t>
  </si>
  <si>
    <t>Sanders</t>
  </si>
  <si>
    <t>Wang</t>
  </si>
  <si>
    <t>Pension</t>
  </si>
  <si>
    <t>Contribution</t>
  </si>
  <si>
    <t>Total Staff:</t>
  </si>
  <si>
    <t>Total Salary</t>
  </si>
  <si>
    <t>Gender</t>
  </si>
  <si>
    <t>M</t>
  </si>
  <si>
    <t>F</t>
  </si>
  <si>
    <t>Total Staff</t>
  </si>
  <si>
    <t>Male</t>
  </si>
  <si>
    <t>Female</t>
  </si>
  <si>
    <t>Annual Salary</t>
  </si>
  <si>
    <t>Package</t>
  </si>
  <si>
    <t>E1254</t>
  </si>
  <si>
    <t>Grey</t>
  </si>
  <si>
    <t>William</t>
  </si>
  <si>
    <t>Marketing</t>
  </si>
  <si>
    <t>Executive Total</t>
  </si>
  <si>
    <t>IT Total</t>
  </si>
  <si>
    <t>Sales Total</t>
  </si>
  <si>
    <t>Customer Service Total</t>
  </si>
  <si>
    <t>Accounting Total</t>
  </si>
  <si>
    <t>Human Resources Total</t>
  </si>
  <si>
    <t>Facilities Total</t>
  </si>
  <si>
    <t>Marketing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</si>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</sst>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&quot;$&quot;#,##0.00"/>
    <numFmt numFmtId="166" formatCode="m/d/yyyy"/>
    <numFmt numFmtId="167" formatCode="_([$$-409]* #,##0.00_);_([$$-409]* \(#,##0.00\);_([$$-409]* &quot;-&quot;??_);_(@_)"/>
  </numFmts>
  <fonts count="11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4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5" fillId="3" borderId="1" applyNumberFormat="0" applyAlignment="0" applyProtection="0"/>
    <xf numFmtId="0" fontId="7" fillId="4" borderId="0" applyNumberFormat="0" applyBorder="0" applyAlignment="0" applyProtection="0"/>
  </cellStyleXfs>
  <cellXfs count="71">
    <xf numFmtId="0" fontId="0" fillId="0" borderId="0" xfId="0"/>
    <xf numFmtId="0" fontId="3" fillId="0" borderId="0" xfId="0" applyFont="1" applyFill="1" applyBorder="1" applyAlignment="1">
      <alignment horizontal="left" wrapText="1"/>
    </xf>
    <xf numFmtId="0" fontId="4" fillId="0" borderId="0" xfId="0" applyFont="1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2" fillId="2" borderId="0" xfId="2" applyBorder="1" applyAlignment="1">
      <alignment horizontal="left" vertical="center" wrapText="1"/>
    </xf>
    <xf numFmtId="165" fontId="5" fillId="3" borderId="1" xfId="3" applyNumberFormat="1" applyAlignment="1">
      <alignment vertical="center"/>
    </xf>
    <xf numFmtId="164" fontId="5" fillId="3" borderId="1" xfId="3" applyNumberFormat="1" applyAlignment="1">
      <alignment vertical="center"/>
    </xf>
    <xf numFmtId="14" fontId="5" fillId="3" borderId="1" xfId="3" applyNumberFormat="1" applyAlignment="1">
      <alignment vertical="center"/>
    </xf>
    <xf numFmtId="0" fontId="6" fillId="0" borderId="0" xfId="0" applyFont="1" applyAlignment="1">
      <alignment wrapText="1"/>
    </xf>
    <xf numFmtId="0" fontId="2" fillId="2" borderId="0" xfId="2"/>
    <xf numFmtId="9" fontId="7" fillId="4" borderId="0" xfId="4" applyNumberFormat="1"/>
    <xf numFmtId="165" fontId="0" fillId="0" borderId="0" xfId="0" applyNumberFormat="1"/>
    <xf numFmtId="0" fontId="5" fillId="3" borderId="1" xfId="3" applyNumberFormat="1" applyAlignment="1">
      <alignment vertical="center"/>
    </xf>
    <xf numFmtId="0" fontId="8" fillId="0" borderId="0" xfId="1" applyFont="1" applyAlignment="1">
      <alignment horizontal="left"/>
    </xf>
    <xf numFmtId="0" fontId="4" fillId="0" borderId="0" xfId="0" applyFont="1" applyAlignment="1">
      <alignment horizontal="center" wrapText="1"/>
    </xf>
    <xf numFmtId="0" fontId="2" fillId="2" borderId="0" xfId="2" applyBorder="1" applyAlignment="1">
      <alignment horizontal="center" vertical="center" wrapText="1"/>
    </xf>
    <xf numFmtId="0" fontId="3" fillId="0" borderId="0" xfId="0" applyFont="1" applyFill="1" applyAlignment="1">
      <alignment horizontal="left" wrapText="1"/>
    </xf>
    <xf numFmtId="0" fontId="3" fillId="0" borderId="0" xfId="0" applyFont="1" applyFill="1" applyAlignment="1">
      <alignment horizontal="center" wrapText="1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0" xfId="0" applyFont="1"/>
    <xf numFmtId="0" fontId="0" fillId="0" borderId="2" xfId="0" applyFont="1" applyBorder="1"/>
    <xf numFmtId="0" fontId="9" fillId="5" borderId="3" xfId="0" applyFont="1" applyFill="1" applyBorder="1"/>
    <xf numFmtId="0" fontId="0" fillId="0" borderId="3" xfId="0" applyFont="1" applyBorder="1" applyAlignment="1">
      <alignment horizontal="center"/>
    </xf>
    <xf numFmtId="0" fontId="0" fillId="0" borderId="3" xfId="0" applyFont="1" applyBorder="1"/>
    <xf numFmtId="0" fontId="4" fillId="0" borderId="3" xfId="0" applyFont="1" applyBorder="1" applyAlignment="1">
      <alignment wrapText="1"/>
    </xf>
    <xf numFmtId="0" fontId="4" fillId="0" borderId="3" xfId="0" applyFont="1" applyBorder="1" applyAlignment="1">
      <alignment horizontal="center" wrapText="1"/>
    </xf>
    <xf numFmtId="14" fontId="0" fillId="0" borderId="3" xfId="0" applyNumberFormat="1" applyFont="1" applyBorder="1" applyAlignment="1">
      <alignment horizontal="center"/>
    </xf>
    <xf numFmtId="164" fontId="0" fillId="0" borderId="3" xfId="0" applyNumberFormat="1" applyFont="1" applyBorder="1" applyAlignment="1">
      <alignment horizontal="center"/>
    </xf>
    <xf numFmtId="0" fontId="3" fillId="0" borderId="3" xfId="0" applyFont="1" applyBorder="1" applyAlignment="1">
      <alignment horizontal="left" wrapText="1"/>
    </xf>
    <xf numFmtId="0" fontId="3" fillId="0" borderId="3" xfId="0" applyFont="1" applyBorder="1" applyAlignment="1">
      <alignment horizontal="center" wrapText="1"/>
    </xf>
    <xf numFmtId="0" fontId="0" fillId="0" borderId="3" xfId="0" applyNumberFormat="1" applyFont="1" applyBorder="1" applyAlignment="1">
      <alignment horizontal="center"/>
    </xf>
    <xf numFmtId="165" fontId="0" fillId="0" borderId="3" xfId="0" applyNumberFormat="1" applyFont="1" applyBorder="1" applyAlignment="1">
      <alignment horizontal="center"/>
    </xf>
    <xf numFmtId="165" fontId="0" fillId="0" borderId="3" xfId="0" applyNumberFormat="1" applyFont="1" applyBorder="1"/>
    <xf numFmtId="167" fontId="0" fillId="0" borderId="3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3" fillId="0" borderId="0" xfId="0" applyFont="1" applyBorder="1" applyAlignment="1">
      <alignment horizontal="left" wrapText="1"/>
    </xf>
    <xf numFmtId="0" fontId="3" fillId="0" borderId="0" xfId="0" applyFont="1" applyBorder="1" applyAlignment="1">
      <alignment horizontal="center" wrapText="1"/>
    </xf>
    <xf numFmtId="0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165" fontId="0" fillId="0" borderId="0" xfId="0" applyNumberFormat="1" applyFont="1"/>
    <xf numFmtId="167" fontId="0" fillId="0" borderId="0" xfId="0" applyNumberFormat="1" applyFont="1" applyAlignment="1">
      <alignment horizontal="center"/>
    </xf>
    <xf numFmtId="0" fontId="0" fillId="0" borderId="2" xfId="0" applyFont="1" applyBorder="1" applyAlignment="1">
      <alignment horizontal="center"/>
    </xf>
    <xf numFmtId="0" fontId="4" fillId="0" borderId="2" xfId="0" applyFont="1" applyBorder="1" applyAlignment="1">
      <alignment wrapText="1"/>
    </xf>
    <xf numFmtId="0" fontId="4" fillId="0" borderId="2" xfId="0" applyFont="1" applyBorder="1" applyAlignment="1">
      <alignment horizontal="center" wrapText="1"/>
    </xf>
    <xf numFmtId="166" fontId="0" fillId="0" borderId="2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left" wrapText="1"/>
    </xf>
    <xf numFmtId="0" fontId="3" fillId="0" borderId="2" xfId="0" applyFont="1" applyBorder="1" applyAlignment="1">
      <alignment horizontal="center" wrapText="1"/>
    </xf>
    <xf numFmtId="0" fontId="0" fillId="0" borderId="2" xfId="0" applyNumberFormat="1" applyFont="1" applyBorder="1" applyAlignment="1">
      <alignment horizontal="center"/>
    </xf>
    <xf numFmtId="165" fontId="0" fillId="0" borderId="2" xfId="0" applyNumberFormat="1" applyFont="1" applyBorder="1" applyAlignment="1">
      <alignment horizontal="center"/>
    </xf>
    <xf numFmtId="165" fontId="0" fillId="0" borderId="2" xfId="0" applyNumberFormat="1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0" fontId="4" fillId="0" borderId="0" xfId="0" applyFont="1" applyBorder="1" applyAlignment="1">
      <alignment wrapText="1"/>
    </xf>
    <xf numFmtId="0" fontId="4" fillId="0" borderId="0" xfId="0" applyFont="1" applyBorder="1" applyAlignment="1">
      <alignment horizontal="center" wrapText="1"/>
    </xf>
    <xf numFmtId="14" fontId="0" fillId="0" borderId="0" xfId="0" applyNumberFormat="1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0" fontId="0" fillId="0" borderId="0" xfId="0" applyNumberFormat="1" applyFont="1" applyBorder="1" applyAlignment="1">
      <alignment horizontal="center"/>
    </xf>
    <xf numFmtId="165" fontId="0" fillId="0" borderId="0" xfId="0" applyNumberFormat="1" applyFont="1" applyBorder="1" applyAlignment="1">
      <alignment horizontal="center"/>
    </xf>
    <xf numFmtId="165" fontId="0" fillId="0" borderId="0" xfId="0" applyNumberFormat="1" applyFont="1" applyBorder="1"/>
    <xf numFmtId="167" fontId="0" fillId="0" borderId="0" xfId="0" applyNumberFormat="1" applyFont="1" applyBorder="1" applyAlignment="1">
      <alignment horizontal="center"/>
    </xf>
    <xf numFmtId="0" fontId="10" fillId="0" borderId="0" xfId="0" applyFont="1" applyBorder="1" applyAlignment="1">
      <alignment horizontal="left" wrapText="1"/>
    </xf>
    <xf numFmtId="166" fontId="0" fillId="0" borderId="0" xfId="0" applyNumberFormat="1" applyFont="1" applyBorder="1" applyAlignment="1">
      <alignment horizontal="center"/>
    </xf>
  </cellXfs>
  <cellStyles count="5">
    <cellStyle name="20% - Accent1" xfId="4" builtinId="30"/>
    <cellStyle name="Accent1" xfId="2" builtinId="29"/>
    <cellStyle name="Normal" xfId="0" builtinId="0"/>
    <cellStyle name="Output" xfId="3" builtinId="21"/>
    <cellStyle name="Title" xfId="1" builtinId="15"/>
  </cellStyles>
  <dxfs count="37">
    <dxf>
      <fill>
        <patternFill>
          <bgColor theme="5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theme="5" tint="0.39994506668294322"/>
        </patternFill>
      </fill>
    </dxf>
    <dxf>
      <fill>
        <patternFill patternType="none">
          <bgColor auto="1"/>
        </patternFill>
      </fill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7" formatCode="_([$$-409]* #,##0.00_);_([$$-409]* \(#,##0.00\);_([$$-409]* &quot;-&quot;??_);_(@_)"/>
      <alignment horizontal="center" vertical="bottom" textRotation="0" wrapText="0" indent="0" justifyLastLine="0" shrinkToFit="0" readingOrder="0"/>
    </dxf>
    <dxf>
      <numFmt numFmtId="165" formatCode="&quot;$&quot;#,##0.00"/>
    </dxf>
    <dxf>
      <numFmt numFmtId="165" formatCode="&quot;$&quot;#,##0.00"/>
    </dxf>
    <dxf>
      <numFmt numFmtId="165" formatCode="&quot;$&quot;#,##0.00"/>
      <alignment horizontal="center" vertical="bottom" textRotation="0" wrapText="0" indent="0" justifyLastLine="0" shrinkToFit="0" readingOrder="0"/>
    </dxf>
    <dxf>
      <numFmt numFmtId="165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m/d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Stats!$B$10</c:f>
              <c:strCache>
                <c:ptCount val="1"/>
                <c:pt idx="0">
                  <c:v>Total Staff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128-4193-9B57-C543C5AE005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128-4193-9B57-C543C5AE005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Stats!$A$11:$A$12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Stats!$B$11:$B$12</c:f>
              <c:numCache>
                <c:formatCode>General</c:formatCode>
                <c:ptCount val="2"/>
                <c:pt idx="0">
                  <c:v>18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1C-4D93-A2C2-316304DC4BC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Stats!$B$15</c:f>
              <c:strCache>
                <c:ptCount val="1"/>
                <c:pt idx="0">
                  <c:v>Total Salary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DAF-468C-822C-65D9136E481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DAF-468C-822C-65D9136E481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DAF-468C-822C-65D9136E481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DAF-468C-822C-65D9136E481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DAF-468C-822C-65D9136E481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DAF-468C-822C-65D9136E481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7F6-46A0-9B96-2F953A173C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Stats!$A$16:$A$22</c:f>
              <c:strCache>
                <c:ptCount val="7"/>
                <c:pt idx="0">
                  <c:v>Executive</c:v>
                </c:pt>
                <c:pt idx="1">
                  <c:v>IT</c:v>
                </c:pt>
                <c:pt idx="2">
                  <c:v>Sales</c:v>
                </c:pt>
                <c:pt idx="3">
                  <c:v>Customer Service</c:v>
                </c:pt>
                <c:pt idx="4">
                  <c:v>Accounting</c:v>
                </c:pt>
                <c:pt idx="5">
                  <c:v>Human Resources</c:v>
                </c:pt>
                <c:pt idx="6">
                  <c:v>Marketing</c:v>
                </c:pt>
              </c:strCache>
            </c:strRef>
          </c:cat>
          <c:val>
            <c:numRef>
              <c:f>Stats!$B$16:$B$22</c:f>
              <c:numCache>
                <c:formatCode>"$"#,##0.00</c:formatCode>
                <c:ptCount val="7"/>
                <c:pt idx="0">
                  <c:v>197800</c:v>
                </c:pt>
                <c:pt idx="1">
                  <c:v>278500</c:v>
                </c:pt>
                <c:pt idx="2">
                  <c:v>807000</c:v>
                </c:pt>
                <c:pt idx="3">
                  <c:v>255500</c:v>
                </c:pt>
                <c:pt idx="4">
                  <c:v>227800</c:v>
                </c:pt>
                <c:pt idx="5">
                  <c:v>149700</c:v>
                </c:pt>
                <c:pt idx="6">
                  <c:v>97000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7-4AB5-A501-7B32B63B91A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1</xdr:row>
      <xdr:rowOff>174170</xdr:rowOff>
    </xdr:from>
    <xdr:to>
      <xdr:col>4</xdr:col>
      <xdr:colOff>10886</xdr:colOff>
      <xdr:row>12</xdr:row>
      <xdr:rowOff>5443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B5471F-1593-40AB-B7CD-50B21DB32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133349</xdr:colOff>
      <xdr:row>1</xdr:row>
      <xdr:rowOff>171449</xdr:rowOff>
    </xdr:from>
    <xdr:to>
      <xdr:col>10</xdr:col>
      <xdr:colOff>560614</xdr:colOff>
      <xdr:row>21</xdr:row>
      <xdr:rowOff>27215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A7632C-135D-4CE6-B2B6-50468D13B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P40" totalsRowCount="1" dataDxfId="36">
  <autoFilter ref="A3:P39" xr:uid="{00000000-0009-0000-0100-000001000000}"/>
  <sortState xmlns:xlrd2="http://schemas.microsoft.com/office/spreadsheetml/2017/richdata2" ref="A4:O38">
    <sortCondition ref="A3:A38"/>
  </sortState>
  <tableColumns count="16">
    <tableColumn id="1" xr3:uid="{00000000-0010-0000-0000-000001000000}" name="Emp ID" totalsRowFunction="count" dataDxfId="35" totalsRowDxfId="34"/>
    <tableColumn id="2" xr3:uid="{00000000-0010-0000-0000-000002000000}" name="Last"/>
    <tableColumn id="3" xr3:uid="{00000000-0010-0000-0000-000003000000}" name="First" dataDxfId="33" totalsRowDxfId="32"/>
    <tableColumn id="4" xr3:uid="{00000000-0010-0000-0000-000004000000}" name="Gender" dataDxfId="31" totalsRowDxfId="30"/>
    <tableColumn id="5" xr3:uid="{00000000-0010-0000-0000-000005000000}" name="Email">
      <calculatedColumnFormula>LOWER(C4&amp;"."&amp;B4&amp;"@pushpin.com")</calculatedColumnFormula>
    </tableColumn>
    <tableColumn id="6" xr3:uid="{00000000-0010-0000-0000-000006000000}" name="Date of Hire" dataDxfId="29" totalsRowDxfId="28"/>
    <tableColumn id="7" xr3:uid="{00000000-0010-0000-0000-000007000000}" name="Years Service" totalsRowFunction="average" dataDxfId="27" totalsRowDxfId="26">
      <calculatedColumnFormula>YEARFRAC(F4,TODAY())</calculatedColumnFormula>
    </tableColumn>
    <tableColumn id="8" xr3:uid="{00000000-0010-0000-0000-000008000000}" name="Department" dataDxfId="25" totalsRowDxfId="24"/>
    <tableColumn id="9" xr3:uid="{00000000-0010-0000-0000-000009000000}" name="Location" dataDxfId="23" totalsRowDxfId="22"/>
    <tableColumn id="10" xr3:uid="{00000000-0010-0000-0000-00000A000000}" name="Floor" dataDxfId="21" totalsRowDxfId="20">
      <calculatedColumnFormula>LEFT(I4,2)</calculatedColumnFormula>
    </tableColumn>
    <tableColumn id="11" xr3:uid="{00000000-0010-0000-0000-00000B000000}" name="Extension" dataDxfId="19" totalsRowDxfId="18">
      <calculatedColumnFormula>RIGHT(I4,4)</calculatedColumnFormula>
    </tableColumn>
    <tableColumn id="12" xr3:uid="{00000000-0010-0000-0000-00000C000000}" name="Last Review" dataDxfId="17" totalsRowDxfId="16"/>
    <tableColumn id="13" xr3:uid="{00000000-0010-0000-0000-00000D000000}" name="Next Review" dataDxfId="15" totalsRowDxfId="14">
      <calculatedColumnFormula>L4+365</calculatedColumnFormula>
    </tableColumn>
    <tableColumn id="14" xr3:uid="{00000000-0010-0000-0000-00000E000000}" name="Annual Salary" totalsRowFunction="sum" dataDxfId="13" totalsRowDxfId="12"/>
    <tableColumn id="15" xr3:uid="{00000000-0010-0000-0000-00000F000000}" name="Pension" totalsRowFunction="sum" dataDxfId="11" totalsRowDxfId="10">
      <calculatedColumnFormula>N4*Pension_Rate</calculatedColumnFormula>
    </tableColumn>
    <tableColumn id="16" xr3:uid="{00000000-0010-0000-0000-000010000000}" name="Package" totalsRowFunction="sum" dataDxfId="9" totalsRowDxfId="8">
      <calculatedColumnFormula>SUM(Table1[[#This Row],[Annual Salary]:[Pension]])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5:D22" totalsRowShown="0">
  <autoFilter ref="A15:D22" xr:uid="{00000000-0009-0000-0100-000002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100-000001000000}" name="Department" dataDxfId="7"/>
    <tableColumn id="2" xr3:uid="{00000000-0010-0000-0100-000002000000}" name="Total Salary" dataDxfId="6">
      <calculatedColumnFormula>SUMIFS(Annual_Salary,Department,A16)</calculatedColumnFormula>
    </tableColumn>
    <tableColumn id="3" xr3:uid="{00000000-0010-0000-0100-000003000000}" name="M" dataDxfId="5">
      <calculatedColumnFormula>SUMIFS(Annual_Salary,Department,A16,Gender,$C$15)</calculatedColumnFormula>
    </tableColumn>
    <tableColumn id="4" xr3:uid="{00000000-0010-0000-0100-000004000000}" name="F" dataDxfId="4">
      <calculatedColumnFormula>SUMIFS(Annual_Salary,Department,A16,Gender,$D$15)</calculatedColumnFormula>
    </tableColumn>
  </tableColumns>
  <tableStyleInfo name="TableStyleMedium16" showFirstColumn="1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4"/>
  <sheetViews>
    <sheetView zoomScale="70" zoomScaleNormal="70" zoomScalePageLayoutView="70" workbookViewId="0">
      <selection activeCell="R10" sqref="R10"/>
    </sheetView>
  </sheetViews>
  <sheetFormatPr defaultColWidth="8.77734375" defaultRowHeight="14.4" x14ac:dyDescent="0.3"/>
  <cols>
    <col min="1" max="1" width="9.109375" style="3" customWidth="1"/>
    <col min="2" max="2" width="13" customWidth="1"/>
    <col min="3" max="3" width="11.77734375" customWidth="1"/>
    <col min="4" max="4" width="9.44140625" style="3" customWidth="1"/>
    <col min="5" max="5" width="29.109375" bestFit="1" customWidth="1"/>
    <col min="6" max="6" width="14" style="3" customWidth="1"/>
    <col min="7" max="7" width="14.77734375" customWidth="1"/>
    <col min="8" max="8" width="17.6640625" customWidth="1"/>
    <col min="9" max="9" width="16.109375" customWidth="1"/>
    <col min="10" max="10" width="10.44140625" customWidth="1"/>
    <col min="11" max="11" width="12.77734375" customWidth="1"/>
    <col min="12" max="12" width="14.109375" customWidth="1"/>
    <col min="13" max="13" width="14.44140625" customWidth="1"/>
    <col min="14" max="14" width="15.109375" customWidth="1"/>
    <col min="15" max="15" width="11.33203125" bestFit="1" customWidth="1"/>
    <col min="16" max="16" width="13.33203125" bestFit="1" customWidth="1"/>
  </cols>
  <sheetData>
    <row r="1" spans="1:16" ht="28.8" x14ac:dyDescent="0.55000000000000004">
      <c r="A1" s="18" t="s">
        <v>95</v>
      </c>
      <c r="O1" s="14" t="s">
        <v>161</v>
      </c>
      <c r="P1" s="15">
        <v>0.09</v>
      </c>
    </row>
    <row r="3" spans="1:16" x14ac:dyDescent="0.3">
      <c r="A3" t="s">
        <v>0</v>
      </c>
      <c r="B3" t="s">
        <v>1</v>
      </c>
      <c r="C3" t="s">
        <v>2</v>
      </c>
      <c r="D3" t="s">
        <v>164</v>
      </c>
      <c r="E3" t="s">
        <v>3</v>
      </c>
      <c r="F3" t="s">
        <v>4</v>
      </c>
      <c r="G3" t="s">
        <v>62</v>
      </c>
      <c r="H3" t="s">
        <v>5</v>
      </c>
      <c r="I3" t="s">
        <v>6</v>
      </c>
      <c r="J3" t="s">
        <v>60</v>
      </c>
      <c r="K3" t="s">
        <v>7</v>
      </c>
      <c r="L3" t="s">
        <v>132</v>
      </c>
      <c r="M3" t="s">
        <v>133</v>
      </c>
      <c r="N3" t="s">
        <v>170</v>
      </c>
      <c r="O3" t="s">
        <v>160</v>
      </c>
      <c r="P3" t="s">
        <v>171</v>
      </c>
    </row>
    <row r="4" spans="1:16" x14ac:dyDescent="0.3">
      <c r="A4" s="3" t="s">
        <v>8</v>
      </c>
      <c r="B4" t="s">
        <v>140</v>
      </c>
      <c r="C4" s="2" t="s">
        <v>23</v>
      </c>
      <c r="D4" s="19" t="s">
        <v>165</v>
      </c>
      <c r="E4" t="str">
        <f t="shared" ref="E4:E38" si="0">LOWER(C4&amp;"."&amp;B4&amp;"@pushpin.com")</f>
        <v>joe.carol@pushpin.com</v>
      </c>
      <c r="F4" s="7">
        <v>36923</v>
      </c>
      <c r="G4" s="4">
        <f t="shared" ref="G4:G38" ca="1" si="1">YEARFRAC(F4,TODAY())</f>
        <v>19.805555555555557</v>
      </c>
      <c r="H4" s="1" t="s">
        <v>22</v>
      </c>
      <c r="I4" s="5" t="s">
        <v>118</v>
      </c>
      <c r="J4" s="6" t="str">
        <f t="shared" ref="J4:J38" si="2">LEFT(I4,2)</f>
        <v>01</v>
      </c>
      <c r="K4" s="6" t="str">
        <f t="shared" ref="K4:K38" si="3">RIGHT(I4,4)</f>
        <v>2321</v>
      </c>
      <c r="L4" s="7">
        <v>42817</v>
      </c>
      <c r="M4" s="7">
        <f t="shared" ref="M4:M38" si="4">L4+365</f>
        <v>43182</v>
      </c>
      <c r="N4" s="8">
        <v>101400</v>
      </c>
      <c r="O4" s="16">
        <f t="shared" ref="O4:O38" si="5">N4*Pension_Rate</f>
        <v>9126</v>
      </c>
      <c r="P4" s="24">
        <f>SUM(Table1[[#This Row],[Annual Salary]:[Pension]])</f>
        <v>110526</v>
      </c>
    </row>
    <row r="5" spans="1:16" x14ac:dyDescent="0.3">
      <c r="A5" s="3" t="s">
        <v>9</v>
      </c>
      <c r="B5" t="s">
        <v>144</v>
      </c>
      <c r="C5" s="2" t="s">
        <v>56</v>
      </c>
      <c r="D5" s="19" t="s">
        <v>165</v>
      </c>
      <c r="E5" t="str">
        <f t="shared" si="0"/>
        <v>eric.chung@pushpin.com</v>
      </c>
      <c r="F5" s="7">
        <v>36949</v>
      </c>
      <c r="G5" s="4">
        <f t="shared" ca="1" si="1"/>
        <v>19.733333333333334</v>
      </c>
      <c r="H5" s="1" t="s">
        <v>59</v>
      </c>
      <c r="I5" s="5" t="s">
        <v>105</v>
      </c>
      <c r="J5" s="6" t="str">
        <f t="shared" si="2"/>
        <v>03</v>
      </c>
      <c r="K5" s="6" t="str">
        <f t="shared" si="3"/>
        <v>2796</v>
      </c>
      <c r="L5" s="7">
        <v>42731</v>
      </c>
      <c r="M5" s="7">
        <f t="shared" si="4"/>
        <v>43096</v>
      </c>
      <c r="N5" s="8">
        <v>70300</v>
      </c>
      <c r="O5" s="16">
        <f t="shared" si="5"/>
        <v>6327</v>
      </c>
      <c r="P5" s="24">
        <f>SUM(Table1[[#This Row],[Annual Salary]:[Pension]])</f>
        <v>76627</v>
      </c>
    </row>
    <row r="6" spans="1:16" x14ac:dyDescent="0.3">
      <c r="A6" s="3" t="s">
        <v>11</v>
      </c>
      <c r="B6" t="s">
        <v>155</v>
      </c>
      <c r="C6" s="2" t="s">
        <v>10</v>
      </c>
      <c r="D6" s="19" t="s">
        <v>165</v>
      </c>
      <c r="E6" t="str">
        <f t="shared" si="0"/>
        <v>daniel.flanders@pushpin.com</v>
      </c>
      <c r="F6" s="7">
        <v>37510</v>
      </c>
      <c r="G6" s="4">
        <f t="shared" ca="1" si="1"/>
        <v>18.194444444444443</v>
      </c>
      <c r="H6" s="1" t="s">
        <v>55</v>
      </c>
      <c r="I6" s="5" t="s">
        <v>124</v>
      </c>
      <c r="J6" s="6" t="str">
        <f t="shared" si="2"/>
        <v>02</v>
      </c>
      <c r="K6" s="6" t="str">
        <f t="shared" si="3"/>
        <v>2639</v>
      </c>
      <c r="L6" s="7">
        <v>42590</v>
      </c>
      <c r="M6" s="7">
        <f t="shared" si="4"/>
        <v>42955</v>
      </c>
      <c r="N6" s="8">
        <v>68800</v>
      </c>
      <c r="O6" s="16">
        <f t="shared" si="5"/>
        <v>6192</v>
      </c>
      <c r="P6" s="24">
        <f>SUM(Table1[[#This Row],[Annual Salary]:[Pension]])</f>
        <v>74992</v>
      </c>
    </row>
    <row r="7" spans="1:16" x14ac:dyDescent="0.3">
      <c r="A7" s="3" t="s">
        <v>63</v>
      </c>
      <c r="B7" t="s">
        <v>138</v>
      </c>
      <c r="C7" s="2" t="s">
        <v>12</v>
      </c>
      <c r="D7" s="19" t="s">
        <v>165</v>
      </c>
      <c r="E7" t="str">
        <f t="shared" si="0"/>
        <v>adam.barry@pushpin.com</v>
      </c>
      <c r="F7" s="7">
        <v>38099</v>
      </c>
      <c r="G7" s="4">
        <f t="shared" ca="1" si="1"/>
        <v>16.580555555555556</v>
      </c>
      <c r="H7" s="1" t="s">
        <v>24</v>
      </c>
      <c r="I7" s="5" t="s">
        <v>97</v>
      </c>
      <c r="J7" s="6" t="str">
        <f t="shared" si="2"/>
        <v>02</v>
      </c>
      <c r="K7" s="6" t="str">
        <f t="shared" si="3"/>
        <v>2018</v>
      </c>
      <c r="L7" s="7">
        <v>42860</v>
      </c>
      <c r="M7" s="7">
        <f t="shared" si="4"/>
        <v>43225</v>
      </c>
      <c r="N7" s="8">
        <v>59200</v>
      </c>
      <c r="O7" s="16">
        <f t="shared" si="5"/>
        <v>5328</v>
      </c>
      <c r="P7" s="24">
        <f>SUM(Table1[[#This Row],[Annual Salary]:[Pension]])</f>
        <v>64528</v>
      </c>
    </row>
    <row r="8" spans="1:16" x14ac:dyDescent="0.3">
      <c r="A8" s="3" t="s">
        <v>64</v>
      </c>
      <c r="B8" t="s">
        <v>153</v>
      </c>
      <c r="C8" s="2" t="s">
        <v>21</v>
      </c>
      <c r="D8" s="19" t="s">
        <v>166</v>
      </c>
      <c r="E8" t="str">
        <f t="shared" si="0"/>
        <v>mary.ferris@pushpin.com</v>
      </c>
      <c r="F8" s="7">
        <v>38548</v>
      </c>
      <c r="G8" s="4">
        <f t="shared" ca="1" si="1"/>
        <v>15.35</v>
      </c>
      <c r="H8" s="1" t="s">
        <v>55</v>
      </c>
      <c r="I8" s="5" t="s">
        <v>123</v>
      </c>
      <c r="J8" s="6" t="str">
        <f t="shared" si="2"/>
        <v>03</v>
      </c>
      <c r="K8" s="6" t="str">
        <f t="shared" si="3"/>
        <v>2392</v>
      </c>
      <c r="L8" s="7">
        <v>42598</v>
      </c>
      <c r="M8" s="7">
        <f t="shared" si="4"/>
        <v>42963</v>
      </c>
      <c r="N8" s="8">
        <v>62900</v>
      </c>
      <c r="O8" s="16">
        <f t="shared" si="5"/>
        <v>5661</v>
      </c>
      <c r="P8" s="24">
        <f>SUM(Table1[[#This Row],[Annual Salary]:[Pension]])</f>
        <v>68561</v>
      </c>
    </row>
    <row r="9" spans="1:16" x14ac:dyDescent="0.3">
      <c r="A9" s="3" t="s">
        <v>65</v>
      </c>
      <c r="B9" t="s">
        <v>154</v>
      </c>
      <c r="C9" s="2" t="s">
        <v>14</v>
      </c>
      <c r="D9" s="19" t="s">
        <v>166</v>
      </c>
      <c r="E9" t="str">
        <f t="shared" si="0"/>
        <v>susan.filosa@pushpin.com</v>
      </c>
      <c r="F9" s="7">
        <v>38744</v>
      </c>
      <c r="G9" s="4">
        <f t="shared" ca="1" si="1"/>
        <v>14.816666666666666</v>
      </c>
      <c r="H9" s="1" t="s">
        <v>24</v>
      </c>
      <c r="I9" s="5" t="s">
        <v>112</v>
      </c>
      <c r="J9" s="6" t="str">
        <f t="shared" si="2"/>
        <v>02</v>
      </c>
      <c r="K9" s="6" t="str">
        <f t="shared" si="3"/>
        <v>2279</v>
      </c>
      <c r="L9" s="7">
        <v>42596</v>
      </c>
      <c r="M9" s="7">
        <f t="shared" si="4"/>
        <v>42961</v>
      </c>
      <c r="N9" s="8">
        <v>58400</v>
      </c>
      <c r="O9" s="16">
        <f t="shared" si="5"/>
        <v>5256</v>
      </c>
      <c r="P9" s="24">
        <f>SUM(Table1[[#This Row],[Annual Salary]:[Pension]])</f>
        <v>63656</v>
      </c>
    </row>
    <row r="10" spans="1:16" x14ac:dyDescent="0.3">
      <c r="A10" s="3" t="s">
        <v>66</v>
      </c>
      <c r="B10" t="s">
        <v>29</v>
      </c>
      <c r="C10" s="2" t="s">
        <v>28</v>
      </c>
      <c r="D10" s="19" t="s">
        <v>166</v>
      </c>
      <c r="E10" t="str">
        <f t="shared" si="0"/>
        <v>tina.carlton@pushpin.com</v>
      </c>
      <c r="F10" s="7">
        <v>38798</v>
      </c>
      <c r="G10" s="4">
        <f t="shared" ca="1" si="1"/>
        <v>14.66388888888889</v>
      </c>
      <c r="H10" s="1" t="s">
        <v>55</v>
      </c>
      <c r="I10" s="5" t="s">
        <v>101</v>
      </c>
      <c r="J10" s="6" t="str">
        <f t="shared" si="2"/>
        <v>02</v>
      </c>
      <c r="K10" s="6" t="str">
        <f t="shared" si="3"/>
        <v>2699</v>
      </c>
      <c r="L10" s="7">
        <v>42825</v>
      </c>
      <c r="M10" s="7">
        <f t="shared" si="4"/>
        <v>43190</v>
      </c>
      <c r="N10" s="8">
        <v>59200</v>
      </c>
      <c r="O10" s="16">
        <f t="shared" si="5"/>
        <v>5328</v>
      </c>
      <c r="P10" s="24">
        <f>SUM(Table1[[#This Row],[Annual Salary]:[Pension]])</f>
        <v>64528</v>
      </c>
    </row>
    <row r="11" spans="1:16" x14ac:dyDescent="0.3">
      <c r="A11" s="3" t="s">
        <v>67</v>
      </c>
      <c r="B11" t="s">
        <v>51</v>
      </c>
      <c r="C11" s="2" t="s">
        <v>50</v>
      </c>
      <c r="D11" s="19" t="s">
        <v>165</v>
      </c>
      <c r="E11" t="str">
        <f t="shared" si="0"/>
        <v>nicholas.fernandes@pushpin.com</v>
      </c>
      <c r="F11" s="7">
        <v>39023</v>
      </c>
      <c r="G11" s="4">
        <f t="shared" ca="1" si="1"/>
        <v>14.052777777777777</v>
      </c>
      <c r="H11" s="1" t="s">
        <v>15</v>
      </c>
      <c r="I11" s="5" t="s">
        <v>122</v>
      </c>
      <c r="J11" s="6" t="str">
        <f t="shared" si="2"/>
        <v>02</v>
      </c>
      <c r="K11" s="6" t="str">
        <f t="shared" si="3"/>
        <v>2372</v>
      </c>
      <c r="L11" s="7">
        <v>42614</v>
      </c>
      <c r="M11" s="7">
        <f t="shared" si="4"/>
        <v>42979</v>
      </c>
      <c r="N11" s="8">
        <v>51600</v>
      </c>
      <c r="O11" s="16">
        <f t="shared" si="5"/>
        <v>4644</v>
      </c>
      <c r="P11" s="24">
        <f>SUM(Table1[[#This Row],[Annual Salary]:[Pension]])</f>
        <v>56244</v>
      </c>
    </row>
    <row r="12" spans="1:16" x14ac:dyDescent="0.3">
      <c r="A12" s="3" t="s">
        <v>68</v>
      </c>
      <c r="B12" t="s">
        <v>49</v>
      </c>
      <c r="C12" s="2" t="s">
        <v>48</v>
      </c>
      <c r="D12" s="19" t="s">
        <v>165</v>
      </c>
      <c r="E12" t="str">
        <f t="shared" si="0"/>
        <v>stevie.bacata@pushpin.com</v>
      </c>
      <c r="F12" s="7">
        <v>39551</v>
      </c>
      <c r="G12" s="4">
        <f t="shared" ca="1" si="1"/>
        <v>12.605555555555556</v>
      </c>
      <c r="H12" s="1" t="s">
        <v>55</v>
      </c>
      <c r="I12" s="5" t="s">
        <v>96</v>
      </c>
      <c r="J12" s="6" t="str">
        <f t="shared" si="2"/>
        <v>02</v>
      </c>
      <c r="K12" s="6" t="str">
        <f t="shared" si="3"/>
        <v>2635</v>
      </c>
      <c r="L12" s="7">
        <v>42507</v>
      </c>
      <c r="M12" s="7">
        <f t="shared" si="4"/>
        <v>42872</v>
      </c>
      <c r="N12" s="8">
        <v>58200</v>
      </c>
      <c r="O12" s="16">
        <f t="shared" si="5"/>
        <v>5238</v>
      </c>
      <c r="P12" s="24">
        <f>SUM(Table1[[#This Row],[Annual Salary]:[Pension]])</f>
        <v>63438</v>
      </c>
    </row>
    <row r="13" spans="1:16" x14ac:dyDescent="0.3">
      <c r="A13" s="3" t="s">
        <v>69</v>
      </c>
      <c r="B13" t="s">
        <v>148</v>
      </c>
      <c r="C13" s="2" t="s">
        <v>18</v>
      </c>
      <c r="D13" s="19" t="s">
        <v>166</v>
      </c>
      <c r="E13" t="str">
        <f t="shared" si="0"/>
        <v>janet.comuntzis@pushpin.com</v>
      </c>
      <c r="F13" s="7">
        <v>39686</v>
      </c>
      <c r="G13" s="4">
        <f t="shared" ca="1" si="1"/>
        <v>12.236111111111111</v>
      </c>
      <c r="H13" s="1" t="s">
        <v>24</v>
      </c>
      <c r="I13" s="5" t="s">
        <v>109</v>
      </c>
      <c r="J13" s="6" t="str">
        <f t="shared" si="2"/>
        <v>02</v>
      </c>
      <c r="K13" s="6" t="str">
        <f t="shared" si="3"/>
        <v>2286</v>
      </c>
      <c r="L13" s="7">
        <v>42658</v>
      </c>
      <c r="M13" s="7">
        <f t="shared" si="4"/>
        <v>43023</v>
      </c>
      <c r="N13" s="8">
        <v>55800</v>
      </c>
      <c r="O13" s="16">
        <f t="shared" si="5"/>
        <v>5022</v>
      </c>
      <c r="P13" s="24">
        <f>SUM(Table1[[#This Row],[Annual Salary]:[Pension]])</f>
        <v>60822</v>
      </c>
    </row>
    <row r="14" spans="1:16" x14ac:dyDescent="0.3">
      <c r="A14" s="3" t="s">
        <v>70</v>
      </c>
      <c r="B14" t="s">
        <v>33</v>
      </c>
      <c r="C14" s="2" t="s">
        <v>32</v>
      </c>
      <c r="D14" s="19" t="s">
        <v>165</v>
      </c>
      <c r="E14" t="str">
        <f t="shared" si="0"/>
        <v>mihael.khan@pushpin.com</v>
      </c>
      <c r="F14" s="7">
        <v>40160</v>
      </c>
      <c r="G14" s="4">
        <f t="shared" ca="1" si="1"/>
        <v>10.938888888888888</v>
      </c>
      <c r="H14" s="1" t="s">
        <v>55</v>
      </c>
      <c r="I14" s="5" t="s">
        <v>127</v>
      </c>
      <c r="J14" s="6" t="str">
        <f t="shared" si="2"/>
        <v>02</v>
      </c>
      <c r="K14" s="6" t="str">
        <f t="shared" si="3"/>
        <v>2294</v>
      </c>
      <c r="L14" s="7">
        <v>42566</v>
      </c>
      <c r="M14" s="7">
        <f t="shared" si="4"/>
        <v>42931</v>
      </c>
      <c r="N14" s="8">
        <v>55500</v>
      </c>
      <c r="O14" s="16">
        <f t="shared" si="5"/>
        <v>4995</v>
      </c>
      <c r="P14" s="24">
        <f>SUM(Table1[[#This Row],[Annual Salary]:[Pension]])</f>
        <v>60495</v>
      </c>
    </row>
    <row r="15" spans="1:16" x14ac:dyDescent="0.3">
      <c r="A15" s="3" t="s">
        <v>71</v>
      </c>
      <c r="B15" t="s">
        <v>143</v>
      </c>
      <c r="C15" s="2" t="s">
        <v>16</v>
      </c>
      <c r="D15" s="19" t="s">
        <v>166</v>
      </c>
      <c r="E15" t="str">
        <f t="shared" si="0"/>
        <v>elizabeth.chu@pushpin.com</v>
      </c>
      <c r="F15" s="7">
        <v>40220</v>
      </c>
      <c r="G15" s="4">
        <f t="shared" ca="1" si="1"/>
        <v>10.777777777777779</v>
      </c>
      <c r="H15" s="1" t="s">
        <v>59</v>
      </c>
      <c r="I15" s="5" t="s">
        <v>104</v>
      </c>
      <c r="J15" s="6" t="str">
        <f t="shared" si="2"/>
        <v>01</v>
      </c>
      <c r="K15" s="6" t="str">
        <f t="shared" si="3"/>
        <v>2425</v>
      </c>
      <c r="L15" s="7">
        <v>42761</v>
      </c>
      <c r="M15" s="7">
        <f t="shared" si="4"/>
        <v>43126</v>
      </c>
      <c r="N15" s="8">
        <v>48400</v>
      </c>
      <c r="O15" s="16">
        <f t="shared" si="5"/>
        <v>4356</v>
      </c>
      <c r="P15" s="24">
        <f>SUM(Table1[[#This Row],[Annual Salary]:[Pension]])</f>
        <v>52756</v>
      </c>
    </row>
    <row r="16" spans="1:16" x14ac:dyDescent="0.3">
      <c r="A16" s="3" t="s">
        <v>72</v>
      </c>
      <c r="B16" t="s">
        <v>31</v>
      </c>
      <c r="C16" s="2" t="s">
        <v>30</v>
      </c>
      <c r="D16" s="19" t="s">
        <v>166</v>
      </c>
      <c r="E16" t="str">
        <f t="shared" si="0"/>
        <v>samantha.chairs@pushpin.com</v>
      </c>
      <c r="F16" s="7">
        <v>40595</v>
      </c>
      <c r="G16" s="4">
        <f t="shared" ca="1" si="1"/>
        <v>9.75</v>
      </c>
      <c r="H16" s="1" t="s">
        <v>55</v>
      </c>
      <c r="I16" s="5" t="s">
        <v>103</v>
      </c>
      <c r="J16" s="6" t="str">
        <f t="shared" si="2"/>
        <v>02</v>
      </c>
      <c r="K16" s="6" t="str">
        <f t="shared" si="3"/>
        <v>2962</v>
      </c>
      <c r="L16" s="7">
        <v>42801</v>
      </c>
      <c r="M16" s="7">
        <f t="shared" si="4"/>
        <v>43166</v>
      </c>
      <c r="N16" s="8">
        <v>59300</v>
      </c>
      <c r="O16" s="16">
        <f t="shared" si="5"/>
        <v>5337</v>
      </c>
      <c r="P16" s="24">
        <f>SUM(Table1[[#This Row],[Annual Salary]:[Pension]])</f>
        <v>64637</v>
      </c>
    </row>
    <row r="17" spans="1:16" x14ac:dyDescent="0.3">
      <c r="A17" s="3" t="s">
        <v>73</v>
      </c>
      <c r="B17" t="s">
        <v>39</v>
      </c>
      <c r="C17" s="2" t="s">
        <v>38</v>
      </c>
      <c r="D17" s="19" t="s">
        <v>166</v>
      </c>
      <c r="E17" t="str">
        <f t="shared" si="0"/>
        <v>natasha.song@pushpin.com</v>
      </c>
      <c r="F17" s="7">
        <v>40713</v>
      </c>
      <c r="G17" s="4">
        <f t="shared" ca="1" si="1"/>
        <v>9.4222222222222225</v>
      </c>
      <c r="H17" s="1" t="s">
        <v>55</v>
      </c>
      <c r="I17" s="5" t="s">
        <v>129</v>
      </c>
      <c r="J17" s="6" t="str">
        <f t="shared" si="2"/>
        <v>02</v>
      </c>
      <c r="K17" s="6" t="str">
        <f t="shared" si="3"/>
        <v>2578</v>
      </c>
      <c r="L17" s="7">
        <v>42552</v>
      </c>
      <c r="M17" s="7">
        <f t="shared" si="4"/>
        <v>42917</v>
      </c>
      <c r="N17" s="8">
        <v>56000</v>
      </c>
      <c r="O17" s="16">
        <f t="shared" si="5"/>
        <v>5040</v>
      </c>
      <c r="P17" s="24">
        <f>SUM(Table1[[#This Row],[Annual Salary]:[Pension]])</f>
        <v>61040</v>
      </c>
    </row>
    <row r="18" spans="1:16" x14ac:dyDescent="0.3">
      <c r="A18" s="3" t="s">
        <v>74</v>
      </c>
      <c r="B18" t="s">
        <v>142</v>
      </c>
      <c r="C18" s="2" t="s">
        <v>61</v>
      </c>
      <c r="D18" s="19" t="s">
        <v>166</v>
      </c>
      <c r="E18" t="str">
        <f t="shared" si="0"/>
        <v>uma.chaudri@pushpin.com</v>
      </c>
      <c r="F18" s="7">
        <v>40994</v>
      </c>
      <c r="G18" s="4">
        <f t="shared" ca="1" si="1"/>
        <v>8.6527777777777786</v>
      </c>
      <c r="H18" s="1" t="s">
        <v>17</v>
      </c>
      <c r="I18" s="5" t="s">
        <v>119</v>
      </c>
      <c r="J18" s="6" t="str">
        <f t="shared" si="2"/>
        <v>03</v>
      </c>
      <c r="K18" s="6" t="str">
        <f t="shared" si="3"/>
        <v>2134</v>
      </c>
      <c r="L18" s="7">
        <v>42776</v>
      </c>
      <c r="M18" s="7">
        <f t="shared" si="4"/>
        <v>43141</v>
      </c>
      <c r="N18" s="8">
        <v>63200</v>
      </c>
      <c r="O18" s="16">
        <f t="shared" si="5"/>
        <v>5688</v>
      </c>
      <c r="P18" s="24">
        <f>SUM(Table1[[#This Row],[Annual Salary]:[Pension]])</f>
        <v>68888</v>
      </c>
    </row>
    <row r="19" spans="1:16" x14ac:dyDescent="0.3">
      <c r="A19" s="3" t="s">
        <v>75</v>
      </c>
      <c r="B19" t="s">
        <v>150</v>
      </c>
      <c r="C19" s="2" t="s">
        <v>28</v>
      </c>
      <c r="D19" s="19" t="s">
        <v>166</v>
      </c>
      <c r="E19" t="str">
        <f t="shared" si="0"/>
        <v>tina.desiato@pushpin.com</v>
      </c>
      <c r="F19" s="7">
        <v>41175</v>
      </c>
      <c r="G19" s="4">
        <f t="shared" ca="1" si="1"/>
        <v>8.1611111111111114</v>
      </c>
      <c r="H19" t="s">
        <v>59</v>
      </c>
      <c r="I19" s="5" t="s">
        <v>121</v>
      </c>
      <c r="J19" s="6" t="str">
        <f t="shared" si="2"/>
        <v>01</v>
      </c>
      <c r="K19" s="6" t="str">
        <f t="shared" si="3"/>
        <v>2358</v>
      </c>
      <c r="L19" s="7">
        <v>42652</v>
      </c>
      <c r="M19" s="7">
        <f t="shared" si="4"/>
        <v>43017</v>
      </c>
      <c r="N19" s="8">
        <v>51700</v>
      </c>
      <c r="O19" s="16">
        <f t="shared" si="5"/>
        <v>4653</v>
      </c>
      <c r="P19" s="24">
        <f>SUM(Table1[[#This Row],[Annual Salary]:[Pension]])</f>
        <v>56353</v>
      </c>
    </row>
    <row r="20" spans="1:16" x14ac:dyDescent="0.3">
      <c r="A20" s="3" t="s">
        <v>76</v>
      </c>
      <c r="B20" t="s">
        <v>149</v>
      </c>
      <c r="C20" s="2" t="s">
        <v>19</v>
      </c>
      <c r="D20" s="19" t="s">
        <v>165</v>
      </c>
      <c r="E20" t="str">
        <f t="shared" si="0"/>
        <v>bob.decker@pushpin.com</v>
      </c>
      <c r="F20" s="7">
        <v>41210</v>
      </c>
      <c r="G20" s="4">
        <f t="shared" ca="1" si="1"/>
        <v>8.0638888888888882</v>
      </c>
      <c r="H20" s="1" t="s">
        <v>59</v>
      </c>
      <c r="I20" s="5" t="s">
        <v>120</v>
      </c>
      <c r="J20" s="6" t="str">
        <f t="shared" si="2"/>
        <v>01</v>
      </c>
      <c r="K20" s="6" t="str">
        <f t="shared" si="3"/>
        <v>2086</v>
      </c>
      <c r="L20" s="7">
        <v>42656</v>
      </c>
      <c r="M20" s="7">
        <f t="shared" si="4"/>
        <v>43021</v>
      </c>
      <c r="N20" s="8">
        <v>49600</v>
      </c>
      <c r="O20" s="16">
        <f t="shared" si="5"/>
        <v>4464</v>
      </c>
      <c r="P20" s="24">
        <f>SUM(Table1[[#This Row],[Annual Salary]:[Pension]])</f>
        <v>54064</v>
      </c>
    </row>
    <row r="21" spans="1:16" x14ac:dyDescent="0.3">
      <c r="A21" s="3" t="s">
        <v>77</v>
      </c>
      <c r="B21" t="s">
        <v>147</v>
      </c>
      <c r="C21" s="2" t="s">
        <v>20</v>
      </c>
      <c r="D21" s="19" t="s">
        <v>166</v>
      </c>
      <c r="E21" t="str">
        <f t="shared" si="0"/>
        <v>sabrina.cole@pushpin.com</v>
      </c>
      <c r="F21" s="7">
        <v>41401</v>
      </c>
      <c r="G21" s="4">
        <f t="shared" ca="1" si="1"/>
        <v>7.5388888888888888</v>
      </c>
      <c r="H21" s="1" t="s">
        <v>24</v>
      </c>
      <c r="I21" s="5" t="s">
        <v>108</v>
      </c>
      <c r="J21" s="6" t="str">
        <f t="shared" si="2"/>
        <v>02</v>
      </c>
      <c r="K21" s="6" t="str">
        <f t="shared" si="3"/>
        <v>2537</v>
      </c>
      <c r="L21" s="7">
        <v>42710</v>
      </c>
      <c r="M21" s="7">
        <f t="shared" si="4"/>
        <v>43075</v>
      </c>
      <c r="N21" s="8">
        <v>45100</v>
      </c>
      <c r="O21" s="16">
        <f t="shared" si="5"/>
        <v>4059</v>
      </c>
      <c r="P21" s="24">
        <f>SUM(Table1[[#This Row],[Annual Salary]:[Pension]])</f>
        <v>49159</v>
      </c>
    </row>
    <row r="22" spans="1:16" x14ac:dyDescent="0.3">
      <c r="A22" s="3" t="s">
        <v>78</v>
      </c>
      <c r="B22" t="s">
        <v>141</v>
      </c>
      <c r="C22" s="2" t="s">
        <v>27</v>
      </c>
      <c r="D22" s="19" t="s">
        <v>165</v>
      </c>
      <c r="E22" t="str">
        <f t="shared" si="0"/>
        <v>jim.chaffee@pushpin.com</v>
      </c>
      <c r="F22" s="7">
        <v>41787</v>
      </c>
      <c r="G22" s="4">
        <f t="shared" ca="1" si="1"/>
        <v>6.4805555555555552</v>
      </c>
      <c r="H22" s="1" t="s">
        <v>13</v>
      </c>
      <c r="I22" s="5" t="s">
        <v>102</v>
      </c>
      <c r="J22" s="6" t="str">
        <f t="shared" si="2"/>
        <v>03</v>
      </c>
      <c r="K22" s="6" t="str">
        <f t="shared" si="3"/>
        <v>2432</v>
      </c>
      <c r="L22" s="7">
        <v>42804</v>
      </c>
      <c r="M22" s="7">
        <f t="shared" si="4"/>
        <v>43169</v>
      </c>
      <c r="N22" s="8">
        <v>42100</v>
      </c>
      <c r="O22" s="16">
        <f t="shared" si="5"/>
        <v>3789</v>
      </c>
      <c r="P22" s="24">
        <f>SUM(Table1[[#This Row],[Annual Salary]:[Pension]])</f>
        <v>45889</v>
      </c>
    </row>
    <row r="23" spans="1:16" x14ac:dyDescent="0.3">
      <c r="A23" s="3" t="s">
        <v>79</v>
      </c>
      <c r="B23" t="s">
        <v>139</v>
      </c>
      <c r="C23" s="2" t="s">
        <v>27</v>
      </c>
      <c r="D23" s="19" t="s">
        <v>165</v>
      </c>
      <c r="E23" t="str">
        <f t="shared" si="0"/>
        <v>jim.boller@pushpin.com</v>
      </c>
      <c r="F23" s="7">
        <v>41893</v>
      </c>
      <c r="G23" s="4">
        <f t="shared" ca="1" si="1"/>
        <v>6.1944444444444446</v>
      </c>
      <c r="H23" s="1" t="s">
        <v>15</v>
      </c>
      <c r="I23" s="5" t="s">
        <v>116</v>
      </c>
      <c r="J23" s="6" t="str">
        <f t="shared" si="2"/>
        <v>03</v>
      </c>
      <c r="K23" s="6" t="str">
        <f t="shared" si="3"/>
        <v>2318</v>
      </c>
      <c r="L23" s="7">
        <v>42835</v>
      </c>
      <c r="M23" s="7">
        <f t="shared" si="4"/>
        <v>43200</v>
      </c>
      <c r="N23" s="8">
        <v>62800</v>
      </c>
      <c r="O23" s="16">
        <f t="shared" si="5"/>
        <v>5652</v>
      </c>
      <c r="P23" s="24">
        <f>SUM(Table1[[#This Row],[Annual Salary]:[Pension]])</f>
        <v>68452</v>
      </c>
    </row>
    <row r="24" spans="1:16" x14ac:dyDescent="0.3">
      <c r="A24" s="3" t="s">
        <v>80</v>
      </c>
      <c r="B24" t="s">
        <v>47</v>
      </c>
      <c r="C24" s="2" t="s">
        <v>46</v>
      </c>
      <c r="D24" s="19" t="s">
        <v>165</v>
      </c>
      <c r="E24" t="str">
        <f t="shared" si="0"/>
        <v>charlie.bui@pushpin.com</v>
      </c>
      <c r="F24" s="7">
        <v>41903</v>
      </c>
      <c r="G24" s="4">
        <f t="shared" ca="1" si="1"/>
        <v>6.166666666666667</v>
      </c>
      <c r="H24" s="1" t="s">
        <v>55</v>
      </c>
      <c r="I24" s="5" t="s">
        <v>117</v>
      </c>
      <c r="J24" s="6" t="str">
        <f t="shared" si="2"/>
        <v>02</v>
      </c>
      <c r="K24" s="6" t="str">
        <f t="shared" si="3"/>
        <v>2694</v>
      </c>
      <c r="L24" s="7">
        <v>42828</v>
      </c>
      <c r="M24" s="7">
        <f t="shared" si="4"/>
        <v>43193</v>
      </c>
      <c r="N24" s="8">
        <v>54700</v>
      </c>
      <c r="O24" s="16">
        <f t="shared" si="5"/>
        <v>4923</v>
      </c>
      <c r="P24" s="24">
        <f>SUM(Table1[[#This Row],[Annual Salary]:[Pension]])</f>
        <v>59623</v>
      </c>
    </row>
    <row r="25" spans="1:16" x14ac:dyDescent="0.3">
      <c r="A25" s="3" t="s">
        <v>81</v>
      </c>
      <c r="B25" t="s">
        <v>43</v>
      </c>
      <c r="C25" s="2" t="s">
        <v>42</v>
      </c>
      <c r="D25" s="19" t="s">
        <v>165</v>
      </c>
      <c r="E25" t="str">
        <f t="shared" si="0"/>
        <v>connor.betts@pushpin.com</v>
      </c>
      <c r="F25" s="7">
        <v>41956</v>
      </c>
      <c r="G25" s="4">
        <f t="shared" ca="1" si="1"/>
        <v>6.0222222222222221</v>
      </c>
      <c r="H25" s="1" t="s">
        <v>55</v>
      </c>
      <c r="I25" s="5" t="s">
        <v>98</v>
      </c>
      <c r="J25" s="6" t="str">
        <f t="shared" si="2"/>
        <v>02</v>
      </c>
      <c r="K25" s="6" t="str">
        <f t="shared" si="3"/>
        <v>2347</v>
      </c>
      <c r="L25" s="7">
        <v>42848</v>
      </c>
      <c r="M25" s="7">
        <f t="shared" si="4"/>
        <v>43213</v>
      </c>
      <c r="N25" s="8">
        <v>52600</v>
      </c>
      <c r="O25" s="16">
        <f t="shared" si="5"/>
        <v>4734</v>
      </c>
      <c r="P25" s="24">
        <f>SUM(Table1[[#This Row],[Annual Salary]:[Pension]])</f>
        <v>57334</v>
      </c>
    </row>
    <row r="26" spans="1:16" x14ac:dyDescent="0.3">
      <c r="A26" s="3" t="s">
        <v>82</v>
      </c>
      <c r="B26" t="s">
        <v>145</v>
      </c>
      <c r="C26" s="2" t="s">
        <v>146</v>
      </c>
      <c r="D26" s="19" t="s">
        <v>166</v>
      </c>
      <c r="E26" t="str">
        <f t="shared" si="0"/>
        <v>anna.clark@pushpin.com</v>
      </c>
      <c r="F26" s="7">
        <v>41989</v>
      </c>
      <c r="G26" s="4">
        <f t="shared" ca="1" si="1"/>
        <v>5.9305555555555554</v>
      </c>
      <c r="H26" s="1" t="s">
        <v>15</v>
      </c>
      <c r="I26" s="5" t="s">
        <v>106</v>
      </c>
      <c r="J26" s="6" t="str">
        <f t="shared" si="2"/>
        <v>03</v>
      </c>
      <c r="K26" s="6" t="str">
        <f t="shared" si="3"/>
        <v>2601</v>
      </c>
      <c r="L26" s="7">
        <v>42731</v>
      </c>
      <c r="M26" s="7">
        <f t="shared" si="4"/>
        <v>43096</v>
      </c>
      <c r="N26" s="8">
        <v>58500</v>
      </c>
      <c r="O26" s="16">
        <f t="shared" si="5"/>
        <v>5265</v>
      </c>
      <c r="P26" s="24">
        <f>SUM(Table1[[#This Row],[Annual Salary]:[Pension]])</f>
        <v>63765</v>
      </c>
    </row>
    <row r="27" spans="1:16" x14ac:dyDescent="0.3">
      <c r="A27" s="3" t="s">
        <v>83</v>
      </c>
      <c r="B27" t="s">
        <v>41</v>
      </c>
      <c r="C27" s="2" t="s">
        <v>40</v>
      </c>
      <c r="D27" s="19" t="s">
        <v>166</v>
      </c>
      <c r="E27" t="str">
        <f t="shared" si="0"/>
        <v>aanya.zhang@pushpin.com</v>
      </c>
      <c r="F27" s="7">
        <v>42002</v>
      </c>
      <c r="G27" s="4">
        <f t="shared" ca="1" si="1"/>
        <v>5.8944444444444448</v>
      </c>
      <c r="H27" s="1" t="s">
        <v>55</v>
      </c>
      <c r="I27" s="5" t="s">
        <v>131</v>
      </c>
      <c r="J27" s="6" t="str">
        <f t="shared" si="2"/>
        <v>02</v>
      </c>
      <c r="K27" s="6" t="str">
        <f t="shared" si="3"/>
        <v>2793</v>
      </c>
      <c r="L27" s="7">
        <v>42540</v>
      </c>
      <c r="M27" s="7">
        <f t="shared" si="4"/>
        <v>42905</v>
      </c>
      <c r="N27" s="8">
        <v>46500</v>
      </c>
      <c r="O27" s="16">
        <f t="shared" si="5"/>
        <v>4185</v>
      </c>
      <c r="P27" s="24">
        <f>SUM(Table1[[#This Row],[Annual Salary]:[Pension]])</f>
        <v>50685</v>
      </c>
    </row>
    <row r="28" spans="1:16" x14ac:dyDescent="0.3">
      <c r="A28" s="3" t="s">
        <v>84</v>
      </c>
      <c r="B28" t="s">
        <v>37</v>
      </c>
      <c r="C28" s="2" t="s">
        <v>36</v>
      </c>
      <c r="D28" s="19" t="s">
        <v>165</v>
      </c>
      <c r="E28" t="str">
        <f t="shared" si="0"/>
        <v>leighton.forrest@pushpin.com</v>
      </c>
      <c r="F28" s="7">
        <v>42120</v>
      </c>
      <c r="G28" s="4">
        <f t="shared" ca="1" si="1"/>
        <v>5.5694444444444446</v>
      </c>
      <c r="H28" s="1" t="s">
        <v>55</v>
      </c>
      <c r="I28" s="5" t="s">
        <v>125</v>
      </c>
      <c r="J28" s="6" t="str">
        <f t="shared" si="2"/>
        <v>02</v>
      </c>
      <c r="K28" s="6" t="str">
        <f t="shared" si="3"/>
        <v>2284</v>
      </c>
      <c r="L28" s="7">
        <v>42586</v>
      </c>
      <c r="M28" s="7">
        <f t="shared" si="4"/>
        <v>42951</v>
      </c>
      <c r="N28" s="8">
        <v>56200</v>
      </c>
      <c r="O28" s="16">
        <f t="shared" si="5"/>
        <v>5058</v>
      </c>
      <c r="P28" s="24">
        <f>SUM(Table1[[#This Row],[Annual Salary]:[Pension]])</f>
        <v>61258</v>
      </c>
    </row>
    <row r="29" spans="1:16" x14ac:dyDescent="0.3">
      <c r="A29" s="3" t="s">
        <v>85</v>
      </c>
      <c r="B29" t="s">
        <v>151</v>
      </c>
      <c r="C29" s="2" t="s">
        <v>26</v>
      </c>
      <c r="D29" s="19" t="s">
        <v>166</v>
      </c>
      <c r="E29" t="str">
        <f t="shared" si="0"/>
        <v>alexandra.donnell@pushpin.com</v>
      </c>
      <c r="F29" s="7">
        <v>42228</v>
      </c>
      <c r="G29" s="4">
        <f t="shared" ca="1" si="1"/>
        <v>5.2750000000000004</v>
      </c>
      <c r="H29" s="1" t="s">
        <v>15</v>
      </c>
      <c r="I29" s="5" t="s">
        <v>110</v>
      </c>
      <c r="J29" s="6" t="str">
        <f t="shared" si="2"/>
        <v>03</v>
      </c>
      <c r="K29" s="6" t="str">
        <f t="shared" si="3"/>
        <v>2082</v>
      </c>
      <c r="L29" s="7">
        <v>42629</v>
      </c>
      <c r="M29" s="7">
        <f t="shared" si="4"/>
        <v>42994</v>
      </c>
      <c r="N29" s="8">
        <v>54900</v>
      </c>
      <c r="O29" s="16">
        <f t="shared" si="5"/>
        <v>4941</v>
      </c>
      <c r="P29" s="24">
        <f>SUM(Table1[[#This Row],[Annual Salary]:[Pension]])</f>
        <v>59841</v>
      </c>
    </row>
    <row r="30" spans="1:16" x14ac:dyDescent="0.3">
      <c r="A30" s="3" t="s">
        <v>86</v>
      </c>
      <c r="B30" t="s">
        <v>156</v>
      </c>
      <c r="C30" s="2" t="s">
        <v>157</v>
      </c>
      <c r="D30" s="19" t="s">
        <v>165</v>
      </c>
      <c r="E30" t="str">
        <f t="shared" si="0"/>
        <v>carlos.martinez@pushpin.com</v>
      </c>
      <c r="F30" s="7">
        <v>42229</v>
      </c>
      <c r="G30" s="4">
        <f t="shared" ca="1" si="1"/>
        <v>5.2722222222222221</v>
      </c>
      <c r="H30" s="1" t="s">
        <v>17</v>
      </c>
      <c r="I30" s="5" t="s">
        <v>99</v>
      </c>
      <c r="J30" s="6" t="str">
        <f t="shared" si="2"/>
        <v>03</v>
      </c>
      <c r="K30" s="6" t="str">
        <f t="shared" si="3"/>
        <v>2764</v>
      </c>
      <c r="L30" s="7">
        <v>42845</v>
      </c>
      <c r="M30" s="7">
        <f t="shared" si="4"/>
        <v>43210</v>
      </c>
      <c r="N30" s="8">
        <v>47900</v>
      </c>
      <c r="O30" s="16">
        <f t="shared" si="5"/>
        <v>4311</v>
      </c>
      <c r="P30" s="24">
        <f>SUM(Table1[[#This Row],[Annual Salary]:[Pension]])</f>
        <v>52211</v>
      </c>
    </row>
    <row r="31" spans="1:16" x14ac:dyDescent="0.3">
      <c r="A31" s="3" t="s">
        <v>87</v>
      </c>
      <c r="B31" t="s">
        <v>53</v>
      </c>
      <c r="C31" s="2" t="s">
        <v>115</v>
      </c>
      <c r="D31" s="19" t="s">
        <v>165</v>
      </c>
      <c r="E31" t="str">
        <f t="shared" si="0"/>
        <v>peter.staples@pushpin.com</v>
      </c>
      <c r="F31" s="7">
        <v>42321</v>
      </c>
      <c r="G31" s="4">
        <f t="shared" ca="1" si="1"/>
        <v>5.0222222222222221</v>
      </c>
      <c r="H31" s="1" t="s">
        <v>55</v>
      </c>
      <c r="I31" s="5" t="s">
        <v>130</v>
      </c>
      <c r="J31" s="6" t="str">
        <f t="shared" si="2"/>
        <v>02</v>
      </c>
      <c r="K31" s="6" t="str">
        <f t="shared" si="3"/>
        <v>2654</v>
      </c>
      <c r="L31" s="7">
        <v>42551</v>
      </c>
      <c r="M31" s="7">
        <f t="shared" si="4"/>
        <v>42916</v>
      </c>
      <c r="N31" s="8">
        <v>49600</v>
      </c>
      <c r="O31" s="16">
        <f t="shared" si="5"/>
        <v>4464</v>
      </c>
      <c r="P31" s="24">
        <f>SUM(Table1[[#This Row],[Annual Salary]:[Pension]])</f>
        <v>54064</v>
      </c>
    </row>
    <row r="32" spans="1:16" x14ac:dyDescent="0.3">
      <c r="A32" s="3" t="s">
        <v>88</v>
      </c>
      <c r="B32" t="s">
        <v>54</v>
      </c>
      <c r="C32" s="2" t="s">
        <v>52</v>
      </c>
      <c r="D32" s="19" t="s">
        <v>166</v>
      </c>
      <c r="E32" t="str">
        <f t="shared" si="0"/>
        <v>radhya.senome@pushpin.com</v>
      </c>
      <c r="F32" s="7">
        <v>42324</v>
      </c>
      <c r="G32" s="4">
        <f t="shared" ca="1" si="1"/>
        <v>5.0138888888888893</v>
      </c>
      <c r="H32" s="1" t="s">
        <v>55</v>
      </c>
      <c r="I32" s="5" t="s">
        <v>128</v>
      </c>
      <c r="J32" s="6" t="str">
        <f t="shared" si="2"/>
        <v>02</v>
      </c>
      <c r="K32" s="6" t="str">
        <f t="shared" si="3"/>
        <v>2260</v>
      </c>
      <c r="L32" s="7">
        <v>42563</v>
      </c>
      <c r="M32" s="7">
        <f t="shared" si="4"/>
        <v>42928</v>
      </c>
      <c r="N32" s="8">
        <v>35600</v>
      </c>
      <c r="O32" s="16">
        <f t="shared" si="5"/>
        <v>3204</v>
      </c>
      <c r="P32" s="24">
        <f>SUM(Table1[[#This Row],[Annual Salary]:[Pension]])</f>
        <v>38804</v>
      </c>
    </row>
    <row r="33" spans="1:16" x14ac:dyDescent="0.3">
      <c r="A33" s="3" t="s">
        <v>89</v>
      </c>
      <c r="B33" t="s">
        <v>152</v>
      </c>
      <c r="C33" s="2" t="s">
        <v>25</v>
      </c>
      <c r="D33" s="19" t="s">
        <v>165</v>
      </c>
      <c r="E33" t="str">
        <f t="shared" si="0"/>
        <v>mark.ellis@pushpin.com</v>
      </c>
      <c r="F33" s="7">
        <v>42371</v>
      </c>
      <c r="G33" s="4">
        <f t="shared" ca="1" si="1"/>
        <v>4.8861111111111111</v>
      </c>
      <c r="H33" s="1" t="s">
        <v>59</v>
      </c>
      <c r="I33" s="5" t="s">
        <v>111</v>
      </c>
      <c r="J33" s="6" t="str">
        <f t="shared" si="2"/>
        <v>03</v>
      </c>
      <c r="K33" s="6" t="str">
        <f t="shared" si="3"/>
        <v>2482</v>
      </c>
      <c r="L33" s="7">
        <v>42619</v>
      </c>
      <c r="M33" s="7">
        <f t="shared" si="4"/>
        <v>42984</v>
      </c>
      <c r="N33" s="8">
        <v>58500</v>
      </c>
      <c r="O33" s="16">
        <f t="shared" si="5"/>
        <v>5265</v>
      </c>
      <c r="P33" s="24">
        <f>SUM(Table1[[#This Row],[Annual Salary]:[Pension]])</f>
        <v>63765</v>
      </c>
    </row>
    <row r="34" spans="1:16" x14ac:dyDescent="0.3">
      <c r="A34" s="3" t="s">
        <v>90</v>
      </c>
      <c r="B34" t="s">
        <v>45</v>
      </c>
      <c r="C34" s="2" t="s">
        <v>44</v>
      </c>
      <c r="D34" s="19" t="s">
        <v>166</v>
      </c>
      <c r="E34" t="str">
        <f t="shared" si="0"/>
        <v>yvette.biti@pushpin.com</v>
      </c>
      <c r="F34" s="7">
        <v>42384</v>
      </c>
      <c r="G34" s="4">
        <f t="shared" ca="1" si="1"/>
        <v>4.8499999999999996</v>
      </c>
      <c r="H34" s="1" t="s">
        <v>55</v>
      </c>
      <c r="I34" s="5" t="s">
        <v>100</v>
      </c>
      <c r="J34" s="6" t="str">
        <f t="shared" si="2"/>
        <v>02</v>
      </c>
      <c r="K34" s="6" t="str">
        <f t="shared" si="3"/>
        <v>2589</v>
      </c>
      <c r="L34" s="7">
        <v>42839</v>
      </c>
      <c r="M34" s="7">
        <f t="shared" si="4"/>
        <v>43204</v>
      </c>
      <c r="N34" s="8">
        <v>51400</v>
      </c>
      <c r="O34" s="16">
        <f t="shared" si="5"/>
        <v>4626</v>
      </c>
      <c r="P34" s="24">
        <f>SUM(Table1[[#This Row],[Annual Salary]:[Pension]])</f>
        <v>56026</v>
      </c>
    </row>
    <row r="35" spans="1:16" x14ac:dyDescent="0.3">
      <c r="A35" s="3" t="s">
        <v>91</v>
      </c>
      <c r="B35" t="s">
        <v>158</v>
      </c>
      <c r="C35" s="2" t="s">
        <v>58</v>
      </c>
      <c r="D35" s="19" t="s">
        <v>165</v>
      </c>
      <c r="E35" t="str">
        <f t="shared" si="0"/>
        <v>sean.sanders@pushpin.com</v>
      </c>
      <c r="F35" s="7">
        <v>42691</v>
      </c>
      <c r="G35" s="4">
        <f t="shared" ca="1" si="1"/>
        <v>4.0111111111111111</v>
      </c>
      <c r="H35" s="1" t="s">
        <v>17</v>
      </c>
      <c r="I35" s="5" t="s">
        <v>113</v>
      </c>
      <c r="J35" s="6" t="str">
        <f t="shared" si="2"/>
        <v>03</v>
      </c>
      <c r="K35" s="6" t="str">
        <f t="shared" si="3"/>
        <v>2765</v>
      </c>
      <c r="L35" s="7">
        <v>42566</v>
      </c>
      <c r="M35" s="7">
        <f t="shared" si="4"/>
        <v>42931</v>
      </c>
      <c r="N35" s="8">
        <v>38600</v>
      </c>
      <c r="O35" s="16">
        <f t="shared" si="5"/>
        <v>3474</v>
      </c>
      <c r="P35" s="24">
        <f>SUM(Table1[[#This Row],[Annual Salary]:[Pension]])</f>
        <v>42074</v>
      </c>
    </row>
    <row r="36" spans="1:16" x14ac:dyDescent="0.3">
      <c r="A36" s="3" t="s">
        <v>92</v>
      </c>
      <c r="B36" t="s">
        <v>35</v>
      </c>
      <c r="C36" s="2" t="s">
        <v>34</v>
      </c>
      <c r="D36" s="19" t="s">
        <v>166</v>
      </c>
      <c r="E36" t="str">
        <f t="shared" si="0"/>
        <v>phoebe.gour@pushpin.com</v>
      </c>
      <c r="F36" s="7">
        <v>42721</v>
      </c>
      <c r="G36" s="4">
        <f t="shared" ca="1" si="1"/>
        <v>3.9277777777777776</v>
      </c>
      <c r="H36" s="1" t="s">
        <v>55</v>
      </c>
      <c r="I36" s="5" t="s">
        <v>126</v>
      </c>
      <c r="J36" s="6" t="str">
        <f t="shared" si="2"/>
        <v>02</v>
      </c>
      <c r="K36" s="6" t="str">
        <f t="shared" si="3"/>
        <v>2910</v>
      </c>
      <c r="L36" s="7">
        <v>42539</v>
      </c>
      <c r="M36" s="7">
        <f t="shared" si="4"/>
        <v>42904</v>
      </c>
      <c r="N36" s="8">
        <v>40500</v>
      </c>
      <c r="O36" s="16">
        <f t="shared" si="5"/>
        <v>3645</v>
      </c>
      <c r="P36" s="24">
        <f>SUM(Table1[[#This Row],[Annual Salary]:[Pension]])</f>
        <v>44145</v>
      </c>
    </row>
    <row r="37" spans="1:16" x14ac:dyDescent="0.3">
      <c r="A37" s="3" t="s">
        <v>93</v>
      </c>
      <c r="B37" t="s">
        <v>159</v>
      </c>
      <c r="C37" s="2" t="s">
        <v>57</v>
      </c>
      <c r="D37" s="19" t="s">
        <v>166</v>
      </c>
      <c r="E37" t="str">
        <f t="shared" si="0"/>
        <v>mei.wang@pushpin.com</v>
      </c>
      <c r="F37" s="7">
        <v>40188</v>
      </c>
      <c r="G37" s="4">
        <f t="shared" ca="1" si="1"/>
        <v>10.863888888888889</v>
      </c>
      <c r="H37" s="1" t="s">
        <v>22</v>
      </c>
      <c r="I37" s="5" t="s">
        <v>114</v>
      </c>
      <c r="J37" s="6" t="str">
        <f t="shared" si="2"/>
        <v>01</v>
      </c>
      <c r="K37" s="6" t="str">
        <f t="shared" si="3"/>
        <v>2783</v>
      </c>
      <c r="L37" s="7">
        <v>42544</v>
      </c>
      <c r="M37" s="7">
        <f t="shared" si="4"/>
        <v>42909</v>
      </c>
      <c r="N37" s="8">
        <v>96400</v>
      </c>
      <c r="O37" s="16">
        <f t="shared" si="5"/>
        <v>8676</v>
      </c>
      <c r="P37" s="24">
        <f>SUM(Table1[[#This Row],[Annual Salary]:[Pension]])</f>
        <v>105076</v>
      </c>
    </row>
    <row r="38" spans="1:16" x14ac:dyDescent="0.3">
      <c r="A38" s="3" t="s">
        <v>94</v>
      </c>
      <c r="B38" t="s">
        <v>145</v>
      </c>
      <c r="C38" s="2" t="s">
        <v>16</v>
      </c>
      <c r="D38" s="19" t="s">
        <v>166</v>
      </c>
      <c r="E38" t="str">
        <f t="shared" si="0"/>
        <v>elizabeth.clark@pushpin.com</v>
      </c>
      <c r="F38" s="7">
        <v>42874</v>
      </c>
      <c r="G38" s="4">
        <f t="shared" ca="1" si="1"/>
        <v>3.5055555555555555</v>
      </c>
      <c r="H38" s="1" t="s">
        <v>24</v>
      </c>
      <c r="I38" s="5" t="s">
        <v>107</v>
      </c>
      <c r="J38" s="6" t="str">
        <f t="shared" si="2"/>
        <v>02</v>
      </c>
      <c r="K38" s="6" t="str">
        <f t="shared" si="3"/>
        <v>2414</v>
      </c>
      <c r="L38" s="7">
        <v>42720</v>
      </c>
      <c r="M38" s="7">
        <f t="shared" si="4"/>
        <v>43085</v>
      </c>
      <c r="N38" s="8">
        <v>37000</v>
      </c>
      <c r="O38" s="16">
        <f t="shared" si="5"/>
        <v>3330</v>
      </c>
      <c r="P38" s="24">
        <f>SUM(Table1[[#This Row],[Annual Salary]:[Pension]])</f>
        <v>40330</v>
      </c>
    </row>
    <row r="39" spans="1:16" x14ac:dyDescent="0.3">
      <c r="A39" s="3" t="s">
        <v>172</v>
      </c>
      <c r="B39" t="s">
        <v>173</v>
      </c>
      <c r="C39" s="2" t="s">
        <v>174</v>
      </c>
      <c r="D39" s="19" t="s">
        <v>165</v>
      </c>
      <c r="E39" t="str">
        <f>LOWER(C39&amp;"."&amp;B39&amp;"@pushpin.com")</f>
        <v>william.grey@pushpin.com</v>
      </c>
      <c r="F39" s="23">
        <v>42933</v>
      </c>
      <c r="G39" s="4">
        <f ca="1">YEARFRAC(F39,TODAY())</f>
        <v>3.3444444444444446</v>
      </c>
      <c r="H39" s="1" t="s">
        <v>175</v>
      </c>
      <c r="I39" s="5"/>
      <c r="J39" s="6" t="str">
        <f>LEFT(I39,2)</f>
        <v/>
      </c>
      <c r="K39" s="6" t="str">
        <f>RIGHT(I39,4)</f>
        <v/>
      </c>
      <c r="L39" s="23">
        <v>42933</v>
      </c>
      <c r="M39" s="23">
        <f>L39+365</f>
        <v>43298</v>
      </c>
      <c r="N39" s="8">
        <v>97000</v>
      </c>
      <c r="O39" s="16">
        <f>N39*Pension_Rate</f>
        <v>8730</v>
      </c>
      <c r="P39" s="24">
        <f>SUM(Table1[[#This Row],[Annual Salary]:[Pension]])</f>
        <v>105730</v>
      </c>
    </row>
    <row r="40" spans="1:16" x14ac:dyDescent="0.3">
      <c r="A40" s="3">
        <f>SUBTOTAL(103,Table1[Emp ID])</f>
        <v>36</v>
      </c>
      <c r="C40" s="2"/>
      <c r="D40" s="19"/>
      <c r="G40" s="4">
        <f ca="1">SUBTOTAL(101,Table1[Years Service])</f>
        <v>9.1548611111111136</v>
      </c>
      <c r="H40" s="21"/>
      <c r="I40" s="22"/>
      <c r="J40" s="3"/>
      <c r="K40" s="3"/>
      <c r="L40" s="3"/>
      <c r="M40" s="3"/>
      <c r="N40" s="8">
        <f>SUBTOTAL(109,Table1[Annual Salary])</f>
        <v>2055400</v>
      </c>
      <c r="O40" s="16">
        <f>SUBTOTAL(109,Table1[Pension])</f>
        <v>184986</v>
      </c>
      <c r="P40" s="24">
        <f>SUBTOTAL(109,Table1[Package])</f>
        <v>2240386</v>
      </c>
    </row>
    <row r="42" spans="1:16" ht="15.6" x14ac:dyDescent="0.3">
      <c r="E42" s="13"/>
    </row>
    <row r="43" spans="1:16" ht="15.6" x14ac:dyDescent="0.3">
      <c r="E43" s="13"/>
    </row>
    <row r="44" spans="1:16" ht="15.6" x14ac:dyDescent="0.3">
      <c r="E44" s="13"/>
    </row>
  </sheetData>
  <sortState xmlns:xlrd2="http://schemas.microsoft.com/office/spreadsheetml/2017/richdata2" ref="A4:N38">
    <sortCondition ref="A7"/>
  </sortState>
  <conditionalFormatting sqref="M4:M39">
    <cfRule type="cellIs" dxfId="3" priority="1" operator="equal">
      <formula>0</formula>
    </cfRule>
    <cfRule type="expression" dxfId="2" priority="2">
      <formula>M4&lt;TODAY()</formula>
    </cfRule>
  </conditionalFormatting>
  <pageMargins left="0.7" right="0.7" top="0.75" bottom="0.75" header="0.3" footer="0.3"/>
  <pageSetup paperSize="9" orientation="portrait" horizontalDpi="75" verticalDpi="7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"/>
  <sheetViews>
    <sheetView showGridLines="0" zoomScale="70" zoomScaleNormal="70" zoomScalePageLayoutView="70" workbookViewId="0">
      <selection activeCell="B42" sqref="B42"/>
    </sheetView>
  </sheetViews>
  <sheetFormatPr defaultColWidth="8.77734375" defaultRowHeight="14.4" x14ac:dyDescent="0.3"/>
  <cols>
    <col min="1" max="1" width="29.6640625" customWidth="1"/>
    <col min="2" max="4" width="17.109375" customWidth="1"/>
  </cols>
  <sheetData>
    <row r="1" spans="1:4" ht="28.8" x14ac:dyDescent="0.55000000000000004">
      <c r="A1" s="18" t="s">
        <v>95</v>
      </c>
    </row>
    <row r="2" spans="1:4" x14ac:dyDescent="0.3">
      <c r="A2" s="3"/>
    </row>
    <row r="3" spans="1:4" ht="23.25" customHeight="1" x14ac:dyDescent="0.3">
      <c r="A3" s="9" t="s">
        <v>162</v>
      </c>
      <c r="B3" s="17">
        <f>COUNTA(Emp_ID)</f>
        <v>36</v>
      </c>
    </row>
    <row r="4" spans="1:4" ht="23.25" customHeight="1" x14ac:dyDescent="0.3">
      <c r="A4" s="9" t="s">
        <v>134</v>
      </c>
      <c r="B4" s="10">
        <f>SUM(Annual_Salary)</f>
        <v>2055400</v>
      </c>
    </row>
    <row r="5" spans="1:4" ht="23.25" customHeight="1" x14ac:dyDescent="0.3">
      <c r="A5" s="9" t="s">
        <v>135</v>
      </c>
      <c r="B5" s="10">
        <f>AVERAGE(Annual_Salary)</f>
        <v>57094.444444444445</v>
      </c>
    </row>
    <row r="6" spans="1:4" ht="23.25" customHeight="1" x14ac:dyDescent="0.3">
      <c r="A6" s="9" t="s">
        <v>136</v>
      </c>
      <c r="B6" s="11">
        <f ca="1">MAX(Years_Service)</f>
        <v>19.805555555555557</v>
      </c>
    </row>
    <row r="7" spans="1:4" ht="23.25" customHeight="1" x14ac:dyDescent="0.3">
      <c r="A7" s="9" t="s">
        <v>137</v>
      </c>
      <c r="B7" s="12">
        <f>MAX(Date_of_Hire)</f>
        <v>42933</v>
      </c>
    </row>
    <row r="10" spans="1:4" x14ac:dyDescent="0.3">
      <c r="A10" s="9" t="s">
        <v>164</v>
      </c>
      <c r="B10" s="20" t="s">
        <v>167</v>
      </c>
    </row>
    <row r="11" spans="1:4" x14ac:dyDescent="0.3">
      <c r="A11" s="1" t="s">
        <v>168</v>
      </c>
      <c r="B11" s="6">
        <f>COUNTIFS(Gender,"M")</f>
        <v>18</v>
      </c>
    </row>
    <row r="12" spans="1:4" x14ac:dyDescent="0.3">
      <c r="A12" s="1" t="s">
        <v>169</v>
      </c>
      <c r="B12" s="6">
        <f>COUNTIFS(Gender,"F")</f>
        <v>18</v>
      </c>
    </row>
    <row r="15" spans="1:4" x14ac:dyDescent="0.3">
      <c r="A15" t="s">
        <v>5</v>
      </c>
      <c r="B15" t="s">
        <v>163</v>
      </c>
      <c r="C15" t="s">
        <v>165</v>
      </c>
      <c r="D15" t="s">
        <v>166</v>
      </c>
    </row>
    <row r="16" spans="1:4" x14ac:dyDescent="0.3">
      <c r="A16" s="1" t="s">
        <v>22</v>
      </c>
      <c r="B16" s="16">
        <f t="shared" ref="B16:B21" si="0">SUMIFS(Annual_Salary,Department,A16)</f>
        <v>197800</v>
      </c>
      <c r="C16" s="16">
        <f t="shared" ref="C16:C21" si="1">SUMIFS(Annual_Salary,Department,A16,Gender,$C$15)</f>
        <v>101400</v>
      </c>
      <c r="D16" s="16">
        <f t="shared" ref="D16:D21" si="2">SUMIFS(Annual_Salary,Department,A16,Gender,$D$15)</f>
        <v>96400</v>
      </c>
    </row>
    <row r="17" spans="1:4" x14ac:dyDescent="0.3">
      <c r="A17" s="1" t="s">
        <v>59</v>
      </c>
      <c r="B17" s="16">
        <f t="shared" si="0"/>
        <v>278500</v>
      </c>
      <c r="C17" s="16">
        <f t="shared" si="1"/>
        <v>178400</v>
      </c>
      <c r="D17" s="16">
        <f t="shared" si="2"/>
        <v>100100</v>
      </c>
    </row>
    <row r="18" spans="1:4" x14ac:dyDescent="0.3">
      <c r="A18" s="1" t="s">
        <v>55</v>
      </c>
      <c r="B18" s="16">
        <f t="shared" si="0"/>
        <v>807000</v>
      </c>
      <c r="C18" s="16">
        <f t="shared" si="1"/>
        <v>395600</v>
      </c>
      <c r="D18" s="16">
        <f t="shared" si="2"/>
        <v>411400</v>
      </c>
    </row>
    <row r="19" spans="1:4" x14ac:dyDescent="0.3">
      <c r="A19" s="1" t="s">
        <v>24</v>
      </c>
      <c r="B19" s="16">
        <f t="shared" si="0"/>
        <v>255500</v>
      </c>
      <c r="C19" s="16">
        <f t="shared" si="1"/>
        <v>59200</v>
      </c>
      <c r="D19" s="16">
        <f t="shared" si="2"/>
        <v>196300</v>
      </c>
    </row>
    <row r="20" spans="1:4" x14ac:dyDescent="0.3">
      <c r="A20" s="1" t="s">
        <v>15</v>
      </c>
      <c r="B20" s="16">
        <f t="shared" si="0"/>
        <v>227800</v>
      </c>
      <c r="C20" s="16">
        <f t="shared" si="1"/>
        <v>114400</v>
      </c>
      <c r="D20" s="16">
        <f t="shared" si="2"/>
        <v>113400</v>
      </c>
    </row>
    <row r="21" spans="1:4" x14ac:dyDescent="0.3">
      <c r="A21" s="1" t="s">
        <v>17</v>
      </c>
      <c r="B21" s="16">
        <f t="shared" si="0"/>
        <v>149700</v>
      </c>
      <c r="C21" s="16">
        <f t="shared" si="1"/>
        <v>86500</v>
      </c>
      <c r="D21" s="16">
        <f t="shared" si="2"/>
        <v>63200</v>
      </c>
    </row>
    <row r="22" spans="1:4" x14ac:dyDescent="0.3">
      <c r="A22" s="21" t="s">
        <v>175</v>
      </c>
      <c r="B22" s="16">
        <f>SUMIFS(Annual_Salary,Department,A22)</f>
        <v>97000</v>
      </c>
      <c r="C22" s="16">
        <f>SUMIFS(Annual_Salary,Department,A22,Gender,$C$15)</f>
        <v>97000</v>
      </c>
      <c r="D22" s="16">
        <f>SUMIFS(Annual_Salary,Department,A22,Gender,$D$15)</f>
        <v>0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68390-42CC-49C9-86FD-DE7217F1B13B}">
  <dimension ref="A1:P75"/>
  <sheetViews>
    <sheetView tabSelected="1" topLeftCell="A15" zoomScale="70" zoomScaleNormal="70" zoomScalePageLayoutView="70" workbookViewId="0">
      <selection activeCell="S30" sqref="S30"/>
    </sheetView>
  </sheetViews>
  <sheetFormatPr defaultColWidth="8.77734375" defaultRowHeight="14.4" outlineLevelRow="2" x14ac:dyDescent="0.3"/>
  <cols>
    <col min="1" max="1" width="9.109375" style="3" customWidth="1"/>
    <col min="2" max="2" width="13" customWidth="1"/>
    <col min="3" max="3" width="11.77734375" customWidth="1"/>
    <col min="4" max="4" width="9.44140625" style="3" customWidth="1"/>
    <col min="5" max="5" width="29.109375" bestFit="1" customWidth="1"/>
    <col min="6" max="6" width="14" style="3" customWidth="1"/>
    <col min="7" max="7" width="14.77734375" customWidth="1"/>
    <col min="8" max="8" width="17.6640625" customWidth="1"/>
    <col min="9" max="9" width="16.109375" customWidth="1"/>
    <col min="10" max="10" width="10.44140625" customWidth="1"/>
    <col min="11" max="11" width="12.77734375" customWidth="1"/>
    <col min="12" max="12" width="14.109375" customWidth="1"/>
    <col min="13" max="13" width="14.44140625" customWidth="1"/>
    <col min="14" max="14" width="15.109375" customWidth="1"/>
    <col min="15" max="15" width="11.33203125" bestFit="1" customWidth="1"/>
    <col min="16" max="16" width="13.33203125" bestFit="1" customWidth="1"/>
  </cols>
  <sheetData>
    <row r="1" spans="1:16" ht="28.8" x14ac:dyDescent="0.55000000000000004">
      <c r="A1" s="18" t="s">
        <v>95</v>
      </c>
      <c r="O1" s="14" t="s">
        <v>161</v>
      </c>
      <c r="P1" s="15">
        <v>0.09</v>
      </c>
    </row>
    <row r="2" spans="1:16" ht="15" thickBot="1" x14ac:dyDescent="0.35"/>
    <row r="3" spans="1:16" ht="15" thickBot="1" x14ac:dyDescent="0.35">
      <c r="A3" s="27" t="s">
        <v>0</v>
      </c>
      <c r="B3" s="27" t="s">
        <v>1</v>
      </c>
      <c r="C3" s="27" t="s">
        <v>2</v>
      </c>
      <c r="D3" s="27" t="s">
        <v>164</v>
      </c>
      <c r="E3" s="27" t="s">
        <v>3</v>
      </c>
      <c r="F3" s="27" t="s">
        <v>4</v>
      </c>
      <c r="G3" s="27" t="s">
        <v>62</v>
      </c>
      <c r="H3" s="27" t="s">
        <v>5</v>
      </c>
      <c r="I3" s="27" t="s">
        <v>6</v>
      </c>
      <c r="J3" s="27" t="s">
        <v>60</v>
      </c>
      <c r="K3" s="27" t="s">
        <v>7</v>
      </c>
      <c r="L3" s="27" t="s">
        <v>132</v>
      </c>
      <c r="M3" s="27" t="s">
        <v>133</v>
      </c>
      <c r="N3" s="27" t="s">
        <v>170</v>
      </c>
      <c r="O3" s="27" t="s">
        <v>160</v>
      </c>
      <c r="P3" s="27" t="s">
        <v>171</v>
      </c>
    </row>
    <row r="4" spans="1:16" outlineLevel="2" x14ac:dyDescent="0.3">
      <c r="A4" s="28" t="s">
        <v>8</v>
      </c>
      <c r="B4" s="29" t="s">
        <v>140</v>
      </c>
      <c r="C4" s="30" t="s">
        <v>23</v>
      </c>
      <c r="D4" s="31" t="s">
        <v>165</v>
      </c>
      <c r="E4" s="29" t="str">
        <f t="shared" ref="E4:E67" si="0">LOWER(C4&amp;"."&amp;B4&amp;"@pushpin.com")</f>
        <v>joe.carol@pushpin.com</v>
      </c>
      <c r="F4" s="32">
        <v>36923</v>
      </c>
      <c r="G4" s="33">
        <f t="shared" ref="G4:G67" ca="1" si="1">YEARFRAC(F4,TODAY())</f>
        <v>19.805555555555557</v>
      </c>
      <c r="H4" s="34" t="s">
        <v>22</v>
      </c>
      <c r="I4" s="35" t="s">
        <v>118</v>
      </c>
      <c r="J4" s="36" t="str">
        <f t="shared" ref="J4:J67" si="2">LEFT(I4,2)</f>
        <v>01</v>
      </c>
      <c r="K4" s="36" t="str">
        <f t="shared" ref="K4:K67" si="3">RIGHT(I4,4)</f>
        <v>2321</v>
      </c>
      <c r="L4" s="32">
        <v>42817</v>
      </c>
      <c r="M4" s="32">
        <f t="shared" ref="M4:M67" si="4">L4+365</f>
        <v>43182</v>
      </c>
      <c r="N4" s="37">
        <v>101400</v>
      </c>
      <c r="O4" s="38">
        <f t="shared" ref="O4:O67" si="5">N4*Pension_Rate</f>
        <v>9126</v>
      </c>
      <c r="P4" s="39">
        <f>SUM('Staff (2)'!$N4:$O4)</f>
        <v>110526</v>
      </c>
    </row>
    <row r="5" spans="1:16" outlineLevel="1" x14ac:dyDescent="0.3">
      <c r="A5" s="59"/>
      <c r="B5" s="60"/>
      <c r="C5" s="61"/>
      <c r="D5" s="62"/>
      <c r="E5" s="60"/>
      <c r="F5" s="63"/>
      <c r="G5" s="64"/>
      <c r="H5" s="69" t="s">
        <v>176</v>
      </c>
      <c r="I5" s="44"/>
      <c r="J5" s="65"/>
      <c r="K5" s="65"/>
      <c r="L5" s="63"/>
      <c r="M5" s="63"/>
      <c r="N5" s="66">
        <f>SUBTOTAL(9,N4:N4)</f>
        <v>101400</v>
      </c>
      <c r="O5" s="67">
        <f>SUBTOTAL(9,O4:O4)</f>
        <v>9126</v>
      </c>
      <c r="P5" s="68">
        <f>SUBTOTAL(9,P4:P4)</f>
        <v>110526</v>
      </c>
    </row>
    <row r="6" spans="1:16" outlineLevel="2" x14ac:dyDescent="0.3">
      <c r="A6" s="40" t="s">
        <v>9</v>
      </c>
      <c r="B6" s="25" t="s">
        <v>144</v>
      </c>
      <c r="C6" s="2" t="s">
        <v>56</v>
      </c>
      <c r="D6" s="19" t="s">
        <v>165</v>
      </c>
      <c r="E6" s="25" t="str">
        <f t="shared" si="0"/>
        <v>eric.chung@pushpin.com</v>
      </c>
      <c r="F6" s="41">
        <v>36949</v>
      </c>
      <c r="G6" s="42">
        <f t="shared" ca="1" si="1"/>
        <v>19.733333333333334</v>
      </c>
      <c r="H6" s="43" t="s">
        <v>59</v>
      </c>
      <c r="I6" s="44" t="s">
        <v>105</v>
      </c>
      <c r="J6" s="45" t="str">
        <f t="shared" si="2"/>
        <v>03</v>
      </c>
      <c r="K6" s="45" t="str">
        <f t="shared" si="3"/>
        <v>2796</v>
      </c>
      <c r="L6" s="41">
        <v>42731</v>
      </c>
      <c r="M6" s="41">
        <f t="shared" si="4"/>
        <v>43096</v>
      </c>
      <c r="N6" s="46">
        <v>70300</v>
      </c>
      <c r="O6" s="47">
        <f t="shared" si="5"/>
        <v>6327</v>
      </c>
      <c r="P6" s="48">
        <f>SUM('Staff (2)'!$N6:$O6)</f>
        <v>76627</v>
      </c>
    </row>
    <row r="7" spans="1:16" outlineLevel="1" x14ac:dyDescent="0.3">
      <c r="A7" s="40"/>
      <c r="B7" s="25"/>
      <c r="C7" s="2"/>
      <c r="D7" s="19"/>
      <c r="E7" s="25"/>
      <c r="F7" s="41"/>
      <c r="G7" s="42"/>
      <c r="H7" s="69" t="s">
        <v>177</v>
      </c>
      <c r="I7" s="44"/>
      <c r="J7" s="45"/>
      <c r="K7" s="45"/>
      <c r="L7" s="41"/>
      <c r="M7" s="41"/>
      <c r="N7" s="46">
        <f>SUBTOTAL(9,N6:N6)</f>
        <v>70300</v>
      </c>
      <c r="O7" s="47">
        <f>SUBTOTAL(9,O6:O6)</f>
        <v>6327</v>
      </c>
      <c r="P7" s="48">
        <f>SUM('Staff (2)'!$N7:$O7)</f>
        <v>76627</v>
      </c>
    </row>
    <row r="8" spans="1:16" outlineLevel="2" x14ac:dyDescent="0.3">
      <c r="A8" s="40" t="s">
        <v>11</v>
      </c>
      <c r="B8" s="25" t="s">
        <v>155</v>
      </c>
      <c r="C8" s="2" t="s">
        <v>10</v>
      </c>
      <c r="D8" s="19" t="s">
        <v>165</v>
      </c>
      <c r="E8" s="25" t="str">
        <f t="shared" si="0"/>
        <v>daniel.flanders@pushpin.com</v>
      </c>
      <c r="F8" s="41">
        <v>37510</v>
      </c>
      <c r="G8" s="42">
        <f t="shared" ca="1" si="1"/>
        <v>18.194444444444443</v>
      </c>
      <c r="H8" s="43" t="s">
        <v>55</v>
      </c>
      <c r="I8" s="44" t="s">
        <v>124</v>
      </c>
      <c r="J8" s="45" t="str">
        <f t="shared" si="2"/>
        <v>02</v>
      </c>
      <c r="K8" s="45" t="str">
        <f t="shared" si="3"/>
        <v>2639</v>
      </c>
      <c r="L8" s="41">
        <v>42590</v>
      </c>
      <c r="M8" s="41">
        <f t="shared" si="4"/>
        <v>42955</v>
      </c>
      <c r="N8" s="46">
        <v>68800</v>
      </c>
      <c r="O8" s="47">
        <f t="shared" si="5"/>
        <v>6192</v>
      </c>
      <c r="P8" s="48">
        <f>SUM('Staff (2)'!$N8:$O8)</f>
        <v>74992</v>
      </c>
    </row>
    <row r="9" spans="1:16" outlineLevel="1" x14ac:dyDescent="0.3">
      <c r="A9" s="40"/>
      <c r="B9" s="25"/>
      <c r="C9" s="2"/>
      <c r="D9" s="19"/>
      <c r="E9" s="25"/>
      <c r="F9" s="41"/>
      <c r="G9" s="42"/>
      <c r="H9" s="69" t="s">
        <v>178</v>
      </c>
      <c r="I9" s="44"/>
      <c r="J9" s="45"/>
      <c r="K9" s="45"/>
      <c r="L9" s="41"/>
      <c r="M9" s="41"/>
      <c r="N9" s="46">
        <f>SUBTOTAL(9,N8:N8)</f>
        <v>68800</v>
      </c>
      <c r="O9" s="47">
        <f>SUBTOTAL(9,O8:O8)</f>
        <v>6192</v>
      </c>
      <c r="P9" s="48">
        <f>SUM('Staff (2)'!$N9:$O9)</f>
        <v>74992</v>
      </c>
    </row>
    <row r="10" spans="1:16" outlineLevel="2" x14ac:dyDescent="0.3">
      <c r="A10" s="40" t="s">
        <v>63</v>
      </c>
      <c r="B10" s="25" t="s">
        <v>138</v>
      </c>
      <c r="C10" s="2" t="s">
        <v>12</v>
      </c>
      <c r="D10" s="19" t="s">
        <v>165</v>
      </c>
      <c r="E10" s="25" t="str">
        <f t="shared" si="0"/>
        <v>adam.barry@pushpin.com</v>
      </c>
      <c r="F10" s="41">
        <v>38099</v>
      </c>
      <c r="G10" s="42">
        <f t="shared" ca="1" si="1"/>
        <v>16.580555555555556</v>
      </c>
      <c r="H10" s="43" t="s">
        <v>24</v>
      </c>
      <c r="I10" s="44" t="s">
        <v>97</v>
      </c>
      <c r="J10" s="45" t="str">
        <f t="shared" si="2"/>
        <v>02</v>
      </c>
      <c r="K10" s="45" t="str">
        <f t="shared" si="3"/>
        <v>2018</v>
      </c>
      <c r="L10" s="41">
        <v>42860</v>
      </c>
      <c r="M10" s="41">
        <f t="shared" si="4"/>
        <v>43225</v>
      </c>
      <c r="N10" s="46">
        <v>59200</v>
      </c>
      <c r="O10" s="47">
        <f t="shared" si="5"/>
        <v>5328</v>
      </c>
      <c r="P10" s="48">
        <f>SUM('Staff (2)'!$N10:$O10)</f>
        <v>64528</v>
      </c>
    </row>
    <row r="11" spans="1:16" ht="28.8" outlineLevel="1" x14ac:dyDescent="0.3">
      <c r="A11" s="40"/>
      <c r="B11" s="25"/>
      <c r="C11" s="2"/>
      <c r="D11" s="19"/>
      <c r="E11" s="25"/>
      <c r="F11" s="41"/>
      <c r="G11" s="42"/>
      <c r="H11" s="69" t="s">
        <v>179</v>
      </c>
      <c r="I11" s="44"/>
      <c r="J11" s="45"/>
      <c r="K11" s="45"/>
      <c r="L11" s="41"/>
      <c r="M11" s="41"/>
      <c r="N11" s="46">
        <f>SUBTOTAL(9,N10:N10)</f>
        <v>59200</v>
      </c>
      <c r="O11" s="47">
        <f>SUBTOTAL(9,O10:O10)</f>
        <v>5328</v>
      </c>
      <c r="P11" s="48">
        <f>SUM('Staff (2)'!$N11:$O11)</f>
        <v>64528</v>
      </c>
    </row>
    <row r="12" spans="1:16" outlineLevel="2" x14ac:dyDescent="0.3">
      <c r="A12" s="40" t="s">
        <v>64</v>
      </c>
      <c r="B12" s="25" t="s">
        <v>153</v>
      </c>
      <c r="C12" s="2" t="s">
        <v>21</v>
      </c>
      <c r="D12" s="19" t="s">
        <v>166</v>
      </c>
      <c r="E12" s="25" t="str">
        <f t="shared" si="0"/>
        <v>mary.ferris@pushpin.com</v>
      </c>
      <c r="F12" s="41">
        <v>38548</v>
      </c>
      <c r="G12" s="42">
        <f t="shared" ca="1" si="1"/>
        <v>15.35</v>
      </c>
      <c r="H12" s="43" t="s">
        <v>55</v>
      </c>
      <c r="I12" s="44" t="s">
        <v>123</v>
      </c>
      <c r="J12" s="45" t="str">
        <f t="shared" si="2"/>
        <v>03</v>
      </c>
      <c r="K12" s="45" t="str">
        <f t="shared" si="3"/>
        <v>2392</v>
      </c>
      <c r="L12" s="41">
        <v>42598</v>
      </c>
      <c r="M12" s="41">
        <f t="shared" si="4"/>
        <v>42963</v>
      </c>
      <c r="N12" s="46">
        <v>62900</v>
      </c>
      <c r="O12" s="47">
        <f t="shared" si="5"/>
        <v>5661</v>
      </c>
      <c r="P12" s="48">
        <f>SUM('Staff (2)'!$N12:$O12)</f>
        <v>68561</v>
      </c>
    </row>
    <row r="13" spans="1:16" outlineLevel="1" x14ac:dyDescent="0.3">
      <c r="A13" s="40"/>
      <c r="B13" s="25"/>
      <c r="C13" s="2"/>
      <c r="D13" s="19"/>
      <c r="E13" s="25"/>
      <c r="F13" s="41"/>
      <c r="G13" s="42"/>
      <c r="H13" s="69" t="s">
        <v>178</v>
      </c>
      <c r="I13" s="44"/>
      <c r="J13" s="45"/>
      <c r="K13" s="45"/>
      <c r="L13" s="41"/>
      <c r="M13" s="41"/>
      <c r="N13" s="46">
        <f>SUBTOTAL(9,N12:N12)</f>
        <v>62900</v>
      </c>
      <c r="O13" s="47">
        <f>SUBTOTAL(9,O12:O12)</f>
        <v>5661</v>
      </c>
      <c r="P13" s="48">
        <f>SUM('Staff (2)'!$N13:$O13)</f>
        <v>68561</v>
      </c>
    </row>
    <row r="14" spans="1:16" outlineLevel="2" x14ac:dyDescent="0.3">
      <c r="A14" s="40" t="s">
        <v>65</v>
      </c>
      <c r="B14" s="25" t="s">
        <v>154</v>
      </c>
      <c r="C14" s="2" t="s">
        <v>14</v>
      </c>
      <c r="D14" s="19" t="s">
        <v>166</v>
      </c>
      <c r="E14" s="25" t="str">
        <f t="shared" si="0"/>
        <v>susan.filosa@pushpin.com</v>
      </c>
      <c r="F14" s="41">
        <v>38744</v>
      </c>
      <c r="G14" s="42">
        <f t="shared" ca="1" si="1"/>
        <v>14.816666666666666</v>
      </c>
      <c r="H14" s="43" t="s">
        <v>24</v>
      </c>
      <c r="I14" s="44" t="s">
        <v>112</v>
      </c>
      <c r="J14" s="45" t="str">
        <f t="shared" si="2"/>
        <v>02</v>
      </c>
      <c r="K14" s="45" t="str">
        <f t="shared" si="3"/>
        <v>2279</v>
      </c>
      <c r="L14" s="41">
        <v>42596</v>
      </c>
      <c r="M14" s="41">
        <f t="shared" si="4"/>
        <v>42961</v>
      </c>
      <c r="N14" s="46">
        <v>58400</v>
      </c>
      <c r="O14" s="47">
        <f t="shared" si="5"/>
        <v>5256</v>
      </c>
      <c r="P14" s="48">
        <f>SUM('Staff (2)'!$N14:$O14)</f>
        <v>63656</v>
      </c>
    </row>
    <row r="15" spans="1:16" ht="28.8" outlineLevel="1" x14ac:dyDescent="0.3">
      <c r="A15" s="40"/>
      <c r="B15" s="25"/>
      <c r="C15" s="2"/>
      <c r="D15" s="19"/>
      <c r="E15" s="25"/>
      <c r="F15" s="41"/>
      <c r="G15" s="42"/>
      <c r="H15" s="69" t="s">
        <v>179</v>
      </c>
      <c r="I15" s="44"/>
      <c r="J15" s="45"/>
      <c r="K15" s="45"/>
      <c r="L15" s="41"/>
      <c r="M15" s="41"/>
      <c r="N15" s="46">
        <f>SUBTOTAL(9,N14:N14)</f>
        <v>58400</v>
      </c>
      <c r="O15" s="47">
        <f>SUBTOTAL(9,O14:O14)</f>
        <v>5256</v>
      </c>
      <c r="P15" s="48">
        <f>SUM('Staff (2)'!$N15:$O15)</f>
        <v>63656</v>
      </c>
    </row>
    <row r="16" spans="1:16" outlineLevel="2" x14ac:dyDescent="0.3">
      <c r="A16" s="40" t="s">
        <v>66</v>
      </c>
      <c r="B16" s="25" t="s">
        <v>29</v>
      </c>
      <c r="C16" s="2" t="s">
        <v>28</v>
      </c>
      <c r="D16" s="19" t="s">
        <v>166</v>
      </c>
      <c r="E16" s="25" t="str">
        <f t="shared" si="0"/>
        <v>tina.carlton@pushpin.com</v>
      </c>
      <c r="F16" s="41">
        <v>38798</v>
      </c>
      <c r="G16" s="42">
        <f t="shared" ca="1" si="1"/>
        <v>14.66388888888889</v>
      </c>
      <c r="H16" s="43" t="s">
        <v>55</v>
      </c>
      <c r="I16" s="44" t="s">
        <v>101</v>
      </c>
      <c r="J16" s="45" t="str">
        <f t="shared" si="2"/>
        <v>02</v>
      </c>
      <c r="K16" s="45" t="str">
        <f t="shared" si="3"/>
        <v>2699</v>
      </c>
      <c r="L16" s="41">
        <v>42825</v>
      </c>
      <c r="M16" s="41">
        <f t="shared" si="4"/>
        <v>43190</v>
      </c>
      <c r="N16" s="46">
        <v>59200</v>
      </c>
      <c r="O16" s="47">
        <f t="shared" si="5"/>
        <v>5328</v>
      </c>
      <c r="P16" s="48">
        <f>SUM('Staff (2)'!$N16:$O16)</f>
        <v>64528</v>
      </c>
    </row>
    <row r="17" spans="1:16" outlineLevel="1" x14ac:dyDescent="0.3">
      <c r="A17" s="40"/>
      <c r="B17" s="25"/>
      <c r="C17" s="2"/>
      <c r="D17" s="19"/>
      <c r="E17" s="25"/>
      <c r="F17" s="41"/>
      <c r="G17" s="42"/>
      <c r="H17" s="69" t="s">
        <v>178</v>
      </c>
      <c r="I17" s="44"/>
      <c r="J17" s="45"/>
      <c r="K17" s="45"/>
      <c r="L17" s="41"/>
      <c r="M17" s="41"/>
      <c r="N17" s="46">
        <f>SUBTOTAL(9,N16:N16)</f>
        <v>59200</v>
      </c>
      <c r="O17" s="47">
        <f>SUBTOTAL(9,O16:O16)</f>
        <v>5328</v>
      </c>
      <c r="P17" s="48">
        <f>SUM('Staff (2)'!$N17:$O17)</f>
        <v>64528</v>
      </c>
    </row>
    <row r="18" spans="1:16" outlineLevel="2" x14ac:dyDescent="0.3">
      <c r="A18" s="40" t="s">
        <v>67</v>
      </c>
      <c r="B18" s="25" t="s">
        <v>51</v>
      </c>
      <c r="C18" s="2" t="s">
        <v>50</v>
      </c>
      <c r="D18" s="19" t="s">
        <v>165</v>
      </c>
      <c r="E18" s="25" t="str">
        <f t="shared" si="0"/>
        <v>nicholas.fernandes@pushpin.com</v>
      </c>
      <c r="F18" s="41">
        <v>39023</v>
      </c>
      <c r="G18" s="42">
        <f t="shared" ca="1" si="1"/>
        <v>14.052777777777777</v>
      </c>
      <c r="H18" s="43" t="s">
        <v>15</v>
      </c>
      <c r="I18" s="44" t="s">
        <v>122</v>
      </c>
      <c r="J18" s="45" t="str">
        <f t="shared" si="2"/>
        <v>02</v>
      </c>
      <c r="K18" s="45" t="str">
        <f t="shared" si="3"/>
        <v>2372</v>
      </c>
      <c r="L18" s="41">
        <v>42614</v>
      </c>
      <c r="M18" s="41">
        <f t="shared" si="4"/>
        <v>42979</v>
      </c>
      <c r="N18" s="46">
        <v>51600</v>
      </c>
      <c r="O18" s="47">
        <f t="shared" si="5"/>
        <v>4644</v>
      </c>
      <c r="P18" s="48">
        <f>SUM('Staff (2)'!$N18:$O18)</f>
        <v>56244</v>
      </c>
    </row>
    <row r="19" spans="1:16" outlineLevel="1" x14ac:dyDescent="0.3">
      <c r="A19" s="40"/>
      <c r="B19" s="25"/>
      <c r="C19" s="2"/>
      <c r="D19" s="19"/>
      <c r="E19" s="25"/>
      <c r="F19" s="41"/>
      <c r="G19" s="42"/>
      <c r="H19" s="69" t="s">
        <v>180</v>
      </c>
      <c r="I19" s="44"/>
      <c r="J19" s="45"/>
      <c r="K19" s="45"/>
      <c r="L19" s="41"/>
      <c r="M19" s="41"/>
      <c r="N19" s="46">
        <f>SUBTOTAL(9,N18:N18)</f>
        <v>51600</v>
      </c>
      <c r="O19" s="47">
        <f>SUBTOTAL(9,O18:O18)</f>
        <v>4644</v>
      </c>
      <c r="P19" s="48">
        <f>SUM('Staff (2)'!$N19:$O19)</f>
        <v>56244</v>
      </c>
    </row>
    <row r="20" spans="1:16" outlineLevel="2" x14ac:dyDescent="0.3">
      <c r="A20" s="40" t="s">
        <v>68</v>
      </c>
      <c r="B20" s="25" t="s">
        <v>49</v>
      </c>
      <c r="C20" s="2" t="s">
        <v>48</v>
      </c>
      <c r="D20" s="19" t="s">
        <v>165</v>
      </c>
      <c r="E20" s="25" t="str">
        <f t="shared" si="0"/>
        <v>stevie.bacata@pushpin.com</v>
      </c>
      <c r="F20" s="41">
        <v>39551</v>
      </c>
      <c r="G20" s="42">
        <f t="shared" ca="1" si="1"/>
        <v>12.605555555555556</v>
      </c>
      <c r="H20" s="43" t="s">
        <v>55</v>
      </c>
      <c r="I20" s="44" t="s">
        <v>96</v>
      </c>
      <c r="J20" s="45" t="str">
        <f t="shared" si="2"/>
        <v>02</v>
      </c>
      <c r="K20" s="45" t="str">
        <f t="shared" si="3"/>
        <v>2635</v>
      </c>
      <c r="L20" s="41">
        <v>42507</v>
      </c>
      <c r="M20" s="41">
        <f t="shared" si="4"/>
        <v>42872</v>
      </c>
      <c r="N20" s="46">
        <v>58200</v>
      </c>
      <c r="O20" s="47">
        <f t="shared" si="5"/>
        <v>5238</v>
      </c>
      <c r="P20" s="48">
        <f>SUM('Staff (2)'!$N20:$O20)</f>
        <v>63438</v>
      </c>
    </row>
    <row r="21" spans="1:16" outlineLevel="1" x14ac:dyDescent="0.3">
      <c r="A21" s="40"/>
      <c r="B21" s="25"/>
      <c r="C21" s="2"/>
      <c r="D21" s="19"/>
      <c r="E21" s="25"/>
      <c r="F21" s="41"/>
      <c r="G21" s="42"/>
      <c r="H21" s="69" t="s">
        <v>178</v>
      </c>
      <c r="I21" s="44"/>
      <c r="J21" s="45"/>
      <c r="K21" s="45"/>
      <c r="L21" s="41"/>
      <c r="M21" s="41"/>
      <c r="N21" s="46">
        <f>SUBTOTAL(9,N20:N20)</f>
        <v>58200</v>
      </c>
      <c r="O21" s="47">
        <f>SUBTOTAL(9,O20:O20)</f>
        <v>5238</v>
      </c>
      <c r="P21" s="48">
        <f>SUM('Staff (2)'!$N21:$O21)</f>
        <v>63438</v>
      </c>
    </row>
    <row r="22" spans="1:16" outlineLevel="2" x14ac:dyDescent="0.3">
      <c r="A22" s="40" t="s">
        <v>69</v>
      </c>
      <c r="B22" s="25" t="s">
        <v>148</v>
      </c>
      <c r="C22" s="2" t="s">
        <v>18</v>
      </c>
      <c r="D22" s="19" t="s">
        <v>166</v>
      </c>
      <c r="E22" s="25" t="str">
        <f t="shared" si="0"/>
        <v>janet.comuntzis@pushpin.com</v>
      </c>
      <c r="F22" s="41">
        <v>39686</v>
      </c>
      <c r="G22" s="42">
        <f t="shared" ca="1" si="1"/>
        <v>12.236111111111111</v>
      </c>
      <c r="H22" s="43" t="s">
        <v>24</v>
      </c>
      <c r="I22" s="44" t="s">
        <v>109</v>
      </c>
      <c r="J22" s="45" t="str">
        <f t="shared" si="2"/>
        <v>02</v>
      </c>
      <c r="K22" s="45" t="str">
        <f t="shared" si="3"/>
        <v>2286</v>
      </c>
      <c r="L22" s="41">
        <v>42658</v>
      </c>
      <c r="M22" s="41">
        <f t="shared" si="4"/>
        <v>43023</v>
      </c>
      <c r="N22" s="46">
        <v>55800</v>
      </c>
      <c r="O22" s="47">
        <f t="shared" si="5"/>
        <v>5022</v>
      </c>
      <c r="P22" s="48">
        <f>SUM('Staff (2)'!$N22:$O22)</f>
        <v>60822</v>
      </c>
    </row>
    <row r="23" spans="1:16" ht="28.8" outlineLevel="1" x14ac:dyDescent="0.3">
      <c r="A23" s="40"/>
      <c r="B23" s="25"/>
      <c r="C23" s="2"/>
      <c r="D23" s="19"/>
      <c r="E23" s="25"/>
      <c r="F23" s="41"/>
      <c r="G23" s="42"/>
      <c r="H23" s="69" t="s">
        <v>179</v>
      </c>
      <c r="I23" s="44"/>
      <c r="J23" s="45"/>
      <c r="K23" s="45"/>
      <c r="L23" s="41"/>
      <c r="M23" s="41"/>
      <c r="N23" s="46">
        <f>SUBTOTAL(9,N22:N22)</f>
        <v>55800</v>
      </c>
      <c r="O23" s="47">
        <f>SUBTOTAL(9,O22:O22)</f>
        <v>5022</v>
      </c>
      <c r="P23" s="48">
        <f>SUM('Staff (2)'!$N23:$O23)</f>
        <v>60822</v>
      </c>
    </row>
    <row r="24" spans="1:16" outlineLevel="2" x14ac:dyDescent="0.3">
      <c r="A24" s="40" t="s">
        <v>70</v>
      </c>
      <c r="B24" s="25" t="s">
        <v>33</v>
      </c>
      <c r="C24" s="2" t="s">
        <v>32</v>
      </c>
      <c r="D24" s="19" t="s">
        <v>165</v>
      </c>
      <c r="E24" s="25" t="str">
        <f t="shared" si="0"/>
        <v>mihael.khan@pushpin.com</v>
      </c>
      <c r="F24" s="41">
        <v>40160</v>
      </c>
      <c r="G24" s="42">
        <f t="shared" ca="1" si="1"/>
        <v>10.938888888888888</v>
      </c>
      <c r="H24" s="43" t="s">
        <v>55</v>
      </c>
      <c r="I24" s="44" t="s">
        <v>127</v>
      </c>
      <c r="J24" s="45" t="str">
        <f t="shared" si="2"/>
        <v>02</v>
      </c>
      <c r="K24" s="45" t="str">
        <f t="shared" si="3"/>
        <v>2294</v>
      </c>
      <c r="L24" s="41">
        <v>42566</v>
      </c>
      <c r="M24" s="41">
        <f t="shared" si="4"/>
        <v>42931</v>
      </c>
      <c r="N24" s="46">
        <v>55500</v>
      </c>
      <c r="O24" s="47">
        <f t="shared" si="5"/>
        <v>4995</v>
      </c>
      <c r="P24" s="48">
        <f>SUM('Staff (2)'!$N24:$O24)</f>
        <v>60495</v>
      </c>
    </row>
    <row r="25" spans="1:16" outlineLevel="1" x14ac:dyDescent="0.3">
      <c r="A25" s="40"/>
      <c r="B25" s="25"/>
      <c r="C25" s="2"/>
      <c r="D25" s="19"/>
      <c r="E25" s="25"/>
      <c r="F25" s="41"/>
      <c r="G25" s="42"/>
      <c r="H25" s="69" t="s">
        <v>178</v>
      </c>
      <c r="I25" s="44"/>
      <c r="J25" s="45"/>
      <c r="K25" s="45"/>
      <c r="L25" s="41"/>
      <c r="M25" s="41"/>
      <c r="N25" s="46">
        <f>SUBTOTAL(9,N24:N24)</f>
        <v>55500</v>
      </c>
      <c r="O25" s="47">
        <f>SUBTOTAL(9,O24:O24)</f>
        <v>4995</v>
      </c>
      <c r="P25" s="48">
        <f>SUM('Staff (2)'!$N25:$O25)</f>
        <v>60495</v>
      </c>
    </row>
    <row r="26" spans="1:16" outlineLevel="2" x14ac:dyDescent="0.3">
      <c r="A26" s="40" t="s">
        <v>71</v>
      </c>
      <c r="B26" s="25" t="s">
        <v>143</v>
      </c>
      <c r="C26" s="2" t="s">
        <v>16</v>
      </c>
      <c r="D26" s="19" t="s">
        <v>166</v>
      </c>
      <c r="E26" s="25" t="str">
        <f t="shared" si="0"/>
        <v>elizabeth.chu@pushpin.com</v>
      </c>
      <c r="F26" s="41">
        <v>40220</v>
      </c>
      <c r="G26" s="42">
        <f t="shared" ca="1" si="1"/>
        <v>10.777777777777779</v>
      </c>
      <c r="H26" s="43" t="s">
        <v>59</v>
      </c>
      <c r="I26" s="44" t="s">
        <v>104</v>
      </c>
      <c r="J26" s="45" t="str">
        <f t="shared" si="2"/>
        <v>01</v>
      </c>
      <c r="K26" s="45" t="str">
        <f t="shared" si="3"/>
        <v>2425</v>
      </c>
      <c r="L26" s="41">
        <v>42761</v>
      </c>
      <c r="M26" s="41">
        <f t="shared" si="4"/>
        <v>43126</v>
      </c>
      <c r="N26" s="46">
        <v>48400</v>
      </c>
      <c r="O26" s="47">
        <f t="shared" si="5"/>
        <v>4356</v>
      </c>
      <c r="P26" s="48">
        <f>SUM('Staff (2)'!$N26:$O26)</f>
        <v>52756</v>
      </c>
    </row>
    <row r="27" spans="1:16" outlineLevel="1" x14ac:dyDescent="0.3">
      <c r="A27" s="40"/>
      <c r="B27" s="25"/>
      <c r="C27" s="2"/>
      <c r="D27" s="19"/>
      <c r="E27" s="25"/>
      <c r="F27" s="41"/>
      <c r="G27" s="42"/>
      <c r="H27" s="69" t="s">
        <v>177</v>
      </c>
      <c r="I27" s="44"/>
      <c r="J27" s="45"/>
      <c r="K27" s="45"/>
      <c r="L27" s="41"/>
      <c r="M27" s="41"/>
      <c r="N27" s="46">
        <f>SUBTOTAL(9,N26:N26)</f>
        <v>48400</v>
      </c>
      <c r="O27" s="47">
        <f>SUBTOTAL(9,O26:O26)</f>
        <v>4356</v>
      </c>
      <c r="P27" s="48">
        <f>SUM('Staff (2)'!$N27:$O27)</f>
        <v>52756</v>
      </c>
    </row>
    <row r="28" spans="1:16" outlineLevel="2" x14ac:dyDescent="0.3">
      <c r="A28" s="40" t="s">
        <v>72</v>
      </c>
      <c r="B28" s="25" t="s">
        <v>31</v>
      </c>
      <c r="C28" s="2" t="s">
        <v>30</v>
      </c>
      <c r="D28" s="19" t="s">
        <v>166</v>
      </c>
      <c r="E28" s="25" t="str">
        <f t="shared" si="0"/>
        <v>samantha.chairs@pushpin.com</v>
      </c>
      <c r="F28" s="41">
        <v>40595</v>
      </c>
      <c r="G28" s="42">
        <f t="shared" ca="1" si="1"/>
        <v>9.75</v>
      </c>
      <c r="H28" s="43" t="s">
        <v>55</v>
      </c>
      <c r="I28" s="44" t="s">
        <v>103</v>
      </c>
      <c r="J28" s="45" t="str">
        <f t="shared" si="2"/>
        <v>02</v>
      </c>
      <c r="K28" s="45" t="str">
        <f t="shared" si="3"/>
        <v>2962</v>
      </c>
      <c r="L28" s="41">
        <v>42801</v>
      </c>
      <c r="M28" s="41">
        <f t="shared" si="4"/>
        <v>43166</v>
      </c>
      <c r="N28" s="46">
        <v>59300</v>
      </c>
      <c r="O28" s="47">
        <f t="shared" si="5"/>
        <v>5337</v>
      </c>
      <c r="P28" s="48">
        <f>SUM('Staff (2)'!$N28:$O28)</f>
        <v>64637</v>
      </c>
    </row>
    <row r="29" spans="1:16" outlineLevel="2" x14ac:dyDescent="0.3">
      <c r="A29" s="40" t="s">
        <v>73</v>
      </c>
      <c r="B29" s="25" t="s">
        <v>39</v>
      </c>
      <c r="C29" s="2" t="s">
        <v>38</v>
      </c>
      <c r="D29" s="19" t="s">
        <v>166</v>
      </c>
      <c r="E29" s="25" t="str">
        <f t="shared" si="0"/>
        <v>natasha.song@pushpin.com</v>
      </c>
      <c r="F29" s="41">
        <v>40713</v>
      </c>
      <c r="G29" s="42">
        <f t="shared" ca="1" si="1"/>
        <v>9.4222222222222225</v>
      </c>
      <c r="H29" s="43" t="s">
        <v>55</v>
      </c>
      <c r="I29" s="44" t="s">
        <v>129</v>
      </c>
      <c r="J29" s="45" t="str">
        <f t="shared" si="2"/>
        <v>02</v>
      </c>
      <c r="K29" s="45" t="str">
        <f t="shared" si="3"/>
        <v>2578</v>
      </c>
      <c r="L29" s="41">
        <v>42552</v>
      </c>
      <c r="M29" s="41">
        <f t="shared" si="4"/>
        <v>42917</v>
      </c>
      <c r="N29" s="46">
        <v>56000</v>
      </c>
      <c r="O29" s="47">
        <f t="shared" si="5"/>
        <v>5040</v>
      </c>
      <c r="P29" s="48">
        <f>SUM('Staff (2)'!$N29:$O29)</f>
        <v>61040</v>
      </c>
    </row>
    <row r="30" spans="1:16" outlineLevel="1" x14ac:dyDescent="0.3">
      <c r="A30" s="40"/>
      <c r="B30" s="25"/>
      <c r="C30" s="2"/>
      <c r="D30" s="19"/>
      <c r="E30" s="25"/>
      <c r="F30" s="41"/>
      <c r="G30" s="42"/>
      <c r="H30" s="69" t="s">
        <v>178</v>
      </c>
      <c r="I30" s="44"/>
      <c r="J30" s="45"/>
      <c r="K30" s="45"/>
      <c r="L30" s="41"/>
      <c r="M30" s="41"/>
      <c r="N30" s="46">
        <f>SUBTOTAL(9,N28:N29)</f>
        <v>115300</v>
      </c>
      <c r="O30" s="47">
        <f>SUBTOTAL(9,O28:O29)</f>
        <v>10377</v>
      </c>
      <c r="P30" s="48">
        <f>SUM('Staff (2)'!$N30:$O30)</f>
        <v>125677</v>
      </c>
    </row>
    <row r="31" spans="1:16" outlineLevel="2" x14ac:dyDescent="0.3">
      <c r="A31" s="40" t="s">
        <v>74</v>
      </c>
      <c r="B31" s="25" t="s">
        <v>142</v>
      </c>
      <c r="C31" s="2" t="s">
        <v>61</v>
      </c>
      <c r="D31" s="19" t="s">
        <v>166</v>
      </c>
      <c r="E31" s="25" t="str">
        <f t="shared" si="0"/>
        <v>uma.chaudri@pushpin.com</v>
      </c>
      <c r="F31" s="41">
        <v>40994</v>
      </c>
      <c r="G31" s="42">
        <f t="shared" ca="1" si="1"/>
        <v>8.6527777777777786</v>
      </c>
      <c r="H31" s="43" t="s">
        <v>17</v>
      </c>
      <c r="I31" s="44" t="s">
        <v>119</v>
      </c>
      <c r="J31" s="45" t="str">
        <f t="shared" si="2"/>
        <v>03</v>
      </c>
      <c r="K31" s="45" t="str">
        <f t="shared" si="3"/>
        <v>2134</v>
      </c>
      <c r="L31" s="41">
        <v>42776</v>
      </c>
      <c r="M31" s="41">
        <f t="shared" si="4"/>
        <v>43141</v>
      </c>
      <c r="N31" s="46">
        <v>63200</v>
      </c>
      <c r="O31" s="47">
        <f t="shared" si="5"/>
        <v>5688</v>
      </c>
      <c r="P31" s="48">
        <f>SUM('Staff (2)'!$N31:$O31)</f>
        <v>68888</v>
      </c>
    </row>
    <row r="32" spans="1:16" ht="28.8" outlineLevel="1" x14ac:dyDescent="0.3">
      <c r="A32" s="40"/>
      <c r="B32" s="25"/>
      <c r="C32" s="2"/>
      <c r="D32" s="19"/>
      <c r="E32" s="25"/>
      <c r="F32" s="41"/>
      <c r="G32" s="42"/>
      <c r="H32" s="69" t="s">
        <v>181</v>
      </c>
      <c r="I32" s="44"/>
      <c r="J32" s="45"/>
      <c r="K32" s="45"/>
      <c r="L32" s="41"/>
      <c r="M32" s="41"/>
      <c r="N32" s="46">
        <f>SUBTOTAL(9,N31:N31)</f>
        <v>63200</v>
      </c>
      <c r="O32" s="47">
        <f>SUBTOTAL(9,O31:O31)</f>
        <v>5688</v>
      </c>
      <c r="P32" s="48">
        <f>SUM('Staff (2)'!$N32:$O32)</f>
        <v>68888</v>
      </c>
    </row>
    <row r="33" spans="1:16" outlineLevel="2" x14ac:dyDescent="0.3">
      <c r="A33" s="40" t="s">
        <v>75</v>
      </c>
      <c r="B33" s="25" t="s">
        <v>150</v>
      </c>
      <c r="C33" s="2" t="s">
        <v>28</v>
      </c>
      <c r="D33" s="19" t="s">
        <v>166</v>
      </c>
      <c r="E33" s="25" t="str">
        <f t="shared" si="0"/>
        <v>tina.desiato@pushpin.com</v>
      </c>
      <c r="F33" s="41">
        <v>41175</v>
      </c>
      <c r="G33" s="42">
        <f t="shared" ca="1" si="1"/>
        <v>8.1611111111111114</v>
      </c>
      <c r="H33" s="25" t="s">
        <v>59</v>
      </c>
      <c r="I33" s="44" t="s">
        <v>121</v>
      </c>
      <c r="J33" s="45" t="str">
        <f t="shared" si="2"/>
        <v>01</v>
      </c>
      <c r="K33" s="45" t="str">
        <f t="shared" si="3"/>
        <v>2358</v>
      </c>
      <c r="L33" s="41">
        <v>42652</v>
      </c>
      <c r="M33" s="41">
        <f t="shared" si="4"/>
        <v>43017</v>
      </c>
      <c r="N33" s="46">
        <v>51700</v>
      </c>
      <c r="O33" s="47">
        <f t="shared" si="5"/>
        <v>4653</v>
      </c>
      <c r="P33" s="48">
        <f>SUM('Staff (2)'!$N33:$O33)</f>
        <v>56353</v>
      </c>
    </row>
    <row r="34" spans="1:16" outlineLevel="2" x14ac:dyDescent="0.3">
      <c r="A34" s="40" t="s">
        <v>76</v>
      </c>
      <c r="B34" s="25" t="s">
        <v>149</v>
      </c>
      <c r="C34" s="2" t="s">
        <v>19</v>
      </c>
      <c r="D34" s="19" t="s">
        <v>165</v>
      </c>
      <c r="E34" s="25" t="str">
        <f t="shared" si="0"/>
        <v>bob.decker@pushpin.com</v>
      </c>
      <c r="F34" s="41">
        <v>41210</v>
      </c>
      <c r="G34" s="42">
        <f t="shared" ca="1" si="1"/>
        <v>8.0638888888888882</v>
      </c>
      <c r="H34" s="43" t="s">
        <v>59</v>
      </c>
      <c r="I34" s="44" t="s">
        <v>120</v>
      </c>
      <c r="J34" s="45" t="str">
        <f t="shared" si="2"/>
        <v>01</v>
      </c>
      <c r="K34" s="45" t="str">
        <f t="shared" si="3"/>
        <v>2086</v>
      </c>
      <c r="L34" s="41">
        <v>42656</v>
      </c>
      <c r="M34" s="41">
        <f t="shared" si="4"/>
        <v>43021</v>
      </c>
      <c r="N34" s="46">
        <v>49600</v>
      </c>
      <c r="O34" s="47">
        <f t="shared" si="5"/>
        <v>4464</v>
      </c>
      <c r="P34" s="48">
        <f>SUM('Staff (2)'!$N34:$O34)</f>
        <v>54064</v>
      </c>
    </row>
    <row r="35" spans="1:16" outlineLevel="1" x14ac:dyDescent="0.3">
      <c r="A35" s="40"/>
      <c r="B35" s="25"/>
      <c r="C35" s="2"/>
      <c r="D35" s="19"/>
      <c r="E35" s="25"/>
      <c r="F35" s="41"/>
      <c r="G35" s="42"/>
      <c r="H35" s="69" t="s">
        <v>177</v>
      </c>
      <c r="I35" s="44"/>
      <c r="J35" s="45"/>
      <c r="K35" s="45"/>
      <c r="L35" s="41"/>
      <c r="M35" s="41"/>
      <c r="N35" s="46">
        <f>SUBTOTAL(9,N33:N34)</f>
        <v>101300</v>
      </c>
      <c r="O35" s="47">
        <f>SUBTOTAL(9,O33:O34)</f>
        <v>9117</v>
      </c>
      <c r="P35" s="48">
        <f>SUM('Staff (2)'!$N35:$O35)</f>
        <v>110417</v>
      </c>
    </row>
    <row r="36" spans="1:16" outlineLevel="2" x14ac:dyDescent="0.3">
      <c r="A36" s="40" t="s">
        <v>77</v>
      </c>
      <c r="B36" s="25" t="s">
        <v>147</v>
      </c>
      <c r="C36" s="2" t="s">
        <v>20</v>
      </c>
      <c r="D36" s="19" t="s">
        <v>166</v>
      </c>
      <c r="E36" s="25" t="str">
        <f t="shared" si="0"/>
        <v>sabrina.cole@pushpin.com</v>
      </c>
      <c r="F36" s="41">
        <v>41401</v>
      </c>
      <c r="G36" s="42">
        <f t="shared" ca="1" si="1"/>
        <v>7.5388888888888888</v>
      </c>
      <c r="H36" s="43" t="s">
        <v>24</v>
      </c>
      <c r="I36" s="44" t="s">
        <v>108</v>
      </c>
      <c r="J36" s="45" t="str">
        <f t="shared" si="2"/>
        <v>02</v>
      </c>
      <c r="K36" s="45" t="str">
        <f t="shared" si="3"/>
        <v>2537</v>
      </c>
      <c r="L36" s="41">
        <v>42710</v>
      </c>
      <c r="M36" s="41">
        <f t="shared" si="4"/>
        <v>43075</v>
      </c>
      <c r="N36" s="46">
        <v>45100</v>
      </c>
      <c r="O36" s="47">
        <f t="shared" si="5"/>
        <v>4059</v>
      </c>
      <c r="P36" s="48">
        <f>SUM('Staff (2)'!$N36:$O36)</f>
        <v>49159</v>
      </c>
    </row>
    <row r="37" spans="1:16" ht="28.8" outlineLevel="1" x14ac:dyDescent="0.3">
      <c r="A37" s="40"/>
      <c r="B37" s="25"/>
      <c r="C37" s="2"/>
      <c r="D37" s="19"/>
      <c r="E37" s="25"/>
      <c r="F37" s="41"/>
      <c r="G37" s="42"/>
      <c r="H37" s="69" t="s">
        <v>179</v>
      </c>
      <c r="I37" s="44"/>
      <c r="J37" s="45"/>
      <c r="K37" s="45"/>
      <c r="L37" s="41"/>
      <c r="M37" s="41"/>
      <c r="N37" s="46">
        <f>SUBTOTAL(9,N36:N36)</f>
        <v>45100</v>
      </c>
      <c r="O37" s="47">
        <f>SUBTOTAL(9,O36:O36)</f>
        <v>4059</v>
      </c>
      <c r="P37" s="48">
        <f>SUM('Staff (2)'!$N37:$O37)</f>
        <v>49159</v>
      </c>
    </row>
    <row r="38" spans="1:16" outlineLevel="2" x14ac:dyDescent="0.3">
      <c r="A38" s="40" t="s">
        <v>78</v>
      </c>
      <c r="B38" s="25" t="s">
        <v>141</v>
      </c>
      <c r="C38" s="2" t="s">
        <v>27</v>
      </c>
      <c r="D38" s="19" t="s">
        <v>165</v>
      </c>
      <c r="E38" s="25" t="str">
        <f t="shared" si="0"/>
        <v>jim.chaffee@pushpin.com</v>
      </c>
      <c r="F38" s="41">
        <v>41787</v>
      </c>
      <c r="G38" s="42">
        <f t="shared" ca="1" si="1"/>
        <v>6.4805555555555552</v>
      </c>
      <c r="H38" s="43" t="s">
        <v>13</v>
      </c>
      <c r="I38" s="44" t="s">
        <v>102</v>
      </c>
      <c r="J38" s="45" t="str">
        <f t="shared" si="2"/>
        <v>03</v>
      </c>
      <c r="K38" s="45" t="str">
        <f t="shared" si="3"/>
        <v>2432</v>
      </c>
      <c r="L38" s="41">
        <v>42804</v>
      </c>
      <c r="M38" s="41">
        <f t="shared" si="4"/>
        <v>43169</v>
      </c>
      <c r="N38" s="46">
        <v>42100</v>
      </c>
      <c r="O38" s="47">
        <f t="shared" si="5"/>
        <v>3789</v>
      </c>
      <c r="P38" s="48">
        <f>SUM('Staff (2)'!$N38:$O38)</f>
        <v>45889</v>
      </c>
    </row>
    <row r="39" spans="1:16" outlineLevel="1" x14ac:dyDescent="0.3">
      <c r="A39" s="40"/>
      <c r="B39" s="25"/>
      <c r="C39" s="2"/>
      <c r="D39" s="19"/>
      <c r="E39" s="25"/>
      <c r="F39" s="41"/>
      <c r="G39" s="42"/>
      <c r="H39" s="69" t="s">
        <v>182</v>
      </c>
      <c r="I39" s="44"/>
      <c r="J39" s="45"/>
      <c r="K39" s="45"/>
      <c r="L39" s="41"/>
      <c r="M39" s="41"/>
      <c r="N39" s="46">
        <f>SUBTOTAL(9,N38:N38)</f>
        <v>42100</v>
      </c>
      <c r="O39" s="47">
        <f>SUBTOTAL(9,O38:O38)</f>
        <v>3789</v>
      </c>
      <c r="P39" s="48">
        <f>SUM('Staff (2)'!$N39:$O39)</f>
        <v>45889</v>
      </c>
    </row>
    <row r="40" spans="1:16" outlineLevel="2" x14ac:dyDescent="0.3">
      <c r="A40" s="40" t="s">
        <v>79</v>
      </c>
      <c r="B40" s="25" t="s">
        <v>139</v>
      </c>
      <c r="C40" s="2" t="s">
        <v>27</v>
      </c>
      <c r="D40" s="19" t="s">
        <v>165</v>
      </c>
      <c r="E40" s="25" t="str">
        <f t="shared" si="0"/>
        <v>jim.boller@pushpin.com</v>
      </c>
      <c r="F40" s="41">
        <v>41893</v>
      </c>
      <c r="G40" s="42">
        <f t="shared" ca="1" si="1"/>
        <v>6.1944444444444446</v>
      </c>
      <c r="H40" s="43" t="s">
        <v>15</v>
      </c>
      <c r="I40" s="44" t="s">
        <v>116</v>
      </c>
      <c r="J40" s="45" t="str">
        <f t="shared" si="2"/>
        <v>03</v>
      </c>
      <c r="K40" s="45" t="str">
        <f t="shared" si="3"/>
        <v>2318</v>
      </c>
      <c r="L40" s="41">
        <v>42835</v>
      </c>
      <c r="M40" s="41">
        <f t="shared" si="4"/>
        <v>43200</v>
      </c>
      <c r="N40" s="46">
        <v>62800</v>
      </c>
      <c r="O40" s="47">
        <f t="shared" si="5"/>
        <v>5652</v>
      </c>
      <c r="P40" s="48">
        <f>SUM('Staff (2)'!$N40:$O40)</f>
        <v>68452</v>
      </c>
    </row>
    <row r="41" spans="1:16" outlineLevel="1" x14ac:dyDescent="0.3">
      <c r="A41" s="40"/>
      <c r="B41" s="25"/>
      <c r="C41" s="2"/>
      <c r="D41" s="19"/>
      <c r="E41" s="25"/>
      <c r="F41" s="41"/>
      <c r="G41" s="42"/>
      <c r="H41" s="69" t="s">
        <v>180</v>
      </c>
      <c r="I41" s="44"/>
      <c r="J41" s="45"/>
      <c r="K41" s="45"/>
      <c r="L41" s="41"/>
      <c r="M41" s="41"/>
      <c r="N41" s="46">
        <f>SUBTOTAL(9,N40:N40)</f>
        <v>62800</v>
      </c>
      <c r="O41" s="47">
        <f>SUBTOTAL(9,O40:O40)</f>
        <v>5652</v>
      </c>
      <c r="P41" s="48">
        <f>SUM('Staff (2)'!$N41:$O41)</f>
        <v>68452</v>
      </c>
    </row>
    <row r="42" spans="1:16" outlineLevel="2" x14ac:dyDescent="0.3">
      <c r="A42" s="40" t="s">
        <v>80</v>
      </c>
      <c r="B42" s="25" t="s">
        <v>47</v>
      </c>
      <c r="C42" s="2" t="s">
        <v>46</v>
      </c>
      <c r="D42" s="19" t="s">
        <v>165</v>
      </c>
      <c r="E42" s="25" t="str">
        <f t="shared" si="0"/>
        <v>charlie.bui@pushpin.com</v>
      </c>
      <c r="F42" s="41">
        <v>41903</v>
      </c>
      <c r="G42" s="42">
        <f t="shared" ca="1" si="1"/>
        <v>6.166666666666667</v>
      </c>
      <c r="H42" s="43" t="s">
        <v>55</v>
      </c>
      <c r="I42" s="44" t="s">
        <v>117</v>
      </c>
      <c r="J42" s="45" t="str">
        <f t="shared" si="2"/>
        <v>02</v>
      </c>
      <c r="K42" s="45" t="str">
        <f t="shared" si="3"/>
        <v>2694</v>
      </c>
      <c r="L42" s="41">
        <v>42828</v>
      </c>
      <c r="M42" s="41">
        <f t="shared" si="4"/>
        <v>43193</v>
      </c>
      <c r="N42" s="46">
        <v>54700</v>
      </c>
      <c r="O42" s="47">
        <f t="shared" si="5"/>
        <v>4923</v>
      </c>
      <c r="P42" s="48">
        <f>SUM('Staff (2)'!$N42:$O42)</f>
        <v>59623</v>
      </c>
    </row>
    <row r="43" spans="1:16" outlineLevel="2" x14ac:dyDescent="0.3">
      <c r="A43" s="40" t="s">
        <v>81</v>
      </c>
      <c r="B43" s="25" t="s">
        <v>43</v>
      </c>
      <c r="C43" s="2" t="s">
        <v>42</v>
      </c>
      <c r="D43" s="19" t="s">
        <v>165</v>
      </c>
      <c r="E43" s="25" t="str">
        <f t="shared" si="0"/>
        <v>connor.betts@pushpin.com</v>
      </c>
      <c r="F43" s="41">
        <v>41956</v>
      </c>
      <c r="G43" s="42">
        <f t="shared" ca="1" si="1"/>
        <v>6.0222222222222221</v>
      </c>
      <c r="H43" s="43" t="s">
        <v>55</v>
      </c>
      <c r="I43" s="44" t="s">
        <v>98</v>
      </c>
      <c r="J43" s="45" t="str">
        <f t="shared" si="2"/>
        <v>02</v>
      </c>
      <c r="K43" s="45" t="str">
        <f t="shared" si="3"/>
        <v>2347</v>
      </c>
      <c r="L43" s="41">
        <v>42848</v>
      </c>
      <c r="M43" s="41">
        <f t="shared" si="4"/>
        <v>43213</v>
      </c>
      <c r="N43" s="46">
        <v>52600</v>
      </c>
      <c r="O43" s="47">
        <f t="shared" si="5"/>
        <v>4734</v>
      </c>
      <c r="P43" s="48">
        <f>SUM('Staff (2)'!$N43:$O43)</f>
        <v>57334</v>
      </c>
    </row>
    <row r="44" spans="1:16" outlineLevel="1" x14ac:dyDescent="0.3">
      <c r="A44" s="40"/>
      <c r="B44" s="25"/>
      <c r="C44" s="2"/>
      <c r="D44" s="19"/>
      <c r="E44" s="25"/>
      <c r="F44" s="41"/>
      <c r="G44" s="42"/>
      <c r="H44" s="69" t="s">
        <v>178</v>
      </c>
      <c r="I44" s="44"/>
      <c r="J44" s="45"/>
      <c r="K44" s="45"/>
      <c r="L44" s="41"/>
      <c r="M44" s="41"/>
      <c r="N44" s="46">
        <f>SUBTOTAL(9,N42:N43)</f>
        <v>107300</v>
      </c>
      <c r="O44" s="47">
        <f>SUBTOTAL(9,O42:O43)</f>
        <v>9657</v>
      </c>
      <c r="P44" s="48">
        <f>SUM('Staff (2)'!$N44:$O44)</f>
        <v>116957</v>
      </c>
    </row>
    <row r="45" spans="1:16" outlineLevel="2" x14ac:dyDescent="0.3">
      <c r="A45" s="40" t="s">
        <v>82</v>
      </c>
      <c r="B45" s="25" t="s">
        <v>145</v>
      </c>
      <c r="C45" s="2" t="s">
        <v>146</v>
      </c>
      <c r="D45" s="19" t="s">
        <v>166</v>
      </c>
      <c r="E45" s="25" t="str">
        <f t="shared" si="0"/>
        <v>anna.clark@pushpin.com</v>
      </c>
      <c r="F45" s="41">
        <v>41989</v>
      </c>
      <c r="G45" s="42">
        <f t="shared" ca="1" si="1"/>
        <v>5.9305555555555554</v>
      </c>
      <c r="H45" s="43" t="s">
        <v>15</v>
      </c>
      <c r="I45" s="44" t="s">
        <v>106</v>
      </c>
      <c r="J45" s="45" t="str">
        <f t="shared" si="2"/>
        <v>03</v>
      </c>
      <c r="K45" s="45" t="str">
        <f t="shared" si="3"/>
        <v>2601</v>
      </c>
      <c r="L45" s="41">
        <v>42731</v>
      </c>
      <c r="M45" s="41">
        <f t="shared" si="4"/>
        <v>43096</v>
      </c>
      <c r="N45" s="46">
        <v>58500</v>
      </c>
      <c r="O45" s="47">
        <f t="shared" si="5"/>
        <v>5265</v>
      </c>
      <c r="P45" s="48">
        <f>SUM('Staff (2)'!$N45:$O45)</f>
        <v>63765</v>
      </c>
    </row>
    <row r="46" spans="1:16" outlineLevel="1" x14ac:dyDescent="0.3">
      <c r="A46" s="40"/>
      <c r="B46" s="25"/>
      <c r="C46" s="2"/>
      <c r="D46" s="19"/>
      <c r="E46" s="25"/>
      <c r="F46" s="41"/>
      <c r="G46" s="42"/>
      <c r="H46" s="69" t="s">
        <v>180</v>
      </c>
      <c r="I46" s="44"/>
      <c r="J46" s="45"/>
      <c r="K46" s="45"/>
      <c r="L46" s="41"/>
      <c r="M46" s="41"/>
      <c r="N46" s="46">
        <f>SUBTOTAL(9,N45:N45)</f>
        <v>58500</v>
      </c>
      <c r="O46" s="47">
        <f>SUBTOTAL(9,O45:O45)</f>
        <v>5265</v>
      </c>
      <c r="P46" s="48">
        <f>SUM('Staff (2)'!$N46:$O46)</f>
        <v>63765</v>
      </c>
    </row>
    <row r="47" spans="1:16" outlineLevel="2" x14ac:dyDescent="0.3">
      <c r="A47" s="40" t="s">
        <v>83</v>
      </c>
      <c r="B47" s="25" t="s">
        <v>41</v>
      </c>
      <c r="C47" s="2" t="s">
        <v>40</v>
      </c>
      <c r="D47" s="19" t="s">
        <v>166</v>
      </c>
      <c r="E47" s="25" t="str">
        <f t="shared" si="0"/>
        <v>aanya.zhang@pushpin.com</v>
      </c>
      <c r="F47" s="41">
        <v>42002</v>
      </c>
      <c r="G47" s="42">
        <f t="shared" ca="1" si="1"/>
        <v>5.8944444444444448</v>
      </c>
      <c r="H47" s="43" t="s">
        <v>55</v>
      </c>
      <c r="I47" s="44" t="s">
        <v>131</v>
      </c>
      <c r="J47" s="45" t="str">
        <f t="shared" si="2"/>
        <v>02</v>
      </c>
      <c r="K47" s="45" t="str">
        <f t="shared" si="3"/>
        <v>2793</v>
      </c>
      <c r="L47" s="41">
        <v>42540</v>
      </c>
      <c r="M47" s="41">
        <f t="shared" si="4"/>
        <v>42905</v>
      </c>
      <c r="N47" s="46">
        <v>46500</v>
      </c>
      <c r="O47" s="47">
        <f t="shared" si="5"/>
        <v>4185</v>
      </c>
      <c r="P47" s="48">
        <f>SUM('Staff (2)'!$N47:$O47)</f>
        <v>50685</v>
      </c>
    </row>
    <row r="48" spans="1:16" outlineLevel="2" x14ac:dyDescent="0.3">
      <c r="A48" s="40" t="s">
        <v>84</v>
      </c>
      <c r="B48" s="25" t="s">
        <v>37</v>
      </c>
      <c r="C48" s="2" t="s">
        <v>36</v>
      </c>
      <c r="D48" s="19" t="s">
        <v>165</v>
      </c>
      <c r="E48" s="25" t="str">
        <f t="shared" si="0"/>
        <v>leighton.forrest@pushpin.com</v>
      </c>
      <c r="F48" s="41">
        <v>42120</v>
      </c>
      <c r="G48" s="42">
        <f t="shared" ca="1" si="1"/>
        <v>5.5694444444444446</v>
      </c>
      <c r="H48" s="43" t="s">
        <v>55</v>
      </c>
      <c r="I48" s="44" t="s">
        <v>125</v>
      </c>
      <c r="J48" s="45" t="str">
        <f t="shared" si="2"/>
        <v>02</v>
      </c>
      <c r="K48" s="45" t="str">
        <f t="shared" si="3"/>
        <v>2284</v>
      </c>
      <c r="L48" s="41">
        <v>42586</v>
      </c>
      <c r="M48" s="41">
        <f t="shared" si="4"/>
        <v>42951</v>
      </c>
      <c r="N48" s="46">
        <v>56200</v>
      </c>
      <c r="O48" s="47">
        <f t="shared" si="5"/>
        <v>5058</v>
      </c>
      <c r="P48" s="48">
        <f>SUM('Staff (2)'!$N48:$O48)</f>
        <v>61258</v>
      </c>
    </row>
    <row r="49" spans="1:16" outlineLevel="1" x14ac:dyDescent="0.3">
      <c r="A49" s="40"/>
      <c r="B49" s="25"/>
      <c r="C49" s="2"/>
      <c r="D49" s="19"/>
      <c r="E49" s="25"/>
      <c r="F49" s="41"/>
      <c r="G49" s="42"/>
      <c r="H49" s="69" t="s">
        <v>178</v>
      </c>
      <c r="I49" s="44"/>
      <c r="J49" s="45"/>
      <c r="K49" s="45"/>
      <c r="L49" s="41"/>
      <c r="M49" s="41"/>
      <c r="N49" s="46">
        <f>SUBTOTAL(9,N47:N48)</f>
        <v>102700</v>
      </c>
      <c r="O49" s="47">
        <f>SUBTOTAL(9,O47:O48)</f>
        <v>9243</v>
      </c>
      <c r="P49" s="48">
        <f>SUM('Staff (2)'!$N49:$O49)</f>
        <v>111943</v>
      </c>
    </row>
    <row r="50" spans="1:16" outlineLevel="2" x14ac:dyDescent="0.3">
      <c r="A50" s="40" t="s">
        <v>85</v>
      </c>
      <c r="B50" s="25" t="s">
        <v>151</v>
      </c>
      <c r="C50" s="2" t="s">
        <v>26</v>
      </c>
      <c r="D50" s="19" t="s">
        <v>166</v>
      </c>
      <c r="E50" s="25" t="str">
        <f t="shared" si="0"/>
        <v>alexandra.donnell@pushpin.com</v>
      </c>
      <c r="F50" s="41">
        <v>42228</v>
      </c>
      <c r="G50" s="42">
        <f t="shared" ca="1" si="1"/>
        <v>5.2750000000000004</v>
      </c>
      <c r="H50" s="43" t="s">
        <v>15</v>
      </c>
      <c r="I50" s="44" t="s">
        <v>110</v>
      </c>
      <c r="J50" s="45" t="str">
        <f t="shared" si="2"/>
        <v>03</v>
      </c>
      <c r="K50" s="45" t="str">
        <f t="shared" si="3"/>
        <v>2082</v>
      </c>
      <c r="L50" s="41">
        <v>42629</v>
      </c>
      <c r="M50" s="41">
        <f t="shared" si="4"/>
        <v>42994</v>
      </c>
      <c r="N50" s="46">
        <v>54900</v>
      </c>
      <c r="O50" s="47">
        <f t="shared" si="5"/>
        <v>4941</v>
      </c>
      <c r="P50" s="48">
        <f>SUM('Staff (2)'!$N50:$O50)</f>
        <v>59841</v>
      </c>
    </row>
    <row r="51" spans="1:16" outlineLevel="1" x14ac:dyDescent="0.3">
      <c r="A51" s="40"/>
      <c r="B51" s="25"/>
      <c r="C51" s="2"/>
      <c r="D51" s="19"/>
      <c r="E51" s="25"/>
      <c r="F51" s="41"/>
      <c r="G51" s="42"/>
      <c r="H51" s="69" t="s">
        <v>180</v>
      </c>
      <c r="I51" s="44"/>
      <c r="J51" s="45"/>
      <c r="K51" s="45"/>
      <c r="L51" s="41"/>
      <c r="M51" s="41"/>
      <c r="N51" s="46">
        <f>SUBTOTAL(9,N50:N50)</f>
        <v>54900</v>
      </c>
      <c r="O51" s="47">
        <f>SUBTOTAL(9,O50:O50)</f>
        <v>4941</v>
      </c>
      <c r="P51" s="48">
        <f>SUM('Staff (2)'!$N51:$O51)</f>
        <v>59841</v>
      </c>
    </row>
    <row r="52" spans="1:16" outlineLevel="2" x14ac:dyDescent="0.3">
      <c r="A52" s="40" t="s">
        <v>86</v>
      </c>
      <c r="B52" s="25" t="s">
        <v>156</v>
      </c>
      <c r="C52" s="2" t="s">
        <v>157</v>
      </c>
      <c r="D52" s="19" t="s">
        <v>165</v>
      </c>
      <c r="E52" s="25" t="str">
        <f t="shared" si="0"/>
        <v>carlos.martinez@pushpin.com</v>
      </c>
      <c r="F52" s="41">
        <v>42229</v>
      </c>
      <c r="G52" s="42">
        <f t="shared" ca="1" si="1"/>
        <v>5.2722222222222221</v>
      </c>
      <c r="H52" s="43" t="s">
        <v>17</v>
      </c>
      <c r="I52" s="44" t="s">
        <v>99</v>
      </c>
      <c r="J52" s="45" t="str">
        <f t="shared" si="2"/>
        <v>03</v>
      </c>
      <c r="K52" s="45" t="str">
        <f t="shared" si="3"/>
        <v>2764</v>
      </c>
      <c r="L52" s="41">
        <v>42845</v>
      </c>
      <c r="M52" s="41">
        <f t="shared" si="4"/>
        <v>43210</v>
      </c>
      <c r="N52" s="46">
        <v>47900</v>
      </c>
      <c r="O52" s="47">
        <f t="shared" si="5"/>
        <v>4311</v>
      </c>
      <c r="P52" s="48">
        <f>SUM('Staff (2)'!$N52:$O52)</f>
        <v>52211</v>
      </c>
    </row>
    <row r="53" spans="1:16" ht="28.8" outlineLevel="1" x14ac:dyDescent="0.3">
      <c r="A53" s="40"/>
      <c r="B53" s="25"/>
      <c r="C53" s="2"/>
      <c r="D53" s="19"/>
      <c r="E53" s="25"/>
      <c r="F53" s="41"/>
      <c r="G53" s="42"/>
      <c r="H53" s="69" t="s">
        <v>181</v>
      </c>
      <c r="I53" s="44"/>
      <c r="J53" s="45"/>
      <c r="K53" s="45"/>
      <c r="L53" s="41"/>
      <c r="M53" s="41"/>
      <c r="N53" s="46">
        <f>SUBTOTAL(9,N52:N52)</f>
        <v>47900</v>
      </c>
      <c r="O53" s="47">
        <f>SUBTOTAL(9,O52:O52)</f>
        <v>4311</v>
      </c>
      <c r="P53" s="48">
        <f>SUM('Staff (2)'!$N53:$O53)</f>
        <v>52211</v>
      </c>
    </row>
    <row r="54" spans="1:16" outlineLevel="2" x14ac:dyDescent="0.3">
      <c r="A54" s="40" t="s">
        <v>87</v>
      </c>
      <c r="B54" s="25" t="s">
        <v>53</v>
      </c>
      <c r="C54" s="2" t="s">
        <v>115</v>
      </c>
      <c r="D54" s="19" t="s">
        <v>165</v>
      </c>
      <c r="E54" s="25" t="str">
        <f t="shared" si="0"/>
        <v>peter.staples@pushpin.com</v>
      </c>
      <c r="F54" s="41">
        <v>42321</v>
      </c>
      <c r="G54" s="42">
        <f t="shared" ca="1" si="1"/>
        <v>5.0222222222222221</v>
      </c>
      <c r="H54" s="43" t="s">
        <v>55</v>
      </c>
      <c r="I54" s="44" t="s">
        <v>130</v>
      </c>
      <c r="J54" s="45" t="str">
        <f t="shared" si="2"/>
        <v>02</v>
      </c>
      <c r="K54" s="45" t="str">
        <f t="shared" si="3"/>
        <v>2654</v>
      </c>
      <c r="L54" s="41">
        <v>42551</v>
      </c>
      <c r="M54" s="41">
        <f t="shared" si="4"/>
        <v>42916</v>
      </c>
      <c r="N54" s="46">
        <v>49600</v>
      </c>
      <c r="O54" s="47">
        <f t="shared" si="5"/>
        <v>4464</v>
      </c>
      <c r="P54" s="48">
        <f>SUM('Staff (2)'!$N54:$O54)</f>
        <v>54064</v>
      </c>
    </row>
    <row r="55" spans="1:16" outlineLevel="2" x14ac:dyDescent="0.3">
      <c r="A55" s="40" t="s">
        <v>88</v>
      </c>
      <c r="B55" s="25" t="s">
        <v>54</v>
      </c>
      <c r="C55" s="2" t="s">
        <v>52</v>
      </c>
      <c r="D55" s="19" t="s">
        <v>166</v>
      </c>
      <c r="E55" s="25" t="str">
        <f t="shared" si="0"/>
        <v>radhya.senome@pushpin.com</v>
      </c>
      <c r="F55" s="41">
        <v>42324</v>
      </c>
      <c r="G55" s="42">
        <f t="shared" ca="1" si="1"/>
        <v>5.0138888888888893</v>
      </c>
      <c r="H55" s="43" t="s">
        <v>55</v>
      </c>
      <c r="I55" s="44" t="s">
        <v>128</v>
      </c>
      <c r="J55" s="45" t="str">
        <f t="shared" si="2"/>
        <v>02</v>
      </c>
      <c r="K55" s="45" t="str">
        <f t="shared" si="3"/>
        <v>2260</v>
      </c>
      <c r="L55" s="41">
        <v>42563</v>
      </c>
      <c r="M55" s="41">
        <f t="shared" si="4"/>
        <v>42928</v>
      </c>
      <c r="N55" s="46">
        <v>35600</v>
      </c>
      <c r="O55" s="47">
        <f t="shared" si="5"/>
        <v>3204</v>
      </c>
      <c r="P55" s="48">
        <f>SUM('Staff (2)'!$N55:$O55)</f>
        <v>38804</v>
      </c>
    </row>
    <row r="56" spans="1:16" outlineLevel="1" x14ac:dyDescent="0.3">
      <c r="A56" s="40"/>
      <c r="B56" s="25"/>
      <c r="C56" s="2"/>
      <c r="D56" s="19"/>
      <c r="E56" s="25"/>
      <c r="F56" s="41"/>
      <c r="G56" s="42"/>
      <c r="H56" s="69" t="s">
        <v>178</v>
      </c>
      <c r="I56" s="44"/>
      <c r="J56" s="45"/>
      <c r="K56" s="45"/>
      <c r="L56" s="41"/>
      <c r="M56" s="41"/>
      <c r="N56" s="46">
        <f>SUBTOTAL(9,N54:N55)</f>
        <v>85200</v>
      </c>
      <c r="O56" s="47">
        <f>SUBTOTAL(9,O54:O55)</f>
        <v>7668</v>
      </c>
      <c r="P56" s="48">
        <f>SUM('Staff (2)'!$N56:$O56)</f>
        <v>92868</v>
      </c>
    </row>
    <row r="57" spans="1:16" outlineLevel="2" x14ac:dyDescent="0.3">
      <c r="A57" s="40" t="s">
        <v>89</v>
      </c>
      <c r="B57" s="25" t="s">
        <v>152</v>
      </c>
      <c r="C57" s="2" t="s">
        <v>25</v>
      </c>
      <c r="D57" s="19" t="s">
        <v>165</v>
      </c>
      <c r="E57" s="25" t="str">
        <f t="shared" si="0"/>
        <v>mark.ellis@pushpin.com</v>
      </c>
      <c r="F57" s="41">
        <v>42371</v>
      </c>
      <c r="G57" s="42">
        <f t="shared" ca="1" si="1"/>
        <v>4.8861111111111111</v>
      </c>
      <c r="H57" s="43" t="s">
        <v>59</v>
      </c>
      <c r="I57" s="44" t="s">
        <v>111</v>
      </c>
      <c r="J57" s="45" t="str">
        <f t="shared" si="2"/>
        <v>03</v>
      </c>
      <c r="K57" s="45" t="str">
        <f t="shared" si="3"/>
        <v>2482</v>
      </c>
      <c r="L57" s="41">
        <v>42619</v>
      </c>
      <c r="M57" s="41">
        <f t="shared" si="4"/>
        <v>42984</v>
      </c>
      <c r="N57" s="46">
        <v>58500</v>
      </c>
      <c r="O57" s="47">
        <f t="shared" si="5"/>
        <v>5265</v>
      </c>
      <c r="P57" s="48">
        <f>SUM('Staff (2)'!$N57:$O57)</f>
        <v>63765</v>
      </c>
    </row>
    <row r="58" spans="1:16" outlineLevel="1" x14ac:dyDescent="0.3">
      <c r="A58" s="40"/>
      <c r="B58" s="25"/>
      <c r="C58" s="2"/>
      <c r="D58" s="19"/>
      <c r="E58" s="25"/>
      <c r="F58" s="41"/>
      <c r="G58" s="42"/>
      <c r="H58" s="69" t="s">
        <v>177</v>
      </c>
      <c r="I58" s="44"/>
      <c r="J58" s="45"/>
      <c r="K58" s="45"/>
      <c r="L58" s="41"/>
      <c r="M58" s="41"/>
      <c r="N58" s="46">
        <f>SUBTOTAL(9,N57:N57)</f>
        <v>58500</v>
      </c>
      <c r="O58" s="47">
        <f>SUBTOTAL(9,O57:O57)</f>
        <v>5265</v>
      </c>
      <c r="P58" s="48">
        <f>SUM('Staff (2)'!$N58:$O58)</f>
        <v>63765</v>
      </c>
    </row>
    <row r="59" spans="1:16" outlineLevel="2" x14ac:dyDescent="0.3">
      <c r="A59" s="40" t="s">
        <v>90</v>
      </c>
      <c r="B59" s="25" t="s">
        <v>45</v>
      </c>
      <c r="C59" s="2" t="s">
        <v>44</v>
      </c>
      <c r="D59" s="19" t="s">
        <v>166</v>
      </c>
      <c r="E59" s="25" t="str">
        <f t="shared" si="0"/>
        <v>yvette.biti@pushpin.com</v>
      </c>
      <c r="F59" s="41">
        <v>42384</v>
      </c>
      <c r="G59" s="42">
        <f t="shared" ca="1" si="1"/>
        <v>4.8499999999999996</v>
      </c>
      <c r="H59" s="43" t="s">
        <v>55</v>
      </c>
      <c r="I59" s="44" t="s">
        <v>100</v>
      </c>
      <c r="J59" s="45" t="str">
        <f t="shared" si="2"/>
        <v>02</v>
      </c>
      <c r="K59" s="45" t="str">
        <f t="shared" si="3"/>
        <v>2589</v>
      </c>
      <c r="L59" s="41">
        <v>42839</v>
      </c>
      <c r="M59" s="41">
        <f t="shared" si="4"/>
        <v>43204</v>
      </c>
      <c r="N59" s="46">
        <v>51400</v>
      </c>
      <c r="O59" s="47">
        <f t="shared" si="5"/>
        <v>4626</v>
      </c>
      <c r="P59" s="48">
        <f>SUM('Staff (2)'!$N59:$O59)</f>
        <v>56026</v>
      </c>
    </row>
    <row r="60" spans="1:16" outlineLevel="1" x14ac:dyDescent="0.3">
      <c r="A60" s="40"/>
      <c r="B60" s="25"/>
      <c r="C60" s="2"/>
      <c r="D60" s="19"/>
      <c r="E60" s="25"/>
      <c r="F60" s="41"/>
      <c r="G60" s="42"/>
      <c r="H60" s="69" t="s">
        <v>178</v>
      </c>
      <c r="I60" s="44"/>
      <c r="J60" s="45"/>
      <c r="K60" s="45"/>
      <c r="L60" s="41"/>
      <c r="M60" s="41"/>
      <c r="N60" s="46">
        <f>SUBTOTAL(9,N59:N59)</f>
        <v>51400</v>
      </c>
      <c r="O60" s="47">
        <f>SUBTOTAL(9,O59:O59)</f>
        <v>4626</v>
      </c>
      <c r="P60" s="48">
        <f>SUM('Staff (2)'!$N60:$O60)</f>
        <v>56026</v>
      </c>
    </row>
    <row r="61" spans="1:16" outlineLevel="2" x14ac:dyDescent="0.3">
      <c r="A61" s="40" t="s">
        <v>91</v>
      </c>
      <c r="B61" s="25" t="s">
        <v>158</v>
      </c>
      <c r="C61" s="2" t="s">
        <v>58</v>
      </c>
      <c r="D61" s="19" t="s">
        <v>165</v>
      </c>
      <c r="E61" s="25" t="str">
        <f t="shared" si="0"/>
        <v>sean.sanders@pushpin.com</v>
      </c>
      <c r="F61" s="41">
        <v>42691</v>
      </c>
      <c r="G61" s="42">
        <f t="shared" ca="1" si="1"/>
        <v>4.0111111111111111</v>
      </c>
      <c r="H61" s="43" t="s">
        <v>17</v>
      </c>
      <c r="I61" s="44" t="s">
        <v>113</v>
      </c>
      <c r="J61" s="45" t="str">
        <f t="shared" si="2"/>
        <v>03</v>
      </c>
      <c r="K61" s="45" t="str">
        <f t="shared" si="3"/>
        <v>2765</v>
      </c>
      <c r="L61" s="41">
        <v>42566</v>
      </c>
      <c r="M61" s="41">
        <f t="shared" si="4"/>
        <v>42931</v>
      </c>
      <c r="N61" s="46">
        <v>38600</v>
      </c>
      <c r="O61" s="47">
        <f t="shared" si="5"/>
        <v>3474</v>
      </c>
      <c r="P61" s="48">
        <f>SUM('Staff (2)'!$N61:$O61)</f>
        <v>42074</v>
      </c>
    </row>
    <row r="62" spans="1:16" ht="28.8" outlineLevel="1" x14ac:dyDescent="0.3">
      <c r="A62" s="40"/>
      <c r="B62" s="25"/>
      <c r="C62" s="2"/>
      <c r="D62" s="19"/>
      <c r="E62" s="25"/>
      <c r="F62" s="41"/>
      <c r="G62" s="42"/>
      <c r="H62" s="69" t="s">
        <v>181</v>
      </c>
      <c r="I62" s="44"/>
      <c r="J62" s="45"/>
      <c r="K62" s="45"/>
      <c r="L62" s="41"/>
      <c r="M62" s="41"/>
      <c r="N62" s="46">
        <f>SUBTOTAL(9,N61:N61)</f>
        <v>38600</v>
      </c>
      <c r="O62" s="47">
        <f>SUBTOTAL(9,O61:O61)</f>
        <v>3474</v>
      </c>
      <c r="P62" s="48">
        <f>SUM('Staff (2)'!$N62:$O62)</f>
        <v>42074</v>
      </c>
    </row>
    <row r="63" spans="1:16" outlineLevel="2" x14ac:dyDescent="0.3">
      <c r="A63" s="40" t="s">
        <v>92</v>
      </c>
      <c r="B63" s="25" t="s">
        <v>35</v>
      </c>
      <c r="C63" s="2" t="s">
        <v>34</v>
      </c>
      <c r="D63" s="19" t="s">
        <v>166</v>
      </c>
      <c r="E63" s="25" t="str">
        <f t="shared" si="0"/>
        <v>phoebe.gour@pushpin.com</v>
      </c>
      <c r="F63" s="41">
        <v>42721</v>
      </c>
      <c r="G63" s="42">
        <f t="shared" ca="1" si="1"/>
        <v>3.9277777777777776</v>
      </c>
      <c r="H63" s="43" t="s">
        <v>55</v>
      </c>
      <c r="I63" s="44" t="s">
        <v>126</v>
      </c>
      <c r="J63" s="45" t="str">
        <f t="shared" si="2"/>
        <v>02</v>
      </c>
      <c r="K63" s="45" t="str">
        <f t="shared" si="3"/>
        <v>2910</v>
      </c>
      <c r="L63" s="41">
        <v>42539</v>
      </c>
      <c r="M63" s="41">
        <f t="shared" si="4"/>
        <v>42904</v>
      </c>
      <c r="N63" s="46">
        <v>40500</v>
      </c>
      <c r="O63" s="47">
        <f t="shared" si="5"/>
        <v>3645</v>
      </c>
      <c r="P63" s="48">
        <f>SUM('Staff (2)'!$N63:$O63)</f>
        <v>44145</v>
      </c>
    </row>
    <row r="64" spans="1:16" outlineLevel="1" x14ac:dyDescent="0.3">
      <c r="A64" s="40"/>
      <c r="B64" s="25"/>
      <c r="C64" s="2"/>
      <c r="D64" s="19"/>
      <c r="E64" s="25"/>
      <c r="F64" s="41"/>
      <c r="G64" s="42"/>
      <c r="H64" s="69" t="s">
        <v>178</v>
      </c>
      <c r="I64" s="44"/>
      <c r="J64" s="45"/>
      <c r="K64" s="45"/>
      <c r="L64" s="41"/>
      <c r="M64" s="41"/>
      <c r="N64" s="46">
        <f>SUBTOTAL(9,N63:N63)</f>
        <v>40500</v>
      </c>
      <c r="O64" s="47">
        <f>SUBTOTAL(9,O63:O63)</f>
        <v>3645</v>
      </c>
      <c r="P64" s="48">
        <f>SUM('Staff (2)'!$N64:$O64)</f>
        <v>44145</v>
      </c>
    </row>
    <row r="65" spans="1:16" outlineLevel="2" x14ac:dyDescent="0.3">
      <c r="A65" s="40" t="s">
        <v>93</v>
      </c>
      <c r="B65" s="25" t="s">
        <v>159</v>
      </c>
      <c r="C65" s="2" t="s">
        <v>57</v>
      </c>
      <c r="D65" s="19" t="s">
        <v>166</v>
      </c>
      <c r="E65" s="25" t="str">
        <f t="shared" si="0"/>
        <v>mei.wang@pushpin.com</v>
      </c>
      <c r="F65" s="41">
        <v>40188</v>
      </c>
      <c r="G65" s="42">
        <f t="shared" ca="1" si="1"/>
        <v>10.863888888888889</v>
      </c>
      <c r="H65" s="43" t="s">
        <v>22</v>
      </c>
      <c r="I65" s="44" t="s">
        <v>114</v>
      </c>
      <c r="J65" s="45" t="str">
        <f t="shared" si="2"/>
        <v>01</v>
      </c>
      <c r="K65" s="45" t="str">
        <f t="shared" si="3"/>
        <v>2783</v>
      </c>
      <c r="L65" s="41">
        <v>42544</v>
      </c>
      <c r="M65" s="41">
        <f t="shared" si="4"/>
        <v>42909</v>
      </c>
      <c r="N65" s="46">
        <v>96400</v>
      </c>
      <c r="O65" s="47">
        <f t="shared" si="5"/>
        <v>8676</v>
      </c>
      <c r="P65" s="48">
        <f>SUM('Staff (2)'!$N65:$O65)</f>
        <v>105076</v>
      </c>
    </row>
    <row r="66" spans="1:16" outlineLevel="1" x14ac:dyDescent="0.3">
      <c r="A66" s="40"/>
      <c r="B66" s="25"/>
      <c r="C66" s="2"/>
      <c r="D66" s="19"/>
      <c r="E66" s="25"/>
      <c r="F66" s="41"/>
      <c r="G66" s="42"/>
      <c r="H66" s="69" t="s">
        <v>176</v>
      </c>
      <c r="I66" s="44"/>
      <c r="J66" s="45"/>
      <c r="K66" s="45"/>
      <c r="L66" s="41"/>
      <c r="M66" s="41"/>
      <c r="N66" s="46">
        <f>SUBTOTAL(9,N65:N65)</f>
        <v>96400</v>
      </c>
      <c r="O66" s="47">
        <f>SUBTOTAL(9,O65:O65)</f>
        <v>8676</v>
      </c>
      <c r="P66" s="48">
        <f>SUM('Staff (2)'!$N66:$O66)</f>
        <v>105076</v>
      </c>
    </row>
    <row r="67" spans="1:16" outlineLevel="2" x14ac:dyDescent="0.3">
      <c r="A67" s="40" t="s">
        <v>94</v>
      </c>
      <c r="B67" s="25" t="s">
        <v>145</v>
      </c>
      <c r="C67" s="2" t="s">
        <v>16</v>
      </c>
      <c r="D67" s="19" t="s">
        <v>166</v>
      </c>
      <c r="E67" s="25" t="str">
        <f t="shared" si="0"/>
        <v>elizabeth.clark@pushpin.com</v>
      </c>
      <c r="F67" s="41">
        <v>42874</v>
      </c>
      <c r="G67" s="42">
        <f t="shared" ca="1" si="1"/>
        <v>3.5055555555555555</v>
      </c>
      <c r="H67" s="43" t="s">
        <v>24</v>
      </c>
      <c r="I67" s="44" t="s">
        <v>107</v>
      </c>
      <c r="J67" s="45" t="str">
        <f t="shared" si="2"/>
        <v>02</v>
      </c>
      <c r="K67" s="45" t="str">
        <f t="shared" si="3"/>
        <v>2414</v>
      </c>
      <c r="L67" s="41">
        <v>42720</v>
      </c>
      <c r="M67" s="41">
        <f t="shared" si="4"/>
        <v>43085</v>
      </c>
      <c r="N67" s="46">
        <v>37000</v>
      </c>
      <c r="O67" s="47">
        <f t="shared" si="5"/>
        <v>3330</v>
      </c>
      <c r="P67" s="48">
        <f>SUM('Staff (2)'!$N67:$O67)</f>
        <v>40330</v>
      </c>
    </row>
    <row r="68" spans="1:16" ht="28.8" outlineLevel="1" x14ac:dyDescent="0.3">
      <c r="A68" s="40"/>
      <c r="B68" s="25"/>
      <c r="C68" s="2"/>
      <c r="D68" s="19"/>
      <c r="E68" s="25"/>
      <c r="F68" s="41"/>
      <c r="G68" s="42"/>
      <c r="H68" s="69" t="s">
        <v>179</v>
      </c>
      <c r="I68" s="44"/>
      <c r="J68" s="45"/>
      <c r="K68" s="45"/>
      <c r="L68" s="41"/>
      <c r="M68" s="41"/>
      <c r="N68" s="46">
        <f>SUBTOTAL(9,N67:N67)</f>
        <v>37000</v>
      </c>
      <c r="O68" s="47">
        <f>SUBTOTAL(9,O67:O67)</f>
        <v>3330</v>
      </c>
      <c r="P68" s="48">
        <f>SUM('Staff (2)'!$N68:$O68)</f>
        <v>40330</v>
      </c>
    </row>
    <row r="69" spans="1:16" ht="15" outlineLevel="2" thickBot="1" x14ac:dyDescent="0.35">
      <c r="A69" s="49" t="s">
        <v>172</v>
      </c>
      <c r="B69" s="26" t="s">
        <v>173</v>
      </c>
      <c r="C69" s="50" t="s">
        <v>174</v>
      </c>
      <c r="D69" s="51" t="s">
        <v>165</v>
      </c>
      <c r="E69" s="26" t="str">
        <f>LOWER(C69&amp;"."&amp;B69&amp;"@pushpin.com")</f>
        <v>william.grey@pushpin.com</v>
      </c>
      <c r="F69" s="52">
        <v>42933</v>
      </c>
      <c r="G69" s="53">
        <f ca="1">YEARFRAC(F69,TODAY())</f>
        <v>3.3444444444444446</v>
      </c>
      <c r="H69" s="54" t="s">
        <v>175</v>
      </c>
      <c r="I69" s="55"/>
      <c r="J69" s="56" t="str">
        <f>LEFT(I69,2)</f>
        <v/>
      </c>
      <c r="K69" s="56" t="str">
        <f>RIGHT(I69,4)</f>
        <v/>
      </c>
      <c r="L69" s="52">
        <v>42933</v>
      </c>
      <c r="M69" s="52">
        <f>L69+365</f>
        <v>43298</v>
      </c>
      <c r="N69" s="57">
        <v>97000</v>
      </c>
      <c r="O69" s="58">
        <f>N69*Pension_Rate</f>
        <v>8730</v>
      </c>
      <c r="P69" s="48">
        <f>SUM('Staff (2)'!$N69:$O69)</f>
        <v>105730</v>
      </c>
    </row>
    <row r="70" spans="1:16" outlineLevel="1" x14ac:dyDescent="0.3">
      <c r="A70" s="59"/>
      <c r="B70" s="60"/>
      <c r="C70" s="61"/>
      <c r="D70" s="62"/>
      <c r="E70" s="60"/>
      <c r="F70" s="70"/>
      <c r="G70" s="64"/>
      <c r="H70" s="69" t="s">
        <v>183</v>
      </c>
      <c r="I70" s="44"/>
      <c r="J70" s="65"/>
      <c r="K70" s="65"/>
      <c r="L70" s="70"/>
      <c r="M70" s="70"/>
      <c r="N70" s="66">
        <f>SUBTOTAL(9,N69:N69)</f>
        <v>97000</v>
      </c>
      <c r="O70" s="67">
        <f>SUBTOTAL(9,O69:O69)</f>
        <v>8730</v>
      </c>
      <c r="P70" s="68">
        <f>SUBTOTAL(9,P69:P69)</f>
        <v>105730</v>
      </c>
    </row>
    <row r="71" spans="1:16" x14ac:dyDescent="0.3">
      <c r="A71" s="59"/>
      <c r="B71" s="60"/>
      <c r="C71" s="61"/>
      <c r="D71" s="62"/>
      <c r="E71" s="60"/>
      <c r="F71" s="70"/>
      <c r="G71" s="64"/>
      <c r="H71" s="69" t="s">
        <v>184</v>
      </c>
      <c r="I71" s="44"/>
      <c r="J71" s="65"/>
      <c r="K71" s="65"/>
      <c r="L71" s="70"/>
      <c r="M71" s="70"/>
      <c r="N71" s="66">
        <f>SUBTOTAL(9,N4:N69)</f>
        <v>2055400</v>
      </c>
      <c r="O71" s="67">
        <f>SUBTOTAL(9,O4:O69)</f>
        <v>184986</v>
      </c>
      <c r="P71" s="68">
        <f>SUBTOTAL(9,P4:P69)</f>
        <v>4264516</v>
      </c>
    </row>
    <row r="73" spans="1:16" ht="15.6" x14ac:dyDescent="0.3">
      <c r="E73" s="13"/>
    </row>
    <row r="74" spans="1:16" ht="15.6" x14ac:dyDescent="0.3">
      <c r="E74" s="13"/>
    </row>
    <row r="75" spans="1:16" ht="15.6" x14ac:dyDescent="0.3">
      <c r="E75" s="13"/>
    </row>
  </sheetData>
  <conditionalFormatting sqref="M4:M71">
    <cfRule type="cellIs" dxfId="1" priority="1" operator="equal">
      <formula>0</formula>
    </cfRule>
    <cfRule type="expression" dxfId="0" priority="2">
      <formula>M4&lt;TODAY()</formula>
    </cfRule>
  </conditionalFormatting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32</vt:i4>
      </vt:variant>
    </vt:vector>
  </HeadingPairs>
  <TitlesOfParts>
    <vt:vector size="35" baseType="lpstr">
      <vt:lpstr>Staff</vt:lpstr>
      <vt:lpstr>Stats</vt:lpstr>
      <vt:lpstr>Staff (2)</vt:lpstr>
      <vt:lpstr>'Staff (2)'!Annual_Salary</vt:lpstr>
      <vt:lpstr>Annual_Salary</vt:lpstr>
      <vt:lpstr>'Staff (2)'!Date_of_Hire</vt:lpstr>
      <vt:lpstr>Date_of_Hire</vt:lpstr>
      <vt:lpstr>'Staff (2)'!Department</vt:lpstr>
      <vt:lpstr>Department</vt:lpstr>
      <vt:lpstr>'Staff (2)'!Email</vt:lpstr>
      <vt:lpstr>Email</vt:lpstr>
      <vt:lpstr>'Staff (2)'!Emp_ID</vt:lpstr>
      <vt:lpstr>Emp_ID</vt:lpstr>
      <vt:lpstr>'Staff (2)'!Extension</vt:lpstr>
      <vt:lpstr>Extension</vt:lpstr>
      <vt:lpstr>'Staff (2)'!First</vt:lpstr>
      <vt:lpstr>First</vt:lpstr>
      <vt:lpstr>'Staff (2)'!Floor</vt:lpstr>
      <vt:lpstr>Floor</vt:lpstr>
      <vt:lpstr>'Staff (2)'!Gender</vt:lpstr>
      <vt:lpstr>Gender</vt:lpstr>
      <vt:lpstr>'Staff (2)'!Last</vt:lpstr>
      <vt:lpstr>Last</vt:lpstr>
      <vt:lpstr>'Staff (2)'!Last_Review</vt:lpstr>
      <vt:lpstr>Last_Review</vt:lpstr>
      <vt:lpstr>'Staff (2)'!Location</vt:lpstr>
      <vt:lpstr>Location</vt:lpstr>
      <vt:lpstr>'Staff (2)'!Next_Review</vt:lpstr>
      <vt:lpstr>Next_Review</vt:lpstr>
      <vt:lpstr>'Staff (2)'!Pension</vt:lpstr>
      <vt:lpstr>Pension</vt:lpstr>
      <vt:lpstr>'Staff (2)'!Pension_Rate</vt:lpstr>
      <vt:lpstr>Pension_Rate</vt:lpstr>
      <vt:lpstr>'Staff (2)'!Years_Service</vt:lpstr>
      <vt:lpstr>Years_Service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2017-07-17T22:44:42Z</dcterms:created>
  <dcterms:modified xsi:type="dcterms:W3CDTF">2020-11-21T11:12:48Z</dcterms:modified>
</cp:coreProperties>
</file>