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khem data analysis\"/>
    </mc:Choice>
  </mc:AlternateContent>
  <xr:revisionPtr revIDLastSave="0" documentId="13_ncr:1_{83AC6C60-CABD-45FD-B26F-D4D7BEC9E926}" xr6:coauthVersionLast="47" xr6:coauthVersionMax="47" xr10:uidLastSave="{00000000-0000-0000-0000-000000000000}"/>
  <bookViews>
    <workbookView xWindow="-110" yWindow="-110" windowWidth="19420" windowHeight="10300" firstSheet="8" activeTab="8" xr2:uid="{00000000-000D-0000-FFFF-FFFF00000000}"/>
  </bookViews>
  <sheets>
    <sheet name="All data" sheetId="1" r:id="rId1"/>
    <sheet name="Quantative" sheetId="2" r:id="rId2"/>
    <sheet name="Cluster " sheetId="12" r:id="rId3"/>
    <sheet name="Sheet5" sheetId="15" r:id="rId4"/>
    <sheet name="SHW" sheetId="8" r:id="rId5"/>
    <sheet name="Sheet1" sheetId="13" r:id="rId6"/>
    <sheet name="formula" sheetId="10" r:id="rId7"/>
    <sheet name="Lower and upper limit" sheetId="11" r:id="rId8"/>
    <sheet name="Acrynoms" sheetId="3" r:id="rId9"/>
    <sheet name="Qualitative" sheetId="4" r:id="rId10"/>
    <sheet name="Sheet2" sheetId="7" r:id="rId11"/>
    <sheet name="Sheet3" sheetId="14" r:id="rId12"/>
    <sheet name="Sheet4" sheetId="9" r:id="rId13"/>
    <sheet name="Sheet6" sheetId="16" r:id="rId14"/>
    <sheet name="Sheet7" sheetId="17" r:id="rId15"/>
  </sheets>
  <definedNames>
    <definedName name="_Hlk182129180" localSheetId="4">SHW!#REF!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13" i="10" l="1"/>
  <c r="BD11" i="10"/>
  <c r="X11" i="10"/>
  <c r="H11" i="10"/>
  <c r="EY12" i="10"/>
  <c r="EV10" i="10"/>
  <c r="EV9" i="10"/>
  <c r="EV8" i="10"/>
  <c r="EV7" i="10"/>
  <c r="EV6" i="10"/>
  <c r="EV5" i="10"/>
  <c r="EV4" i="10"/>
  <c r="EV3" i="10"/>
  <c r="EV2" i="10"/>
  <c r="EU11" i="10"/>
  <c r="EP12" i="10"/>
  <c r="EM10" i="10"/>
  <c r="EN10" i="10" s="1"/>
  <c r="EO10" i="10" s="1"/>
  <c r="EM9" i="10"/>
  <c r="EN9" i="10" s="1"/>
  <c r="EO9" i="10" s="1"/>
  <c r="EM8" i="10"/>
  <c r="EN8" i="10" s="1"/>
  <c r="EO8" i="10" s="1"/>
  <c r="EM7" i="10"/>
  <c r="EN7" i="10" s="1"/>
  <c r="EO7" i="10" s="1"/>
  <c r="EM6" i="10"/>
  <c r="EM5" i="10"/>
  <c r="EN5" i="10" s="1"/>
  <c r="EO5" i="10" s="1"/>
  <c r="EM4" i="10"/>
  <c r="EN4" i="10" s="1"/>
  <c r="EO4" i="10" s="1"/>
  <c r="EM3" i="10"/>
  <c r="EN3" i="10" s="1"/>
  <c r="EO3" i="10" s="1"/>
  <c r="EM2" i="10"/>
  <c r="EN2" i="10" s="1"/>
  <c r="EO2" i="10" s="1"/>
  <c r="EL11" i="10"/>
  <c r="EG12" i="10"/>
  <c r="DX12" i="10"/>
  <c r="DO12" i="10"/>
  <c r="DF12" i="10"/>
  <c r="CW12" i="10"/>
  <c r="CN12" i="10"/>
  <c r="CE12" i="10"/>
  <c r="BV12" i="10"/>
  <c r="BM12" i="10"/>
  <c r="BD12" i="10"/>
  <c r="AV12" i="10"/>
  <c r="AN12" i="10"/>
  <c r="AF12" i="10"/>
  <c r="X12" i="10"/>
  <c r="P12" i="10"/>
  <c r="L2" i="10"/>
  <c r="L3" i="10"/>
  <c r="L4" i="10"/>
  <c r="L5" i="10"/>
  <c r="L6" i="10"/>
  <c r="L7" i="10"/>
  <c r="L8" i="10"/>
  <c r="L9" i="10"/>
  <c r="L10" i="10"/>
  <c r="H12" i="10"/>
  <c r="BI10" i="10"/>
  <c r="BI9" i="10"/>
  <c r="BI8" i="10"/>
  <c r="BI7" i="10"/>
  <c r="BI6" i="10"/>
  <c r="BI5" i="10"/>
  <c r="BI4" i="10"/>
  <c r="BI3" i="10"/>
  <c r="BI2" i="10"/>
  <c r="AZ10" i="10"/>
  <c r="AZ9" i="10"/>
  <c r="AZ8" i="10"/>
  <c r="AZ7" i="10"/>
  <c r="AZ6" i="10"/>
  <c r="AZ5" i="10"/>
  <c r="AZ4" i="10"/>
  <c r="AZ3" i="10"/>
  <c r="AZ2" i="10"/>
  <c r="D10" i="10"/>
  <c r="D9" i="10"/>
  <c r="D8" i="10"/>
  <c r="D7" i="10"/>
  <c r="D6" i="10"/>
  <c r="D5" i="10"/>
  <c r="D4" i="10"/>
  <c r="D3" i="10"/>
  <c r="D2" i="10"/>
  <c r="FE13" i="11"/>
  <c r="FA11" i="11"/>
  <c r="FB10" i="11"/>
  <c r="FB9" i="11"/>
  <c r="FD8" i="11"/>
  <c r="FE8" i="11" s="1"/>
  <c r="FC8" i="11"/>
  <c r="FB8" i="11"/>
  <c r="FB7" i="11"/>
  <c r="FC7" i="11" s="1"/>
  <c r="FD7" i="11" s="1"/>
  <c r="FC6" i="11"/>
  <c r="FD6" i="11" s="1"/>
  <c r="FE6" i="11" s="1"/>
  <c r="FB6" i="11"/>
  <c r="FC5" i="11"/>
  <c r="FD5" i="11" s="1"/>
  <c r="FE5" i="11" s="1"/>
  <c r="FB5" i="11"/>
  <c r="FB4" i="11"/>
  <c r="FB3" i="11"/>
  <c r="FC3" i="11" s="1"/>
  <c r="FD3" i="11" s="1"/>
  <c r="FE3" i="11" s="1"/>
  <c r="FB2" i="11"/>
  <c r="FC2" i="11" s="1"/>
  <c r="FD2" i="11" s="1"/>
  <c r="H10" i="8"/>
  <c r="H9" i="8"/>
  <c r="H8" i="8"/>
  <c r="H7" i="8"/>
  <c r="H6" i="8"/>
  <c r="H5" i="8"/>
  <c r="H4" i="8"/>
  <c r="H3" i="8"/>
  <c r="H2" i="8"/>
  <c r="EV13" i="11"/>
  <c r="ER11" i="11"/>
  <c r="ES9" i="11" s="1"/>
  <c r="ES6" i="11"/>
  <c r="ES4" i="11"/>
  <c r="ET4" i="11" s="1"/>
  <c r="EU4" i="11" s="1"/>
  <c r="EM13" i="11"/>
  <c r="EI11" i="11"/>
  <c r="EJ10" i="11"/>
  <c r="EJ9" i="11"/>
  <c r="EK9" i="11" s="1"/>
  <c r="EL9" i="11" s="1"/>
  <c r="EM9" i="11" s="1"/>
  <c r="EJ8" i="11"/>
  <c r="EK7" i="11"/>
  <c r="EL7" i="11" s="1"/>
  <c r="EJ7" i="11"/>
  <c r="EM7" i="11" s="1"/>
  <c r="EL6" i="11"/>
  <c r="EM6" i="11" s="1"/>
  <c r="EK6" i="11"/>
  <c r="EJ6" i="11"/>
  <c r="EJ5" i="11"/>
  <c r="EK5" i="11" s="1"/>
  <c r="EL5" i="11" s="1"/>
  <c r="EM5" i="11" s="1"/>
  <c r="EJ4" i="11"/>
  <c r="EK3" i="11"/>
  <c r="EL3" i="11" s="1"/>
  <c r="EM3" i="11" s="1"/>
  <c r="EJ3" i="11"/>
  <c r="EJ2" i="11"/>
  <c r="ED13" i="11"/>
  <c r="DZ11" i="11"/>
  <c r="EA3" i="11" s="1"/>
  <c r="EA10" i="11"/>
  <c r="EB10" i="11" s="1"/>
  <c r="EC10" i="11" s="1"/>
  <c r="ED10" i="11" s="1"/>
  <c r="EA9" i="11"/>
  <c r="EB9" i="11" s="1"/>
  <c r="EC9" i="11" s="1"/>
  <c r="ED9" i="11" s="1"/>
  <c r="EA8" i="11"/>
  <c r="EA6" i="11"/>
  <c r="EB6" i="11" s="1"/>
  <c r="EC6" i="11" s="1"/>
  <c r="ED6" i="11" s="1"/>
  <c r="EA5" i="11"/>
  <c r="EB5" i="11" s="1"/>
  <c r="EC5" i="11" s="1"/>
  <c r="ED5" i="11" s="1"/>
  <c r="EA4" i="11"/>
  <c r="EA2" i="11"/>
  <c r="EB2" i="11" s="1"/>
  <c r="EC2" i="11" s="1"/>
  <c r="ED2" i="11" s="1"/>
  <c r="DQ11" i="11"/>
  <c r="DU13" i="11"/>
  <c r="DR8" i="11"/>
  <c r="DL13" i="11"/>
  <c r="DH11" i="11"/>
  <c r="DI7" i="11" s="1"/>
  <c r="DI10" i="11"/>
  <c r="DJ10" i="11" s="1"/>
  <c r="DK10" i="11" s="1"/>
  <c r="DL10" i="11" s="1"/>
  <c r="DI9" i="11"/>
  <c r="DJ9" i="11" s="1"/>
  <c r="DK9" i="11" s="1"/>
  <c r="DL9" i="11" s="1"/>
  <c r="DI8" i="11"/>
  <c r="DJ8" i="11" s="1"/>
  <c r="DK8" i="11" s="1"/>
  <c r="DJ6" i="11"/>
  <c r="DK6" i="11" s="1"/>
  <c r="DL6" i="11" s="1"/>
  <c r="DI6" i="11"/>
  <c r="DI5" i="11"/>
  <c r="DJ4" i="11"/>
  <c r="DK4" i="11" s="1"/>
  <c r="DL4" i="11" s="1"/>
  <c r="DI4" i="11"/>
  <c r="DI3" i="11"/>
  <c r="DI2" i="11"/>
  <c r="DJ2" i="11" s="1"/>
  <c r="DK2" i="11" s="1"/>
  <c r="DL2" i="11" s="1"/>
  <c r="DC13" i="11"/>
  <c r="CY11" i="11"/>
  <c r="CZ8" i="11" s="1"/>
  <c r="DA9" i="11"/>
  <c r="DB9" i="11" s="1"/>
  <c r="CZ9" i="11"/>
  <c r="CZ6" i="11"/>
  <c r="DA6" i="11" s="1"/>
  <c r="DB6" i="11" s="1"/>
  <c r="CZ4" i="11"/>
  <c r="CT13" i="11"/>
  <c r="CP11" i="11"/>
  <c r="CQ3" i="11" s="1"/>
  <c r="CQ8" i="11"/>
  <c r="CQ6" i="11"/>
  <c r="CR6" i="11" s="1"/>
  <c r="CS6" i="11" s="1"/>
  <c r="CT6" i="11" s="1"/>
  <c r="CQ5" i="11"/>
  <c r="CR5" i="11" s="1"/>
  <c r="CS5" i="11" s="1"/>
  <c r="CT5" i="11" s="1"/>
  <c r="CQ4" i="11"/>
  <c r="CK13" i="11"/>
  <c r="CG11" i="11"/>
  <c r="CH10" i="11"/>
  <c r="CH9" i="11"/>
  <c r="CI9" i="11" s="1"/>
  <c r="CJ9" i="11" s="1"/>
  <c r="CK9" i="11" s="1"/>
  <c r="CH8" i="11"/>
  <c r="CI7" i="11"/>
  <c r="CJ7" i="11" s="1"/>
  <c r="CH7" i="11"/>
  <c r="CK7" i="11" s="1"/>
  <c r="CH6" i="11"/>
  <c r="CI6" i="11" s="1"/>
  <c r="CJ6" i="11" s="1"/>
  <c r="CK6" i="11" s="1"/>
  <c r="CH5" i="11"/>
  <c r="CI5" i="11" s="1"/>
  <c r="CJ5" i="11" s="1"/>
  <c r="CK5" i="11" s="1"/>
  <c r="CH4" i="11"/>
  <c r="CI3" i="11"/>
  <c r="CJ3" i="11" s="1"/>
  <c r="CK3" i="11" s="1"/>
  <c r="CH3" i="11"/>
  <c r="CH2" i="11"/>
  <c r="CB13" i="11"/>
  <c r="BX11" i="11"/>
  <c r="BY8" i="11" s="1"/>
  <c r="BY10" i="11"/>
  <c r="BY7" i="11"/>
  <c r="BY6" i="11"/>
  <c r="BZ6" i="11" s="1"/>
  <c r="CA6" i="11" s="1"/>
  <c r="CB6" i="11" s="1"/>
  <c r="BY5" i="11"/>
  <c r="BY4" i="11"/>
  <c r="BY2" i="11"/>
  <c r="BS13" i="11"/>
  <c r="BO11" i="11"/>
  <c r="BP7" i="11" s="1"/>
  <c r="BP10" i="11"/>
  <c r="BQ10" i="11" s="1"/>
  <c r="BR10" i="11" s="1"/>
  <c r="BS10" i="11" s="1"/>
  <c r="BP9" i="11"/>
  <c r="BQ9" i="11" s="1"/>
  <c r="BR9" i="11" s="1"/>
  <c r="BS9" i="11" s="1"/>
  <c r="BP8" i="11"/>
  <c r="BQ6" i="11"/>
  <c r="BR6" i="11" s="1"/>
  <c r="BS6" i="11" s="1"/>
  <c r="BP6" i="11"/>
  <c r="BP5" i="11"/>
  <c r="BQ5" i="11" s="1"/>
  <c r="BR5" i="11" s="1"/>
  <c r="BS5" i="11" s="1"/>
  <c r="BP4" i="11"/>
  <c r="BQ4" i="11" s="1"/>
  <c r="BR4" i="11" s="1"/>
  <c r="BS4" i="11" s="1"/>
  <c r="BP3" i="11"/>
  <c r="BQ3" i="11" s="1"/>
  <c r="BR3" i="11" s="1"/>
  <c r="BP2" i="11"/>
  <c r="BQ2" i="11" s="1"/>
  <c r="BR2" i="11" s="1"/>
  <c r="BS2" i="11" s="1"/>
  <c r="BJ13" i="11"/>
  <c r="BF11" i="11"/>
  <c r="BG10" i="11"/>
  <c r="BG9" i="11"/>
  <c r="BH9" i="11" s="1"/>
  <c r="BI9" i="11" s="1"/>
  <c r="BJ9" i="11" s="1"/>
  <c r="BG8" i="11"/>
  <c r="BH7" i="11"/>
  <c r="BI7" i="11" s="1"/>
  <c r="BG7" i="11"/>
  <c r="BI6" i="11"/>
  <c r="BJ6" i="11" s="1"/>
  <c r="BH6" i="11"/>
  <c r="BG6" i="11"/>
  <c r="BG5" i="11"/>
  <c r="BG4" i="11"/>
  <c r="BH3" i="11"/>
  <c r="BI3" i="11" s="1"/>
  <c r="BJ3" i="11" s="1"/>
  <c r="BG3" i="11"/>
  <c r="BG2" i="11"/>
  <c r="BA13" i="11"/>
  <c r="AW11" i="11"/>
  <c r="AX3" i="11" s="1"/>
  <c r="AX9" i="11"/>
  <c r="AY9" i="11" s="1"/>
  <c r="AZ9" i="11" s="1"/>
  <c r="BA9" i="11" s="1"/>
  <c r="AX8" i="11"/>
  <c r="AX6" i="11"/>
  <c r="AY6" i="11" s="1"/>
  <c r="AZ6" i="11" s="1"/>
  <c r="BA6" i="11" s="1"/>
  <c r="AX5" i="11"/>
  <c r="AY5" i="11" s="1"/>
  <c r="AZ5" i="11" s="1"/>
  <c r="BA5" i="11" s="1"/>
  <c r="AX4" i="11"/>
  <c r="AX2" i="11"/>
  <c r="AY2" i="11" s="1"/>
  <c r="AZ2" i="11" s="1"/>
  <c r="BA2" i="11" s="1"/>
  <c r="AR13" i="11"/>
  <c r="AN11" i="11"/>
  <c r="AO10" i="11" s="1"/>
  <c r="AO9" i="11"/>
  <c r="AO7" i="11"/>
  <c r="AO5" i="11"/>
  <c r="AO3" i="11"/>
  <c r="AI13" i="11"/>
  <c r="AE11" i="11"/>
  <c r="AF10" i="11"/>
  <c r="AF9" i="11"/>
  <c r="AG8" i="11"/>
  <c r="AH8" i="11" s="1"/>
  <c r="AI8" i="11" s="1"/>
  <c r="AF8" i="11"/>
  <c r="AF7" i="11"/>
  <c r="AF6" i="11"/>
  <c r="AG6" i="11" s="1"/>
  <c r="AH6" i="11" s="1"/>
  <c r="AI6" i="11" s="1"/>
  <c r="AF5" i="11"/>
  <c r="AF4" i="11"/>
  <c r="AF3" i="11"/>
  <c r="AG3" i="11" s="1"/>
  <c r="AH3" i="11" s="1"/>
  <c r="AI3" i="11" s="1"/>
  <c r="AF2" i="11"/>
  <c r="Z13" i="11"/>
  <c r="V11" i="11"/>
  <c r="W7" i="11" s="1"/>
  <c r="W10" i="11"/>
  <c r="X10" i="11" s="1"/>
  <c r="Y10" i="11" s="1"/>
  <c r="Z10" i="11" s="1"/>
  <c r="W9" i="11"/>
  <c r="X9" i="11" s="1"/>
  <c r="Y9" i="11" s="1"/>
  <c r="Z9" i="11" s="1"/>
  <c r="W8" i="11"/>
  <c r="W6" i="11"/>
  <c r="X6" i="11" s="1"/>
  <c r="Y6" i="11" s="1"/>
  <c r="Z6" i="11" s="1"/>
  <c r="W5" i="11"/>
  <c r="W4" i="11"/>
  <c r="X3" i="11"/>
  <c r="Y3" i="11" s="1"/>
  <c r="Z3" i="11" s="1"/>
  <c r="W3" i="11"/>
  <c r="W2" i="11"/>
  <c r="X2" i="11" s="1"/>
  <c r="Y2" i="11" s="1"/>
  <c r="Z2" i="11" s="1"/>
  <c r="Q13" i="11"/>
  <c r="M11" i="11"/>
  <c r="N8" i="11" s="1"/>
  <c r="N9" i="11"/>
  <c r="N7" i="11"/>
  <c r="N6" i="11"/>
  <c r="O6" i="11" s="1"/>
  <c r="P6" i="11" s="1"/>
  <c r="N4" i="11"/>
  <c r="EY7" i="10" l="1"/>
  <c r="EY8" i="10"/>
  <c r="EW3" i="10"/>
  <c r="EX3" i="10" s="1"/>
  <c r="EY3" i="10" s="1"/>
  <c r="EW5" i="10"/>
  <c r="EX5" i="10" s="1"/>
  <c r="EY5" i="10" s="1"/>
  <c r="EW7" i="10"/>
  <c r="EX7" i="10" s="1"/>
  <c r="EW9" i="10"/>
  <c r="EX9" i="10" s="1"/>
  <c r="EY9" i="10" s="1"/>
  <c r="EW2" i="10"/>
  <c r="EX2" i="10" s="1"/>
  <c r="EY2" i="10" s="1"/>
  <c r="EW4" i="10"/>
  <c r="EX4" i="10" s="1"/>
  <c r="EY4" i="10" s="1"/>
  <c r="EW6" i="10"/>
  <c r="EX6" i="10" s="1"/>
  <c r="EY6" i="10" s="1"/>
  <c r="EW8" i="10"/>
  <c r="EX8" i="10" s="1"/>
  <c r="EW10" i="10"/>
  <c r="EX10" i="10" s="1"/>
  <c r="EY10" i="10" s="1"/>
  <c r="EP6" i="10"/>
  <c r="EP3" i="10"/>
  <c r="EP5" i="10"/>
  <c r="EP7" i="10"/>
  <c r="EP9" i="10"/>
  <c r="EN6" i="10"/>
  <c r="EO6" i="10" s="1"/>
  <c r="EP2" i="10"/>
  <c r="EP4" i="10"/>
  <c r="EP8" i="10"/>
  <c r="EP10" i="10"/>
  <c r="BI11" i="10"/>
  <c r="BJ2" i="10" s="1"/>
  <c r="BK2" i="10" s="1"/>
  <c r="BL2" i="10" s="1"/>
  <c r="AZ11" i="10"/>
  <c r="BA2" i="10" s="1"/>
  <c r="BB2" i="10" s="1"/>
  <c r="BC2" i="10" s="1"/>
  <c r="L11" i="10"/>
  <c r="D11" i="10"/>
  <c r="E10" i="10" s="1"/>
  <c r="FE4" i="11"/>
  <c r="FE9" i="11"/>
  <c r="FC10" i="11"/>
  <c r="FD10" i="11" s="1"/>
  <c r="FE10" i="11" s="1"/>
  <c r="FE2" i="11"/>
  <c r="FC4" i="11"/>
  <c r="FD4" i="11" s="1"/>
  <c r="FE7" i="11"/>
  <c r="FC9" i="11"/>
  <c r="FD9" i="11" s="1"/>
  <c r="ET9" i="11"/>
  <c r="EU9" i="11" s="1"/>
  <c r="EV9" i="11" s="1"/>
  <c r="EV6" i="11"/>
  <c r="ES3" i="11"/>
  <c r="EV4" i="11"/>
  <c r="ET6" i="11"/>
  <c r="EU6" i="11" s="1"/>
  <c r="ES8" i="11"/>
  <c r="ES5" i="11"/>
  <c r="ES2" i="11"/>
  <c r="ES10" i="11"/>
  <c r="ES7" i="11"/>
  <c r="EM8" i="11"/>
  <c r="EK8" i="11"/>
  <c r="EL8" i="11" s="1"/>
  <c r="EK2" i="11"/>
  <c r="EL2" i="11" s="1"/>
  <c r="EM2" i="11" s="1"/>
  <c r="EK10" i="11"/>
  <c r="EL10" i="11" s="1"/>
  <c r="EM10" i="11" s="1"/>
  <c r="EK4" i="11"/>
  <c r="EL4" i="11" s="1"/>
  <c r="EM4" i="11" s="1"/>
  <c r="EB3" i="11"/>
  <c r="EC3" i="11" s="1"/>
  <c r="ED3" i="11" s="1"/>
  <c r="EB8" i="11"/>
  <c r="EC8" i="11" s="1"/>
  <c r="ED8" i="11" s="1"/>
  <c r="EA7" i="11"/>
  <c r="EB4" i="11"/>
  <c r="EC4" i="11" s="1"/>
  <c r="ED4" i="11" s="1"/>
  <c r="DS8" i="11"/>
  <c r="DT8" i="11" s="1"/>
  <c r="DU8" i="11" s="1"/>
  <c r="DR5" i="11"/>
  <c r="DR10" i="11"/>
  <c r="DR4" i="11"/>
  <c r="DR2" i="11"/>
  <c r="DR7" i="11"/>
  <c r="DR9" i="11"/>
  <c r="DR6" i="11"/>
  <c r="DR3" i="11"/>
  <c r="DJ7" i="11"/>
  <c r="DK7" i="11" s="1"/>
  <c r="DL7" i="11" s="1"/>
  <c r="DJ3" i="11"/>
  <c r="DK3" i="11" s="1"/>
  <c r="DL3" i="11" s="1"/>
  <c r="DL11" i="11" s="1"/>
  <c r="DL14" i="11" s="1"/>
  <c r="DJ5" i="11"/>
  <c r="DK5" i="11" s="1"/>
  <c r="DL5" i="11" s="1"/>
  <c r="DL8" i="11"/>
  <c r="DC8" i="11"/>
  <c r="DA8" i="11"/>
  <c r="DB8" i="11" s="1"/>
  <c r="DC4" i="11"/>
  <c r="DC9" i="11"/>
  <c r="CZ5" i="11"/>
  <c r="DC6" i="11"/>
  <c r="CZ2" i="11"/>
  <c r="CZ10" i="11"/>
  <c r="CZ7" i="11"/>
  <c r="DA4" i="11"/>
  <c r="DB4" i="11" s="1"/>
  <c r="CZ3" i="11"/>
  <c r="CT4" i="11"/>
  <c r="CR3" i="11"/>
  <c r="CS3" i="11" s="1"/>
  <c r="CT3" i="11" s="1"/>
  <c r="CR8" i="11"/>
  <c r="CS8" i="11" s="1"/>
  <c r="CT8" i="11" s="1"/>
  <c r="CQ2" i="11"/>
  <c r="CQ10" i="11"/>
  <c r="CQ7" i="11"/>
  <c r="CR4" i="11"/>
  <c r="CS4" i="11" s="1"/>
  <c r="CQ9" i="11"/>
  <c r="CK4" i="11"/>
  <c r="CK8" i="11"/>
  <c r="CI8" i="11"/>
  <c r="CJ8" i="11" s="1"/>
  <c r="CI2" i="11"/>
  <c r="CJ2" i="11" s="1"/>
  <c r="CK2" i="11" s="1"/>
  <c r="CI10" i="11"/>
  <c r="CJ10" i="11" s="1"/>
  <c r="CK10" i="11" s="1"/>
  <c r="CI4" i="11"/>
  <c r="CJ4" i="11" s="1"/>
  <c r="BZ8" i="11"/>
  <c r="CA8" i="11" s="1"/>
  <c r="CB8" i="11" s="1"/>
  <c r="CB4" i="11"/>
  <c r="BZ5" i="11"/>
  <c r="CA5" i="11" s="1"/>
  <c r="CB5" i="11" s="1"/>
  <c r="BZ2" i="11"/>
  <c r="CA2" i="11" s="1"/>
  <c r="CB2" i="11" s="1"/>
  <c r="BZ10" i="11"/>
  <c r="CA10" i="11" s="1"/>
  <c r="CB10" i="11" s="1"/>
  <c r="BZ7" i="11"/>
  <c r="CA7" i="11" s="1"/>
  <c r="CB7" i="11" s="1"/>
  <c r="BZ4" i="11"/>
  <c r="CA4" i="11" s="1"/>
  <c r="BY9" i="11"/>
  <c r="BY3" i="11"/>
  <c r="BS8" i="11"/>
  <c r="BS7" i="11"/>
  <c r="BQ7" i="11"/>
  <c r="BR7" i="11" s="1"/>
  <c r="BQ8" i="11"/>
  <c r="BR8" i="11" s="1"/>
  <c r="BS3" i="11"/>
  <c r="BS11" i="11" s="1"/>
  <c r="BS14" i="11" s="1"/>
  <c r="BJ5" i="11"/>
  <c r="BJ2" i="11"/>
  <c r="BJ4" i="11"/>
  <c r="BJ7" i="11"/>
  <c r="BH8" i="11"/>
  <c r="BI8" i="11" s="1"/>
  <c r="BJ8" i="11" s="1"/>
  <c r="BH5" i="11"/>
  <c r="BI5" i="11" s="1"/>
  <c r="BH2" i="11"/>
  <c r="BI2" i="11" s="1"/>
  <c r="BH10" i="11"/>
  <c r="BI10" i="11" s="1"/>
  <c r="BJ10" i="11" s="1"/>
  <c r="BH4" i="11"/>
  <c r="BI4" i="11" s="1"/>
  <c r="AY3" i="11"/>
  <c r="AZ3" i="11" s="1"/>
  <c r="BA3" i="11" s="1"/>
  <c r="BA4" i="11"/>
  <c r="AY8" i="11"/>
  <c r="AZ8" i="11" s="1"/>
  <c r="BA8" i="11" s="1"/>
  <c r="AX10" i="11"/>
  <c r="AX7" i="11"/>
  <c r="AY4" i="11"/>
  <c r="AZ4" i="11" s="1"/>
  <c r="AP10" i="11"/>
  <c r="AQ10" i="11" s="1"/>
  <c r="AR10" i="11" s="1"/>
  <c r="AR7" i="11"/>
  <c r="AP3" i="11"/>
  <c r="AQ3" i="11" s="1"/>
  <c r="AR3" i="11" s="1"/>
  <c r="AP5" i="11"/>
  <c r="AQ5" i="11" s="1"/>
  <c r="AR5" i="11" s="1"/>
  <c r="AP7" i="11"/>
  <c r="AQ7" i="11" s="1"/>
  <c r="AP9" i="11"/>
  <c r="AQ9" i="11" s="1"/>
  <c r="AR9" i="11" s="1"/>
  <c r="AO2" i="11"/>
  <c r="AO4" i="11"/>
  <c r="AO6" i="11"/>
  <c r="AO8" i="11"/>
  <c r="AI10" i="11"/>
  <c r="AI7" i="11"/>
  <c r="AG5" i="11"/>
  <c r="AH5" i="11" s="1"/>
  <c r="AI5" i="11" s="1"/>
  <c r="AG2" i="11"/>
  <c r="AH2" i="11" s="1"/>
  <c r="AI2" i="11" s="1"/>
  <c r="AI11" i="11" s="1"/>
  <c r="AI14" i="11" s="1"/>
  <c r="AG10" i="11"/>
  <c r="AH10" i="11" s="1"/>
  <c r="AG7" i="11"/>
  <c r="AH7" i="11" s="1"/>
  <c r="AG4" i="11"/>
  <c r="AH4" i="11" s="1"/>
  <c r="AI4" i="11" s="1"/>
  <c r="AG9" i="11"/>
  <c r="AH9" i="11" s="1"/>
  <c r="AI9" i="11" s="1"/>
  <c r="X7" i="11"/>
  <c r="Y7" i="11" s="1"/>
  <c r="Z7" i="11" s="1"/>
  <c r="X8" i="11"/>
  <c r="Y8" i="11" s="1"/>
  <c r="Z8" i="11" s="1"/>
  <c r="X5" i="11"/>
  <c r="Y5" i="11" s="1"/>
  <c r="Z5" i="11" s="1"/>
  <c r="X4" i="11"/>
  <c r="Y4" i="11" s="1"/>
  <c r="Z4" i="11" s="1"/>
  <c r="O8" i="11"/>
  <c r="P8" i="11" s="1"/>
  <c r="Q8" i="11" s="1"/>
  <c r="Q9" i="11"/>
  <c r="O7" i="11"/>
  <c r="P7" i="11" s="1"/>
  <c r="Q7" i="11" s="1"/>
  <c r="O9" i="11"/>
  <c r="P9" i="11" s="1"/>
  <c r="N5" i="11"/>
  <c r="Q6" i="11"/>
  <c r="N2" i="11"/>
  <c r="N10" i="11"/>
  <c r="O4" i="11"/>
  <c r="P4" i="11" s="1"/>
  <c r="Q4" i="11" s="1"/>
  <c r="N3" i="11"/>
  <c r="H12" i="11"/>
  <c r="D11" i="11"/>
  <c r="E7" i="11" s="1"/>
  <c r="M13" i="8"/>
  <c r="EY11" i="10" l="1"/>
  <c r="EY13" i="10" s="1"/>
  <c r="EP11" i="10"/>
  <c r="EP13" i="10" s="1"/>
  <c r="BJ6" i="10"/>
  <c r="BJ3" i="10"/>
  <c r="BJ10" i="10"/>
  <c r="BJ8" i="10"/>
  <c r="BJ7" i="10"/>
  <c r="BJ4" i="10"/>
  <c r="BK4" i="10" s="1"/>
  <c r="BL4" i="10" s="1"/>
  <c r="CA8" i="10"/>
  <c r="CA2" i="10"/>
  <c r="CA7" i="10"/>
  <c r="CA6" i="10"/>
  <c r="CA9" i="10"/>
  <c r="CA5" i="10"/>
  <c r="CA4" i="10"/>
  <c r="CA3" i="10"/>
  <c r="CA10" i="10"/>
  <c r="BJ5" i="10"/>
  <c r="BJ9" i="10"/>
  <c r="BK10" i="10"/>
  <c r="BL10" i="10" s="1"/>
  <c r="BM10" i="10" s="1"/>
  <c r="BA10" i="10"/>
  <c r="BA8" i="10"/>
  <c r="BB8" i="10" s="1"/>
  <c r="BC8" i="10" s="1"/>
  <c r="BD8" i="10" s="1"/>
  <c r="BA6" i="10"/>
  <c r="BB6" i="10" s="1"/>
  <c r="BC6" i="10" s="1"/>
  <c r="BA9" i="10"/>
  <c r="BA3" i="10"/>
  <c r="BA7" i="10"/>
  <c r="BA5" i="10"/>
  <c r="BA4" i="10"/>
  <c r="BB4" i="10" s="1"/>
  <c r="BC4" i="10" s="1"/>
  <c r="BD4" i="10" s="1"/>
  <c r="BB10" i="10"/>
  <c r="BC10" i="10" s="1"/>
  <c r="BD10" i="10" s="1"/>
  <c r="M7" i="10"/>
  <c r="M10" i="10"/>
  <c r="M9" i="10"/>
  <c r="M2" i="10"/>
  <c r="M3" i="10"/>
  <c r="M4" i="10"/>
  <c r="M8" i="10"/>
  <c r="M5" i="10"/>
  <c r="M6" i="10"/>
  <c r="E6" i="10"/>
  <c r="F6" i="10" s="1"/>
  <c r="G6" i="10" s="1"/>
  <c r="H6" i="10" s="1"/>
  <c r="AB7" i="10"/>
  <c r="T8" i="10"/>
  <c r="T7" i="10"/>
  <c r="T6" i="10"/>
  <c r="T5" i="10"/>
  <c r="T4" i="10"/>
  <c r="T3" i="10"/>
  <c r="T2" i="10"/>
  <c r="T9" i="10"/>
  <c r="T10" i="10"/>
  <c r="CS6" i="10"/>
  <c r="CS5" i="10"/>
  <c r="CS4" i="10"/>
  <c r="CS3" i="10"/>
  <c r="CS10" i="10"/>
  <c r="CS2" i="10"/>
  <c r="CS9" i="10"/>
  <c r="CS8" i="10"/>
  <c r="CS7" i="10"/>
  <c r="E2" i="10"/>
  <c r="F2" i="10" s="1"/>
  <c r="G2" i="10" s="1"/>
  <c r="AB4" i="10"/>
  <c r="E8" i="10"/>
  <c r="F8" i="10" s="1"/>
  <c r="G8" i="10" s="1"/>
  <c r="H8" i="10" s="1"/>
  <c r="AB5" i="10"/>
  <c r="AB2" i="10"/>
  <c r="AB6" i="10"/>
  <c r="AB9" i="10"/>
  <c r="AB8" i="10"/>
  <c r="AB10" i="10"/>
  <c r="AB3" i="10"/>
  <c r="E5" i="10"/>
  <c r="E4" i="10"/>
  <c r="F4" i="10" s="1"/>
  <c r="G4" i="10" s="1"/>
  <c r="H4" i="10" s="1"/>
  <c r="E9" i="10"/>
  <c r="F9" i="10" s="1"/>
  <c r="G9" i="10" s="1"/>
  <c r="AJ3" i="10"/>
  <c r="AJ10" i="10"/>
  <c r="AJ2" i="10"/>
  <c r="AJ9" i="10"/>
  <c r="AJ8" i="10"/>
  <c r="AJ7" i="10"/>
  <c r="AJ6" i="10"/>
  <c r="AJ4" i="10" a="1"/>
  <c r="AJ4" i="10" s="1"/>
  <c r="AJ5" i="10"/>
  <c r="E3" i="10"/>
  <c r="F3" i="10" s="1"/>
  <c r="G3" i="10" s="1"/>
  <c r="E7" i="10"/>
  <c r="AR5" i="10"/>
  <c r="AR6" i="10"/>
  <c r="AR8" i="10"/>
  <c r="AR9" i="10"/>
  <c r="AR7" i="10"/>
  <c r="AR2" i="10"/>
  <c r="AR3" i="10"/>
  <c r="AR10" i="10"/>
  <c r="F10" i="10"/>
  <c r="G10" i="10" s="1"/>
  <c r="H10" i="10" s="1"/>
  <c r="AR4" i="10"/>
  <c r="FE11" i="11"/>
  <c r="FE14" i="11" s="1"/>
  <c r="ET8" i="11"/>
  <c r="EU8" i="11" s="1"/>
  <c r="EV8" i="11" s="1"/>
  <c r="ET7" i="11"/>
  <c r="EU7" i="11" s="1"/>
  <c r="EV7" i="11" s="1"/>
  <c r="ET2" i="11"/>
  <c r="EU2" i="11" s="1"/>
  <c r="EV2" i="11" s="1"/>
  <c r="EV11" i="11" s="1"/>
  <c r="EV14" i="11" s="1"/>
  <c r="ET10" i="11"/>
  <c r="EU10" i="11" s="1"/>
  <c r="EV10" i="11" s="1"/>
  <c r="ET5" i="11"/>
  <c r="EU5" i="11" s="1"/>
  <c r="EV5" i="11" s="1"/>
  <c r="EV3" i="11"/>
  <c r="ET3" i="11"/>
  <c r="EU3" i="11" s="1"/>
  <c r="EM11" i="11"/>
  <c r="EM14" i="11" s="1"/>
  <c r="EB7" i="11"/>
  <c r="EC7" i="11" s="1"/>
  <c r="ED7" i="11" s="1"/>
  <c r="ED11" i="11" s="1"/>
  <c r="ED14" i="11" s="1"/>
  <c r="DS7" i="11"/>
  <c r="DT7" i="11" s="1"/>
  <c r="DU7" i="11" s="1"/>
  <c r="DS2" i="11"/>
  <c r="DT2" i="11" s="1"/>
  <c r="DU2" i="11" s="1"/>
  <c r="DS4" i="11"/>
  <c r="DT4" i="11" s="1"/>
  <c r="DU4" i="11" s="1"/>
  <c r="DS10" i="11"/>
  <c r="DT10" i="11" s="1"/>
  <c r="DU10" i="11" s="1"/>
  <c r="DS9" i="11"/>
  <c r="DT9" i="11" s="1"/>
  <c r="DU9" i="11" s="1"/>
  <c r="DS5" i="11"/>
  <c r="DT5" i="11" s="1"/>
  <c r="DU5" i="11" s="1"/>
  <c r="DS3" i="11"/>
  <c r="DT3" i="11" s="1"/>
  <c r="DU3" i="11"/>
  <c r="DS6" i="11"/>
  <c r="DT6" i="11" s="1"/>
  <c r="DU6" i="11"/>
  <c r="DA7" i="11"/>
  <c r="DB7" i="11" s="1"/>
  <c r="DC7" i="11" s="1"/>
  <c r="DA2" i="11"/>
  <c r="DB2" i="11" s="1"/>
  <c r="DC2" i="11"/>
  <c r="DA10" i="11"/>
  <c r="DB10" i="11" s="1"/>
  <c r="DC10" i="11" s="1"/>
  <c r="DA5" i="11"/>
  <c r="DB5" i="11" s="1"/>
  <c r="DC5" i="11"/>
  <c r="DA3" i="11"/>
  <c r="DB3" i="11" s="1"/>
  <c r="DC3" i="11" s="1"/>
  <c r="CR7" i="11"/>
  <c r="CS7" i="11" s="1"/>
  <c r="CT7" i="11" s="1"/>
  <c r="CT10" i="11"/>
  <c r="CR10" i="11"/>
  <c r="CS10" i="11" s="1"/>
  <c r="CT2" i="11"/>
  <c r="CR2" i="11"/>
  <c r="CS2" i="11" s="1"/>
  <c r="CR9" i="11"/>
  <c r="CS9" i="11" s="1"/>
  <c r="CT9" i="11"/>
  <c r="CK11" i="11"/>
  <c r="CK14" i="11" s="1"/>
  <c r="BZ9" i="11"/>
  <c r="CA9" i="11" s="1"/>
  <c r="CB9" i="11" s="1"/>
  <c r="CB11" i="11" s="1"/>
  <c r="CB14" i="11" s="1"/>
  <c r="BZ3" i="11"/>
  <c r="CA3" i="11" s="1"/>
  <c r="CB3" i="11"/>
  <c r="BJ11" i="11"/>
  <c r="BJ14" i="11" s="1"/>
  <c r="BA7" i="11"/>
  <c r="BA11" i="11" s="1"/>
  <c r="BA14" i="11" s="1"/>
  <c r="AY7" i="11"/>
  <c r="AZ7" i="11" s="1"/>
  <c r="AY10" i="11"/>
  <c r="AZ10" i="11" s="1"/>
  <c r="BA10" i="11" s="1"/>
  <c r="AP8" i="11"/>
  <c r="AQ8" i="11" s="1"/>
  <c r="AR8" i="11" s="1"/>
  <c r="AP4" i="11"/>
  <c r="AQ4" i="11" s="1"/>
  <c r="AR4" i="11" s="1"/>
  <c r="AP6" i="11"/>
  <c r="AQ6" i="11" s="1"/>
  <c r="AR6" i="11" s="1"/>
  <c r="AP2" i="11"/>
  <c r="AQ2" i="11" s="1"/>
  <c r="AR2" i="11" s="1"/>
  <c r="AR11" i="11" s="1"/>
  <c r="AR14" i="11" s="1"/>
  <c r="Z11" i="11"/>
  <c r="Z14" i="11" s="1"/>
  <c r="O3" i="11"/>
  <c r="P3" i="11" s="1"/>
  <c r="Q3" i="11" s="1"/>
  <c r="Q10" i="11"/>
  <c r="O10" i="11"/>
  <c r="P10" i="11" s="1"/>
  <c r="O2" i="11"/>
  <c r="P2" i="11" s="1"/>
  <c r="Q2" i="11" s="1"/>
  <c r="O5" i="11"/>
  <c r="P5" i="11" s="1"/>
  <c r="Q5" i="11" s="1"/>
  <c r="E5" i="11"/>
  <c r="E6" i="11"/>
  <c r="F6" i="11" s="1"/>
  <c r="G6" i="11" s="1"/>
  <c r="H6" i="11" s="1"/>
  <c r="E3" i="11"/>
  <c r="F3" i="11" s="1"/>
  <c r="G3" i="11" s="1"/>
  <c r="E9" i="11"/>
  <c r="F9" i="11" s="1"/>
  <c r="G9" i="11" s="1"/>
  <c r="H9" i="11" s="1"/>
  <c r="E4" i="11"/>
  <c r="F4" i="11" s="1"/>
  <c r="G4" i="11" s="1"/>
  <c r="H4" i="11" s="1"/>
  <c r="E8" i="11"/>
  <c r="F8" i="11" s="1"/>
  <c r="G8" i="11" s="1"/>
  <c r="H8" i="11" s="1"/>
  <c r="E2" i="11"/>
  <c r="F2" i="11" s="1"/>
  <c r="G2" i="11" s="1"/>
  <c r="H2" i="11" s="1"/>
  <c r="E10" i="11"/>
  <c r="F7" i="11"/>
  <c r="G7" i="11" s="1"/>
  <c r="H7" i="11" s="1"/>
  <c r="F5" i="11"/>
  <c r="G5" i="11" s="1"/>
  <c r="H5" i="11" s="1"/>
  <c r="M14" i="7"/>
  <c r="J12" i="7"/>
  <c r="K12" i="7"/>
  <c r="L12" i="7" s="1"/>
  <c r="M12" i="7" s="1"/>
  <c r="I13" i="7"/>
  <c r="J11" i="7" s="1"/>
  <c r="M7" i="7"/>
  <c r="I5" i="7"/>
  <c r="J4" i="7" s="1"/>
  <c r="K4" i="7" s="1"/>
  <c r="M3" i="1"/>
  <c r="L3" i="1"/>
  <c r="H3" i="1"/>
  <c r="CS11" i="10" l="1"/>
  <c r="CT9" i="10" s="1"/>
  <c r="CA11" i="10"/>
  <c r="CB10" i="10" s="1"/>
  <c r="CC10" i="10" s="1"/>
  <c r="CD10" i="10" s="1"/>
  <c r="CE10" i="10" s="1"/>
  <c r="BM4" i="10"/>
  <c r="BK7" i="10"/>
  <c r="BL7" i="10" s="1"/>
  <c r="BM7" i="10" s="1"/>
  <c r="BK6" i="10"/>
  <c r="BL6" i="10" s="1"/>
  <c r="BM6" i="10" s="1"/>
  <c r="BK8" i="10"/>
  <c r="BL8" i="10" s="1"/>
  <c r="BM8" i="10" s="1"/>
  <c r="BK3" i="10"/>
  <c r="BL3" i="10" s="1"/>
  <c r="BM3" i="10" s="1"/>
  <c r="BK9" i="10"/>
  <c r="BL9" i="10" s="1"/>
  <c r="BM9" i="10" s="1"/>
  <c r="BK5" i="10"/>
  <c r="BL5" i="10" s="1"/>
  <c r="BM5" i="10" s="1"/>
  <c r="BB5" i="10"/>
  <c r="BC5" i="10" s="1"/>
  <c r="BD5" i="10" s="1"/>
  <c r="BB7" i="10"/>
  <c r="BC7" i="10" s="1"/>
  <c r="BD7" i="10" s="1"/>
  <c r="BD6" i="10"/>
  <c r="BB3" i="10"/>
  <c r="BC3" i="10" s="1"/>
  <c r="BD3" i="10" s="1"/>
  <c r="BB9" i="10"/>
  <c r="BC9" i="10" s="1"/>
  <c r="BD9" i="10" s="1"/>
  <c r="AR11" i="10"/>
  <c r="AS8" i="10" s="1"/>
  <c r="AT8" i="10" s="1"/>
  <c r="AU8" i="10" s="1"/>
  <c r="AV8" i="10" s="1"/>
  <c r="AJ11" i="10"/>
  <c r="AK10" i="10" s="1"/>
  <c r="AB11" i="10"/>
  <c r="AC3" i="10" s="1"/>
  <c r="T11" i="10"/>
  <c r="U4" i="10" s="1"/>
  <c r="V4" i="10" s="1"/>
  <c r="W4" i="10" s="1"/>
  <c r="X4" i="10" s="1"/>
  <c r="N10" i="10"/>
  <c r="O10" i="10" s="1"/>
  <c r="P10" i="10" s="1"/>
  <c r="N5" i="10"/>
  <c r="O5" i="10" s="1"/>
  <c r="P5" i="10" s="1"/>
  <c r="N8" i="10"/>
  <c r="O8" i="10" s="1"/>
  <c r="P8" i="10" s="1"/>
  <c r="N4" i="10"/>
  <c r="O4" i="10" s="1"/>
  <c r="P4" i="10" s="1"/>
  <c r="N3" i="10"/>
  <c r="O3" i="10" s="1"/>
  <c r="P3" i="10" s="1"/>
  <c r="N2" i="10"/>
  <c r="O2" i="10" s="1"/>
  <c r="P2" i="10" s="1"/>
  <c r="N9" i="10"/>
  <c r="O9" i="10" s="1"/>
  <c r="P9" i="10" s="1"/>
  <c r="N6" i="10"/>
  <c r="O6" i="10" s="1"/>
  <c r="P6" i="10" s="1"/>
  <c r="N7" i="10"/>
  <c r="O7" i="10" s="1"/>
  <c r="P7" i="10" s="1"/>
  <c r="DK4" i="10"/>
  <c r="DK3" i="10"/>
  <c r="DK10" i="10"/>
  <c r="DK2" i="10"/>
  <c r="DK9" i="10"/>
  <c r="DK8" i="10"/>
  <c r="DK7" i="10"/>
  <c r="DK6" i="10"/>
  <c r="DK5" i="10"/>
  <c r="BR6" i="10"/>
  <c r="BR3" i="10"/>
  <c r="BR7" i="10"/>
  <c r="BR2" i="10"/>
  <c r="BR8" i="10"/>
  <c r="BR9" i="10"/>
  <c r="BR5" i="10"/>
  <c r="F7" i="10"/>
  <c r="G7" i="10" s="1"/>
  <c r="H7" i="10" s="1"/>
  <c r="BR10" i="10"/>
  <c r="F5" i="10"/>
  <c r="G5" i="10" s="1"/>
  <c r="H5" i="10" s="1"/>
  <c r="BR4" i="10"/>
  <c r="DU11" i="11"/>
  <c r="DU14" i="11" s="1"/>
  <c r="DC11" i="11"/>
  <c r="DC14" i="11" s="1"/>
  <c r="CT11" i="11"/>
  <c r="CT14" i="11" s="1"/>
  <c r="Q11" i="11"/>
  <c r="Q14" i="11" s="1"/>
  <c r="F10" i="11"/>
  <c r="G10" i="11" s="1"/>
  <c r="H10" i="11" s="1"/>
  <c r="H3" i="11"/>
  <c r="K11" i="7"/>
  <c r="L11" i="7" s="1"/>
  <c r="M11" i="7" s="1"/>
  <c r="J10" i="7"/>
  <c r="J2" i="7"/>
  <c r="J3" i="7"/>
  <c r="G3" i="1"/>
  <c r="F4" i="1"/>
  <c r="M4" i="1" s="1"/>
  <c r="CT6" i="10" l="1"/>
  <c r="CU6" i="10" s="1"/>
  <c r="CV6" i="10" s="1"/>
  <c r="CW6" i="10" s="1"/>
  <c r="CT5" i="10"/>
  <c r="CU5" i="10" s="1"/>
  <c r="CV5" i="10" s="1"/>
  <c r="CW5" i="10" s="1"/>
  <c r="DK11" i="10"/>
  <c r="DL6" i="10" s="1"/>
  <c r="CT4" i="10"/>
  <c r="CU4" i="10" s="1"/>
  <c r="CV4" i="10" s="1"/>
  <c r="CW4" i="10" s="1"/>
  <c r="CT10" i="10"/>
  <c r="CU10" i="10" s="1"/>
  <c r="CV10" i="10" s="1"/>
  <c r="CT8" i="10"/>
  <c r="CU8" i="10" s="1"/>
  <c r="CV8" i="10" s="1"/>
  <c r="CW8" i="10" s="1"/>
  <c r="CT3" i="10"/>
  <c r="CU3" i="10" s="1"/>
  <c r="CV3" i="10" s="1"/>
  <c r="CW3" i="10" s="1"/>
  <c r="CT7" i="10"/>
  <c r="CU7" i="10" s="1"/>
  <c r="CV7" i="10" s="1"/>
  <c r="CB7" i="10"/>
  <c r="CC7" i="10" s="1"/>
  <c r="CD7" i="10" s="1"/>
  <c r="CE7" i="10" s="1"/>
  <c r="CT2" i="10"/>
  <c r="CU2" i="10" s="1"/>
  <c r="CV2" i="10" s="1"/>
  <c r="CW2" i="10" s="1"/>
  <c r="CU9" i="10"/>
  <c r="CV9" i="10" s="1"/>
  <c r="CW9" i="10" s="1"/>
  <c r="CB9" i="10"/>
  <c r="CC9" i="10" s="1"/>
  <c r="CD9" i="10" s="1"/>
  <c r="CE9" i="10" s="1"/>
  <c r="CB5" i="10"/>
  <c r="CC5" i="10" s="1"/>
  <c r="CD5" i="10" s="1"/>
  <c r="CE5" i="10" s="1"/>
  <c r="CB3" i="10"/>
  <c r="CC3" i="10" s="1"/>
  <c r="CD3" i="10" s="1"/>
  <c r="CB8" i="10"/>
  <c r="CC8" i="10" s="1"/>
  <c r="CD8" i="10" s="1"/>
  <c r="CE8" i="10" s="1"/>
  <c r="CB4" i="10"/>
  <c r="CC4" i="10" s="1"/>
  <c r="CD4" i="10" s="1"/>
  <c r="CE4" i="10" s="1"/>
  <c r="CB2" i="10"/>
  <c r="CC2" i="10" s="1"/>
  <c r="CD2" i="10" s="1"/>
  <c r="CB6" i="10"/>
  <c r="CC6" i="10" s="1"/>
  <c r="CD6" i="10" s="1"/>
  <c r="CE6" i="10" s="1"/>
  <c r="BR11" i="10"/>
  <c r="BS4" i="10" s="1"/>
  <c r="BM11" i="10"/>
  <c r="BM13" i="10" s="1"/>
  <c r="BD13" i="10"/>
  <c r="AS2" i="10"/>
  <c r="AS3" i="10"/>
  <c r="AS10" i="10"/>
  <c r="AT10" i="10" s="1"/>
  <c r="AU10" i="10" s="1"/>
  <c r="AV10" i="10" s="1"/>
  <c r="AS5" i="10"/>
  <c r="AS4" i="10"/>
  <c r="AT4" i="10" s="1"/>
  <c r="AU4" i="10" s="1"/>
  <c r="AV4" i="10" s="1"/>
  <c r="AS9" i="10"/>
  <c r="AS6" i="10"/>
  <c r="AT6" i="10" s="1"/>
  <c r="AU6" i="10" s="1"/>
  <c r="AV6" i="10" s="1"/>
  <c r="AS7" i="10"/>
  <c r="AK8" i="10"/>
  <c r="AL8" i="10" s="1"/>
  <c r="AM8" i="10" s="1"/>
  <c r="AK6" i="10"/>
  <c r="AL6" i="10" s="1"/>
  <c r="AM6" i="10" s="1"/>
  <c r="AN6" i="10" s="1"/>
  <c r="AK3" i="10"/>
  <c r="AL3" i="10" s="1"/>
  <c r="AM3" i="10" s="1"/>
  <c r="AN3" i="10" s="1"/>
  <c r="AL10" i="10"/>
  <c r="AM10" i="10" s="1"/>
  <c r="AN10" i="10" s="1"/>
  <c r="AK4" i="10"/>
  <c r="AK5" i="10"/>
  <c r="AC8" i="10"/>
  <c r="AD8" i="10" s="1"/>
  <c r="AE8" i="10" s="1"/>
  <c r="AF8" i="10" s="1"/>
  <c r="AK7" i="10"/>
  <c r="AK2" i="10"/>
  <c r="AK9" i="10"/>
  <c r="AC2" i="10"/>
  <c r="AD2" i="10" s="1"/>
  <c r="AE2" i="10" s="1"/>
  <c r="AC7" i="10"/>
  <c r="AD7" i="10" s="1"/>
  <c r="AE7" i="10" s="1"/>
  <c r="AF7" i="10" s="1"/>
  <c r="AC6" i="10"/>
  <c r="AD6" i="10" s="1"/>
  <c r="AE6" i="10" s="1"/>
  <c r="AF6" i="10" s="1"/>
  <c r="AC9" i="10"/>
  <c r="AD9" i="10" s="1"/>
  <c r="AE9" i="10" s="1"/>
  <c r="AC10" i="10"/>
  <c r="AD10" i="10" s="1"/>
  <c r="AE10" i="10" s="1"/>
  <c r="AC5" i="10"/>
  <c r="AD5" i="10" s="1"/>
  <c r="AE5" i="10" s="1"/>
  <c r="AF5" i="10" s="1"/>
  <c r="AC4" i="10"/>
  <c r="AD4" i="10" s="1"/>
  <c r="AE4" i="10" s="1"/>
  <c r="AF4" i="10" s="1"/>
  <c r="AD3" i="10"/>
  <c r="AE3" i="10" s="1"/>
  <c r="AF3" i="10" s="1"/>
  <c r="U2" i="10"/>
  <c r="V2" i="10" s="1"/>
  <c r="W2" i="10" s="1"/>
  <c r="U7" i="10"/>
  <c r="V7" i="10" s="1"/>
  <c r="W7" i="10" s="1"/>
  <c r="X7" i="10" s="1"/>
  <c r="U9" i="10"/>
  <c r="V9" i="10" s="1"/>
  <c r="W9" i="10" s="1"/>
  <c r="X9" i="10" s="1"/>
  <c r="U8" i="10"/>
  <c r="V8" i="10" s="1"/>
  <c r="W8" i="10" s="1"/>
  <c r="U10" i="10"/>
  <c r="V10" i="10" s="1"/>
  <c r="W10" i="10" s="1"/>
  <c r="X10" i="10" s="1"/>
  <c r="U6" i="10"/>
  <c r="V6" i="10" s="1"/>
  <c r="W6" i="10" s="1"/>
  <c r="X6" i="10" s="1"/>
  <c r="U3" i="10"/>
  <c r="V3" i="10" s="1"/>
  <c r="W3" i="10" s="1"/>
  <c r="X3" i="10" s="1"/>
  <c r="U5" i="10"/>
  <c r="V5" i="10" s="1"/>
  <c r="W5" i="10" s="1"/>
  <c r="X5" i="10" s="1"/>
  <c r="P11" i="10"/>
  <c r="P13" i="10" s="1"/>
  <c r="H13" i="10"/>
  <c r="CJ7" i="10"/>
  <c r="CJ6" i="10"/>
  <c r="CJ5" i="10"/>
  <c r="CJ4" i="10"/>
  <c r="CJ3" i="10"/>
  <c r="CJ2" i="10"/>
  <c r="CJ10" i="10"/>
  <c r="CJ9" i="10"/>
  <c r="CJ8" i="10"/>
  <c r="EC10" i="10"/>
  <c r="EC2" i="10"/>
  <c r="EC9" i="10"/>
  <c r="EC8" i="10"/>
  <c r="EC7" i="10"/>
  <c r="EC6" i="10"/>
  <c r="EC5" i="10"/>
  <c r="EC4" i="10"/>
  <c r="EC3" i="10"/>
  <c r="H11" i="11"/>
  <c r="H13" i="11" s="1"/>
  <c r="K10" i="7"/>
  <c r="L10" i="7" s="1"/>
  <c r="M10" i="7" s="1"/>
  <c r="K3" i="7"/>
  <c r="L3" i="7" s="1"/>
  <c r="M3" i="7" s="1"/>
  <c r="K2" i="7"/>
  <c r="L2" i="7" s="1"/>
  <c r="M2" i="7" s="1"/>
  <c r="M6" i="7" s="1"/>
  <c r="M8" i="7" s="1"/>
  <c r="G4" i="1"/>
  <c r="L4" i="1"/>
  <c r="H4" i="1"/>
  <c r="F5" i="1"/>
  <c r="M5" i="1" s="1"/>
  <c r="EC11" i="10" l="1"/>
  <c r="ED7" i="10" s="1"/>
  <c r="EE7" i="10" s="1"/>
  <c r="EF7" i="10" s="1"/>
  <c r="EG7" i="10" s="1"/>
  <c r="DL2" i="10"/>
  <c r="DM2" i="10" s="1"/>
  <c r="DN2" i="10" s="1"/>
  <c r="DL4" i="10"/>
  <c r="DM4" i="10" s="1"/>
  <c r="DN4" i="10" s="1"/>
  <c r="DO4" i="10" s="1"/>
  <c r="DL5" i="10"/>
  <c r="DM5" i="10" s="1"/>
  <c r="DN5" i="10" s="1"/>
  <c r="DO5" i="10" s="1"/>
  <c r="DL9" i="10"/>
  <c r="DM9" i="10" s="1"/>
  <c r="DN9" i="10" s="1"/>
  <c r="DO9" i="10" s="1"/>
  <c r="DL3" i="10"/>
  <c r="DM3" i="10" s="1"/>
  <c r="DN3" i="10" s="1"/>
  <c r="DO3" i="10" s="1"/>
  <c r="DL8" i="10"/>
  <c r="DM8" i="10" s="1"/>
  <c r="DN8" i="10" s="1"/>
  <c r="DO8" i="10" s="1"/>
  <c r="DL10" i="10"/>
  <c r="DM10" i="10" s="1"/>
  <c r="DN10" i="10" s="1"/>
  <c r="DO10" i="10" s="1"/>
  <c r="DL7" i="10"/>
  <c r="DM7" i="10" s="1"/>
  <c r="DN7" i="10" s="1"/>
  <c r="DO7" i="10" s="1"/>
  <c r="DM6" i="10"/>
  <c r="DN6" i="10" s="1"/>
  <c r="DO6" i="10" s="1"/>
  <c r="CW7" i="10"/>
  <c r="CW11" i="10" s="1"/>
  <c r="CW13" i="10" s="1"/>
  <c r="CJ11" i="10"/>
  <c r="CK5" i="10" s="1"/>
  <c r="CL5" i="10" s="1"/>
  <c r="CM5" i="10" s="1"/>
  <c r="CN5" i="10" s="1"/>
  <c r="CE11" i="10"/>
  <c r="CE13" i="10" s="1"/>
  <c r="BS9" i="10"/>
  <c r="BT9" i="10" s="1"/>
  <c r="BU9" i="10" s="1"/>
  <c r="BV9" i="10" s="1"/>
  <c r="BS6" i="10"/>
  <c r="BT6" i="10" s="1"/>
  <c r="BU6" i="10" s="1"/>
  <c r="BT4" i="10"/>
  <c r="BU4" i="10" s="1"/>
  <c r="BV4" i="10" s="1"/>
  <c r="BS5" i="10"/>
  <c r="BS10" i="10"/>
  <c r="BS2" i="10"/>
  <c r="BS3" i="10"/>
  <c r="BS8" i="10"/>
  <c r="BS7" i="10"/>
  <c r="AT7" i="10"/>
  <c r="AU7" i="10" s="1"/>
  <c r="AV7" i="10" s="1"/>
  <c r="AT9" i="10"/>
  <c r="AU9" i="10" s="1"/>
  <c r="AV9" i="10" s="1"/>
  <c r="AT5" i="10"/>
  <c r="AU5" i="10" s="1"/>
  <c r="AV5" i="10" s="1"/>
  <c r="AT3" i="10"/>
  <c r="AU3" i="10" s="1"/>
  <c r="AV3" i="10" s="1"/>
  <c r="AT2" i="10"/>
  <c r="AU2" i="10" s="1"/>
  <c r="AV2" i="10" s="1"/>
  <c r="AN8" i="10"/>
  <c r="AL2" i="10"/>
  <c r="AM2" i="10" s="1"/>
  <c r="AN2" i="10" s="1"/>
  <c r="AL4" i="10"/>
  <c r="AM4" i="10" s="1"/>
  <c r="AN4" i="10" s="1"/>
  <c r="AL7" i="10"/>
  <c r="AM7" i="10" s="1"/>
  <c r="AN7" i="10" s="1"/>
  <c r="AL9" i="10"/>
  <c r="AM9" i="10" s="1"/>
  <c r="AN9" i="10" s="1"/>
  <c r="AL5" i="10"/>
  <c r="AM5" i="10" s="1"/>
  <c r="AN5" i="10" s="1"/>
  <c r="AF11" i="10"/>
  <c r="AF13" i="10" s="1"/>
  <c r="X13" i="10"/>
  <c r="DB5" i="10"/>
  <c r="DB4" i="10"/>
  <c r="DB3" i="10"/>
  <c r="DB10" i="10"/>
  <c r="DB2" i="10"/>
  <c r="DB9" i="10"/>
  <c r="DB8" i="10"/>
  <c r="DB7" i="10"/>
  <c r="DB6" i="10"/>
  <c r="EU8" i="10"/>
  <c r="EU7" i="10"/>
  <c r="EU6" i="10"/>
  <c r="EU5" i="10"/>
  <c r="EU4" i="10"/>
  <c r="EU3" i="10"/>
  <c r="EU10" i="10"/>
  <c r="EU2" i="10"/>
  <c r="EU9" i="10"/>
  <c r="M13" i="7"/>
  <c r="M15" i="7" s="1"/>
  <c r="M18" i="7" s="1"/>
  <c r="H5" i="1"/>
  <c r="L5" i="1"/>
  <c r="F6" i="1"/>
  <c r="M6" i="1" s="1"/>
  <c r="G5" i="1"/>
  <c r="ED6" i="10" l="1"/>
  <c r="EE6" i="10" s="1"/>
  <c r="EF6" i="10" s="1"/>
  <c r="EG6" i="10" s="1"/>
  <c r="ED5" i="10"/>
  <c r="EE5" i="10" s="1"/>
  <c r="EF5" i="10" s="1"/>
  <c r="EG5" i="10" s="1"/>
  <c r="ED4" i="10"/>
  <c r="EE4" i="10" s="1"/>
  <c r="EF4" i="10" s="1"/>
  <c r="EG4" i="10" s="1"/>
  <c r="ED2" i="10"/>
  <c r="EE2" i="10" s="1"/>
  <c r="EF2" i="10" s="1"/>
  <c r="EG2" i="10" s="1"/>
  <c r="ED9" i="10"/>
  <c r="EE9" i="10" s="1"/>
  <c r="EF9" i="10" s="1"/>
  <c r="EG9" i="10" s="1"/>
  <c r="ED3" i="10"/>
  <c r="EE3" i="10" s="1"/>
  <c r="EF3" i="10" s="1"/>
  <c r="EG3" i="10" s="1"/>
  <c r="EG11" i="10" s="1"/>
  <c r="EG13" i="10" s="1"/>
  <c r="ED10" i="10"/>
  <c r="EE10" i="10" s="1"/>
  <c r="EF10" i="10" s="1"/>
  <c r="EG10" i="10" s="1"/>
  <c r="ED8" i="10"/>
  <c r="EE8" i="10" s="1"/>
  <c r="EF8" i="10" s="1"/>
  <c r="EG8" i="10" s="1"/>
  <c r="DO11" i="10"/>
  <c r="DO13" i="10" s="1"/>
  <c r="DB11" i="10"/>
  <c r="DC8" i="10" s="1"/>
  <c r="DC7" i="10"/>
  <c r="CK2" i="10"/>
  <c r="CK6" i="10"/>
  <c r="CK10" i="10"/>
  <c r="CK9" i="10"/>
  <c r="CK7" i="10"/>
  <c r="CK4" i="10"/>
  <c r="CK8" i="10"/>
  <c r="CK3" i="10"/>
  <c r="BV6" i="10"/>
  <c r="BT3" i="10"/>
  <c r="BU3" i="10" s="1"/>
  <c r="BV3" i="10" s="1"/>
  <c r="BT8" i="10"/>
  <c r="BU8" i="10" s="1"/>
  <c r="BV8" i="10" s="1"/>
  <c r="BT2" i="10"/>
  <c r="BU2" i="10" s="1"/>
  <c r="BV2" i="10" s="1"/>
  <c r="BT10" i="10"/>
  <c r="BU10" i="10" s="1"/>
  <c r="BV10" i="10" s="1"/>
  <c r="BT5" i="10"/>
  <c r="BU5" i="10" s="1"/>
  <c r="BV5" i="10" s="1"/>
  <c r="BT7" i="10"/>
  <c r="BU7" i="10" s="1"/>
  <c r="BV7" i="10" s="1"/>
  <c r="AV11" i="10"/>
  <c r="AV13" i="10" s="1"/>
  <c r="AN11" i="10"/>
  <c r="DT3" i="10"/>
  <c r="DT10" i="10"/>
  <c r="DT2" i="10"/>
  <c r="DT9" i="10"/>
  <c r="DT8" i="10"/>
  <c r="DT7" i="10"/>
  <c r="DT6" i="10"/>
  <c r="DT5" i="10"/>
  <c r="DT4" i="10"/>
  <c r="H6" i="1"/>
  <c r="L6" i="1"/>
  <c r="G6" i="1"/>
  <c r="F7" i="1"/>
  <c r="M7" i="1" s="1"/>
  <c r="DT11" i="10" l="1"/>
  <c r="DU10" i="10" s="1"/>
  <c r="DV10" i="10" s="1"/>
  <c r="DW10" i="10" s="1"/>
  <c r="DX10" i="10" s="1"/>
  <c r="DC5" i="10"/>
  <c r="DD5" i="10" s="1"/>
  <c r="DE5" i="10" s="1"/>
  <c r="DF5" i="10" s="1"/>
  <c r="DC6" i="10"/>
  <c r="DD6" i="10" s="1"/>
  <c r="DE6" i="10" s="1"/>
  <c r="DF6" i="10" s="1"/>
  <c r="DC2" i="10"/>
  <c r="DD2" i="10" s="1"/>
  <c r="DE2" i="10" s="1"/>
  <c r="DF2" i="10" s="1"/>
  <c r="DC9" i="10"/>
  <c r="DD9" i="10" s="1"/>
  <c r="DE9" i="10" s="1"/>
  <c r="DF9" i="10" s="1"/>
  <c r="DD8" i="10"/>
  <c r="DE8" i="10" s="1"/>
  <c r="DF8" i="10" s="1"/>
  <c r="DD7" i="10"/>
  <c r="DE7" i="10" s="1"/>
  <c r="DF7" i="10" s="1"/>
  <c r="DC4" i="10"/>
  <c r="DC3" i="10"/>
  <c r="DD3" i="10" s="1"/>
  <c r="DE3" i="10" s="1"/>
  <c r="DC10" i="10"/>
  <c r="CL8" i="10"/>
  <c r="CM8" i="10" s="1"/>
  <c r="CN8" i="10" s="1"/>
  <c r="CL3" i="10"/>
  <c r="CM3" i="10" s="1"/>
  <c r="CN3" i="10" s="1"/>
  <c r="CL4" i="10"/>
  <c r="CM4" i="10" s="1"/>
  <c r="CN4" i="10" s="1"/>
  <c r="CL7" i="10"/>
  <c r="CM7" i="10" s="1"/>
  <c r="CN7" i="10" s="1"/>
  <c r="CL9" i="10"/>
  <c r="CM9" i="10" s="1"/>
  <c r="CN9" i="10" s="1"/>
  <c r="CL10" i="10"/>
  <c r="CM10" i="10" s="1"/>
  <c r="CN10" i="10" s="1"/>
  <c r="CL6" i="10"/>
  <c r="CM6" i="10" s="1"/>
  <c r="CN6" i="10" s="1"/>
  <c r="CL2" i="10"/>
  <c r="CM2" i="10" s="1"/>
  <c r="CN2" i="10" s="1"/>
  <c r="BV11" i="10"/>
  <c r="BV13" i="10" s="1"/>
  <c r="EL9" i="10"/>
  <c r="EL8" i="10"/>
  <c r="EL7" i="10"/>
  <c r="EL6" i="10"/>
  <c r="EL5" i="10"/>
  <c r="EL4" i="10"/>
  <c r="EL3" i="10"/>
  <c r="EL10" i="10"/>
  <c r="EL2" i="10"/>
  <c r="H7" i="1"/>
  <c r="L7" i="1"/>
  <c r="G7" i="1"/>
  <c r="F8" i="1"/>
  <c r="M8" i="1" s="1"/>
  <c r="DU2" i="10" l="1"/>
  <c r="DU4" i="10"/>
  <c r="DV4" i="10" s="1"/>
  <c r="DW4" i="10" s="1"/>
  <c r="DX4" i="10" s="1"/>
  <c r="DU3" i="10"/>
  <c r="DV3" i="10" s="1"/>
  <c r="DW3" i="10" s="1"/>
  <c r="DX3" i="10" s="1"/>
  <c r="DV2" i="10"/>
  <c r="DW2" i="10" s="1"/>
  <c r="DX2" i="10" s="1"/>
  <c r="DU9" i="10"/>
  <c r="DV9" i="10" s="1"/>
  <c r="DW9" i="10" s="1"/>
  <c r="DX9" i="10" s="1"/>
  <c r="DU8" i="10"/>
  <c r="DV8" i="10" s="1"/>
  <c r="DW8" i="10" s="1"/>
  <c r="DX8" i="10" s="1"/>
  <c r="DU6" i="10"/>
  <c r="DV6" i="10" s="1"/>
  <c r="DW6" i="10" s="1"/>
  <c r="DX6" i="10" s="1"/>
  <c r="DU7" i="10"/>
  <c r="DV7" i="10" s="1"/>
  <c r="DW7" i="10" s="1"/>
  <c r="DX7" i="10" s="1"/>
  <c r="DU5" i="10"/>
  <c r="DV5" i="10" s="1"/>
  <c r="DW5" i="10" s="1"/>
  <c r="DX5" i="10" s="1"/>
  <c r="DD10" i="10"/>
  <c r="DE10" i="10" s="1"/>
  <c r="DF10" i="10" s="1"/>
  <c r="DD4" i="10"/>
  <c r="DE4" i="10" s="1"/>
  <c r="DF4" i="10" s="1"/>
  <c r="CN11" i="10"/>
  <c r="CN13" i="10" s="1"/>
  <c r="H8" i="1"/>
  <c r="L8" i="1"/>
  <c r="G8" i="1"/>
  <c r="F9" i="1"/>
  <c r="M9" i="1" s="1"/>
  <c r="DF11" i="10" l="1"/>
  <c r="DF13" i="10" s="1"/>
  <c r="DX11" i="10"/>
  <c r="DX13" i="10" s="1"/>
  <c r="H9" i="1"/>
  <c r="L9" i="1"/>
  <c r="G9" i="1"/>
  <c r="F10" i="1"/>
  <c r="M10" i="1" s="1"/>
  <c r="H10" i="1" l="1"/>
  <c r="L10" i="1"/>
  <c r="F11" i="1"/>
  <c r="M11" i="1" s="1"/>
  <c r="G10" i="1"/>
  <c r="CZ3" i="1"/>
  <c r="CZ4" i="1"/>
  <c r="CZ5" i="1"/>
  <c r="CZ6" i="1"/>
  <c r="CZ7" i="1"/>
  <c r="CZ8" i="1"/>
  <c r="CZ9" i="1"/>
  <c r="CZ10" i="1"/>
  <c r="CZ11" i="1"/>
  <c r="CZ12" i="1"/>
  <c r="CZ13" i="1"/>
  <c r="CZ14" i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42" i="1"/>
  <c r="CZ43" i="1"/>
  <c r="CZ44" i="1"/>
  <c r="CZ45" i="1"/>
  <c r="CZ46" i="1"/>
  <c r="CZ47" i="1"/>
  <c r="CZ48" i="1"/>
  <c r="CZ49" i="1"/>
  <c r="CZ50" i="1"/>
  <c r="CZ51" i="1"/>
  <c r="CZ52" i="1"/>
  <c r="CZ53" i="1"/>
  <c r="CZ54" i="1"/>
  <c r="CZ55" i="1"/>
  <c r="CZ56" i="1"/>
  <c r="CZ57" i="1"/>
  <c r="CZ58" i="1"/>
  <c r="CZ59" i="1"/>
  <c r="CZ60" i="1"/>
  <c r="CZ61" i="1"/>
  <c r="CZ62" i="1"/>
  <c r="CZ63" i="1"/>
  <c r="CZ64" i="1"/>
  <c r="CZ65" i="1"/>
  <c r="CZ66" i="1"/>
  <c r="CZ67" i="1"/>
  <c r="CZ68" i="1"/>
  <c r="CZ69" i="1"/>
  <c r="CZ70" i="1"/>
  <c r="CZ71" i="1"/>
  <c r="CZ72" i="1"/>
  <c r="CZ73" i="1"/>
  <c r="CZ74" i="1"/>
  <c r="CZ75" i="1"/>
  <c r="CZ76" i="1"/>
  <c r="CZ77" i="1"/>
  <c r="CZ78" i="1"/>
  <c r="CZ79" i="1"/>
  <c r="CZ80" i="1"/>
  <c r="CZ81" i="1"/>
  <c r="CZ82" i="1"/>
  <c r="CZ83" i="1"/>
  <c r="CZ84" i="1"/>
  <c r="CZ85" i="1"/>
  <c r="CZ86" i="1"/>
  <c r="CZ87" i="1"/>
  <c r="CZ88" i="1"/>
  <c r="CZ89" i="1"/>
  <c r="CZ90" i="1"/>
  <c r="CZ91" i="1"/>
  <c r="CZ92" i="1"/>
  <c r="CZ93" i="1"/>
  <c r="CZ94" i="1"/>
  <c r="CZ95" i="1"/>
  <c r="CZ96" i="1"/>
  <c r="CZ97" i="1"/>
  <c r="CZ98" i="1"/>
  <c r="CZ99" i="1"/>
  <c r="CZ100" i="1"/>
  <c r="CZ101" i="1"/>
  <c r="CZ102" i="1"/>
  <c r="CZ103" i="1"/>
  <c r="CZ104" i="1"/>
  <c r="CZ105" i="1"/>
  <c r="CZ106" i="1"/>
  <c r="CZ107" i="1"/>
  <c r="CZ108" i="1"/>
  <c r="CZ109" i="1"/>
  <c r="CZ110" i="1"/>
  <c r="CZ111" i="1"/>
  <c r="CZ112" i="1"/>
  <c r="CZ113" i="1"/>
  <c r="CZ114" i="1"/>
  <c r="CZ115" i="1"/>
  <c r="CZ116" i="1"/>
  <c r="CZ117" i="1"/>
  <c r="CZ118" i="1"/>
  <c r="CZ119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3" i="1"/>
  <c r="H11" i="1" l="1"/>
  <c r="L11" i="1"/>
  <c r="F12" i="1"/>
  <c r="M12" i="1" s="1"/>
  <c r="G11" i="1"/>
  <c r="DA3" i="1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2" i="1"/>
  <c r="DA23" i="1"/>
  <c r="DA24" i="1"/>
  <c r="DA25" i="1"/>
  <c r="DA26" i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42" i="1"/>
  <c r="DA43" i="1"/>
  <c r="DA44" i="1"/>
  <c r="DA45" i="1"/>
  <c r="DA46" i="1"/>
  <c r="DA47" i="1"/>
  <c r="DA48" i="1"/>
  <c r="DA49" i="1"/>
  <c r="DA50" i="1"/>
  <c r="DA51" i="1"/>
  <c r="DA52" i="1"/>
  <c r="DA53" i="1"/>
  <c r="DA54" i="1"/>
  <c r="DA55" i="1"/>
  <c r="DA56" i="1"/>
  <c r="DA57" i="1"/>
  <c r="DA58" i="1"/>
  <c r="DA59" i="1"/>
  <c r="DA60" i="1"/>
  <c r="DA61" i="1"/>
  <c r="DA62" i="1"/>
  <c r="DA63" i="1"/>
  <c r="DA64" i="1"/>
  <c r="DA65" i="1"/>
  <c r="DA66" i="1"/>
  <c r="DA67" i="1"/>
  <c r="DA68" i="1"/>
  <c r="DA69" i="1"/>
  <c r="DA70" i="1"/>
  <c r="DA71" i="1"/>
  <c r="DA72" i="1"/>
  <c r="DA73" i="1"/>
  <c r="DA74" i="1"/>
  <c r="DA75" i="1"/>
  <c r="DA76" i="1"/>
  <c r="DA77" i="1"/>
  <c r="DA78" i="1"/>
  <c r="DA79" i="1"/>
  <c r="DA80" i="1"/>
  <c r="DA81" i="1"/>
  <c r="DA82" i="1"/>
  <c r="DA83" i="1"/>
  <c r="DA84" i="1"/>
  <c r="DA85" i="1"/>
  <c r="DA86" i="1"/>
  <c r="DA87" i="1"/>
  <c r="DA88" i="1"/>
  <c r="DA89" i="1"/>
  <c r="DA90" i="1"/>
  <c r="DA91" i="1"/>
  <c r="DA92" i="1"/>
  <c r="DA93" i="1"/>
  <c r="DA94" i="1"/>
  <c r="DA95" i="1"/>
  <c r="DA96" i="1"/>
  <c r="DA97" i="1"/>
  <c r="DA98" i="1"/>
  <c r="DA99" i="1"/>
  <c r="DA100" i="1"/>
  <c r="DA101" i="1"/>
  <c r="DA102" i="1"/>
  <c r="DA103" i="1"/>
  <c r="DA104" i="1"/>
  <c r="DA105" i="1"/>
  <c r="DA106" i="1"/>
  <c r="DA107" i="1"/>
  <c r="DA108" i="1"/>
  <c r="DA109" i="1"/>
  <c r="DA110" i="1"/>
  <c r="DA111" i="1"/>
  <c r="DA112" i="1"/>
  <c r="DA113" i="1"/>
  <c r="DA114" i="1"/>
  <c r="DA115" i="1"/>
  <c r="DA116" i="1"/>
  <c r="DA117" i="1"/>
  <c r="DA118" i="1"/>
  <c r="DA119" i="1"/>
  <c r="H12" i="1" l="1"/>
  <c r="L12" i="1"/>
  <c r="G12" i="1"/>
  <c r="F13" i="1"/>
  <c r="M13" i="1" s="1"/>
  <c r="T3" i="1"/>
  <c r="AF3" i="1"/>
  <c r="AL3" i="1"/>
  <c r="AS3" i="1"/>
  <c r="AY3" i="1"/>
  <c r="CJ3" i="1"/>
  <c r="CP3" i="1"/>
  <c r="CV3" i="1"/>
  <c r="DB3" i="1"/>
  <c r="DB4" i="1"/>
  <c r="DB5" i="1"/>
  <c r="DB6" i="1"/>
  <c r="DB7" i="1"/>
  <c r="DB8" i="1"/>
  <c r="DB9" i="1"/>
  <c r="DB10" i="1"/>
  <c r="DB11" i="1"/>
  <c r="DB12" i="1"/>
  <c r="DB13" i="1"/>
  <c r="DB14" i="1"/>
  <c r="DB15" i="1"/>
  <c r="DB16" i="1"/>
  <c r="DB17" i="1"/>
  <c r="DB18" i="1"/>
  <c r="DB19" i="1"/>
  <c r="DB20" i="1"/>
  <c r="DB21" i="1"/>
  <c r="DB22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DB57" i="1"/>
  <c r="DB58" i="1"/>
  <c r="DB59" i="1"/>
  <c r="DB60" i="1"/>
  <c r="DB61" i="1"/>
  <c r="DB62" i="1"/>
  <c r="DB63" i="1"/>
  <c r="DB64" i="1"/>
  <c r="DB65" i="1"/>
  <c r="DB66" i="1"/>
  <c r="DB67" i="1"/>
  <c r="DB68" i="1"/>
  <c r="DB69" i="1"/>
  <c r="DB70" i="1"/>
  <c r="DB71" i="1"/>
  <c r="DB72" i="1"/>
  <c r="DB73" i="1"/>
  <c r="DB74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92" i="1"/>
  <c r="DB93" i="1"/>
  <c r="DB94" i="1"/>
  <c r="DB95" i="1"/>
  <c r="DB96" i="1"/>
  <c r="DB97" i="1"/>
  <c r="DB98" i="1"/>
  <c r="DB99" i="1"/>
  <c r="DB100" i="1"/>
  <c r="DB101" i="1"/>
  <c r="DB102" i="1"/>
  <c r="DB103" i="1"/>
  <c r="DB104" i="1"/>
  <c r="DB105" i="1"/>
  <c r="DB106" i="1"/>
  <c r="DB107" i="1"/>
  <c r="DB108" i="1"/>
  <c r="DB109" i="1"/>
  <c r="DB110" i="1"/>
  <c r="DB111" i="1"/>
  <c r="DB112" i="1"/>
  <c r="DB113" i="1"/>
  <c r="DB114" i="1"/>
  <c r="DB115" i="1"/>
  <c r="DB116" i="1"/>
  <c r="DB117" i="1"/>
  <c r="DB118" i="1"/>
  <c r="DB119" i="1"/>
  <c r="CV4" i="1"/>
  <c r="CV5" i="1"/>
  <c r="CV6" i="1"/>
  <c r="CV7" i="1"/>
  <c r="CV8" i="1"/>
  <c r="CV9" i="1"/>
  <c r="CV10" i="1"/>
  <c r="CV11" i="1"/>
  <c r="CV12" i="1"/>
  <c r="CV13" i="1"/>
  <c r="CV14" i="1"/>
  <c r="CV15" i="1"/>
  <c r="CV16" i="1"/>
  <c r="CV17" i="1"/>
  <c r="CV18" i="1"/>
  <c r="CV19" i="1"/>
  <c r="CV20" i="1"/>
  <c r="CV21" i="1"/>
  <c r="CV22" i="1"/>
  <c r="CV23" i="1"/>
  <c r="CV24" i="1"/>
  <c r="CV25" i="1"/>
  <c r="CV26" i="1"/>
  <c r="CV27" i="1"/>
  <c r="CV28" i="1"/>
  <c r="CV29" i="1"/>
  <c r="CV30" i="1"/>
  <c r="CV31" i="1"/>
  <c r="CV32" i="1"/>
  <c r="CV33" i="1"/>
  <c r="CV34" i="1"/>
  <c r="CV35" i="1"/>
  <c r="CV36" i="1"/>
  <c r="CV37" i="1"/>
  <c r="CV38" i="1"/>
  <c r="CV39" i="1"/>
  <c r="CV40" i="1"/>
  <c r="CV41" i="1"/>
  <c r="CV42" i="1"/>
  <c r="CV43" i="1"/>
  <c r="CV44" i="1"/>
  <c r="CV45" i="1"/>
  <c r="CV46" i="1"/>
  <c r="CV47" i="1"/>
  <c r="CV48" i="1"/>
  <c r="CV49" i="1"/>
  <c r="CV50" i="1"/>
  <c r="CV51" i="1"/>
  <c r="CV52" i="1"/>
  <c r="CV53" i="1"/>
  <c r="CV54" i="1"/>
  <c r="CV55" i="1"/>
  <c r="CV56" i="1"/>
  <c r="CV57" i="1"/>
  <c r="CV58" i="1"/>
  <c r="CV59" i="1"/>
  <c r="CV60" i="1"/>
  <c r="CV61" i="1"/>
  <c r="CV62" i="1"/>
  <c r="CV63" i="1"/>
  <c r="CV64" i="1"/>
  <c r="CV65" i="1"/>
  <c r="CV66" i="1"/>
  <c r="CV67" i="1"/>
  <c r="CV68" i="1"/>
  <c r="CV69" i="1"/>
  <c r="CV70" i="1"/>
  <c r="CV71" i="1"/>
  <c r="CV72" i="1"/>
  <c r="CV73" i="1"/>
  <c r="CV74" i="1"/>
  <c r="CV75" i="1"/>
  <c r="CV76" i="1"/>
  <c r="CV77" i="1"/>
  <c r="CV78" i="1"/>
  <c r="CV79" i="1"/>
  <c r="CV80" i="1"/>
  <c r="CV81" i="1"/>
  <c r="CV82" i="1"/>
  <c r="CV83" i="1"/>
  <c r="CV84" i="1"/>
  <c r="CV85" i="1"/>
  <c r="CV86" i="1"/>
  <c r="CV87" i="1"/>
  <c r="CV88" i="1"/>
  <c r="CV89" i="1"/>
  <c r="CV90" i="1"/>
  <c r="CV91" i="1"/>
  <c r="CV92" i="1"/>
  <c r="CV93" i="1"/>
  <c r="CV94" i="1"/>
  <c r="CV95" i="1"/>
  <c r="CV96" i="1"/>
  <c r="CV97" i="1"/>
  <c r="CV98" i="1"/>
  <c r="CV99" i="1"/>
  <c r="CV100" i="1"/>
  <c r="CV101" i="1"/>
  <c r="CV102" i="1"/>
  <c r="CV103" i="1"/>
  <c r="CV104" i="1"/>
  <c r="CV105" i="1"/>
  <c r="CV106" i="1"/>
  <c r="CV107" i="1"/>
  <c r="CV108" i="1"/>
  <c r="CV109" i="1"/>
  <c r="CV110" i="1"/>
  <c r="CV111" i="1"/>
  <c r="CV112" i="1"/>
  <c r="CV113" i="1"/>
  <c r="CV114" i="1"/>
  <c r="CV115" i="1"/>
  <c r="CV116" i="1"/>
  <c r="CV117" i="1"/>
  <c r="CV118" i="1"/>
  <c r="CV119" i="1"/>
  <c r="CP4" i="1"/>
  <c r="CP5" i="1"/>
  <c r="CP6" i="1"/>
  <c r="CP7" i="1"/>
  <c r="CP8" i="1"/>
  <c r="CP9" i="1"/>
  <c r="CP10" i="1"/>
  <c r="CP11" i="1"/>
  <c r="CP12" i="1"/>
  <c r="CP13" i="1"/>
  <c r="CP14" i="1"/>
  <c r="CP15" i="1"/>
  <c r="CP16" i="1"/>
  <c r="CP17" i="1"/>
  <c r="CP18" i="1"/>
  <c r="CP19" i="1"/>
  <c r="CP20" i="1"/>
  <c r="CP21" i="1"/>
  <c r="CP22" i="1"/>
  <c r="CP23" i="1"/>
  <c r="CP24" i="1"/>
  <c r="CP25" i="1"/>
  <c r="CP26" i="1"/>
  <c r="CP27" i="1"/>
  <c r="CP28" i="1"/>
  <c r="CP29" i="1"/>
  <c r="CP30" i="1"/>
  <c r="CP31" i="1"/>
  <c r="CP32" i="1"/>
  <c r="CP33" i="1"/>
  <c r="CP34" i="1"/>
  <c r="CP35" i="1"/>
  <c r="CP36" i="1"/>
  <c r="CP37" i="1"/>
  <c r="CP38" i="1"/>
  <c r="CP39" i="1"/>
  <c r="CP40" i="1"/>
  <c r="CP41" i="1"/>
  <c r="CP42" i="1"/>
  <c r="CP43" i="1"/>
  <c r="CP44" i="1"/>
  <c r="CP45" i="1"/>
  <c r="CP46" i="1"/>
  <c r="CP47" i="1"/>
  <c r="CP48" i="1"/>
  <c r="CP49" i="1"/>
  <c r="CP50" i="1"/>
  <c r="CP51" i="1"/>
  <c r="CP52" i="1"/>
  <c r="CP53" i="1"/>
  <c r="CP54" i="1"/>
  <c r="CP55" i="1"/>
  <c r="CP56" i="1"/>
  <c r="CP57" i="1"/>
  <c r="CP58" i="1"/>
  <c r="CP59" i="1"/>
  <c r="CP60" i="1"/>
  <c r="CP61" i="1"/>
  <c r="CP62" i="1"/>
  <c r="CP63" i="1"/>
  <c r="CP64" i="1"/>
  <c r="CP65" i="1"/>
  <c r="CP66" i="1"/>
  <c r="CP67" i="1"/>
  <c r="CP68" i="1"/>
  <c r="CP69" i="1"/>
  <c r="CP70" i="1"/>
  <c r="CP71" i="1"/>
  <c r="CP72" i="1"/>
  <c r="CP73" i="1"/>
  <c r="CP74" i="1"/>
  <c r="CP75" i="1"/>
  <c r="CP76" i="1"/>
  <c r="CP77" i="1"/>
  <c r="CP78" i="1"/>
  <c r="CP79" i="1"/>
  <c r="CP80" i="1"/>
  <c r="CP81" i="1"/>
  <c r="CP82" i="1"/>
  <c r="CP83" i="1"/>
  <c r="CP84" i="1"/>
  <c r="CP85" i="1"/>
  <c r="CP86" i="1"/>
  <c r="CP87" i="1"/>
  <c r="CP88" i="1"/>
  <c r="CP89" i="1"/>
  <c r="CP90" i="1"/>
  <c r="CP91" i="1"/>
  <c r="CP92" i="1"/>
  <c r="CP93" i="1"/>
  <c r="CP94" i="1"/>
  <c r="CP95" i="1"/>
  <c r="CP96" i="1"/>
  <c r="CP97" i="1"/>
  <c r="CP98" i="1"/>
  <c r="CP99" i="1"/>
  <c r="CP100" i="1"/>
  <c r="CP101" i="1"/>
  <c r="CP102" i="1"/>
  <c r="CP103" i="1"/>
  <c r="CP104" i="1"/>
  <c r="CP105" i="1"/>
  <c r="CP106" i="1"/>
  <c r="CP107" i="1"/>
  <c r="CP108" i="1"/>
  <c r="CP109" i="1"/>
  <c r="CP110" i="1"/>
  <c r="CP111" i="1"/>
  <c r="CP112" i="1"/>
  <c r="CP113" i="1"/>
  <c r="CP114" i="1"/>
  <c r="CP115" i="1"/>
  <c r="CP116" i="1"/>
  <c r="CP117" i="1"/>
  <c r="CP118" i="1"/>
  <c r="CP119" i="1"/>
  <c r="CJ4" i="1"/>
  <c r="CJ5" i="1"/>
  <c r="CJ6" i="1"/>
  <c r="CJ7" i="1"/>
  <c r="CJ8" i="1"/>
  <c r="CJ9" i="1"/>
  <c r="CJ10" i="1"/>
  <c r="CJ11" i="1"/>
  <c r="CJ12" i="1"/>
  <c r="CJ13" i="1"/>
  <c r="CJ14" i="1"/>
  <c r="CJ15" i="1"/>
  <c r="CJ16" i="1"/>
  <c r="CJ17" i="1"/>
  <c r="CJ18" i="1"/>
  <c r="CJ19" i="1"/>
  <c r="CJ20" i="1"/>
  <c r="CJ21" i="1"/>
  <c r="CJ22" i="1"/>
  <c r="CJ23" i="1"/>
  <c r="CJ24" i="1"/>
  <c r="CJ25" i="1"/>
  <c r="CJ26" i="1"/>
  <c r="CJ27" i="1"/>
  <c r="CJ28" i="1"/>
  <c r="CJ29" i="1"/>
  <c r="CJ30" i="1"/>
  <c r="CJ31" i="1"/>
  <c r="CJ32" i="1"/>
  <c r="CJ33" i="1"/>
  <c r="CJ34" i="1"/>
  <c r="CJ35" i="1"/>
  <c r="CJ36" i="1"/>
  <c r="CJ37" i="1"/>
  <c r="CJ38" i="1"/>
  <c r="CJ39" i="1"/>
  <c r="CJ40" i="1"/>
  <c r="CJ41" i="1"/>
  <c r="CJ42" i="1"/>
  <c r="CJ43" i="1"/>
  <c r="CJ44" i="1"/>
  <c r="CJ45" i="1"/>
  <c r="CJ46" i="1"/>
  <c r="CJ47" i="1"/>
  <c r="CJ48" i="1"/>
  <c r="CJ49" i="1"/>
  <c r="CJ50" i="1"/>
  <c r="CJ51" i="1"/>
  <c r="CJ52" i="1"/>
  <c r="CJ53" i="1"/>
  <c r="CJ54" i="1"/>
  <c r="CJ55" i="1"/>
  <c r="CJ56" i="1"/>
  <c r="CJ57" i="1"/>
  <c r="CJ58" i="1"/>
  <c r="CJ59" i="1"/>
  <c r="CJ60" i="1"/>
  <c r="CJ61" i="1"/>
  <c r="CJ62" i="1"/>
  <c r="CJ63" i="1"/>
  <c r="CJ64" i="1"/>
  <c r="CJ65" i="1"/>
  <c r="CJ66" i="1"/>
  <c r="CJ67" i="1"/>
  <c r="CJ68" i="1"/>
  <c r="CJ69" i="1"/>
  <c r="CJ70" i="1"/>
  <c r="CJ71" i="1"/>
  <c r="CJ72" i="1"/>
  <c r="CJ73" i="1"/>
  <c r="CJ74" i="1"/>
  <c r="CJ75" i="1"/>
  <c r="CJ76" i="1"/>
  <c r="CJ77" i="1"/>
  <c r="CJ78" i="1"/>
  <c r="CJ79" i="1"/>
  <c r="CJ80" i="1"/>
  <c r="CJ81" i="1"/>
  <c r="CJ82" i="1"/>
  <c r="CJ83" i="1"/>
  <c r="CJ84" i="1"/>
  <c r="CJ85" i="1"/>
  <c r="CJ86" i="1"/>
  <c r="CJ87" i="1"/>
  <c r="CJ88" i="1"/>
  <c r="CJ89" i="1"/>
  <c r="CJ90" i="1"/>
  <c r="CJ91" i="1"/>
  <c r="CJ92" i="1"/>
  <c r="CJ93" i="1"/>
  <c r="CJ94" i="1"/>
  <c r="CJ95" i="1"/>
  <c r="CJ96" i="1"/>
  <c r="CJ97" i="1"/>
  <c r="CJ98" i="1"/>
  <c r="CJ99" i="1"/>
  <c r="CJ100" i="1"/>
  <c r="CJ101" i="1"/>
  <c r="CJ102" i="1"/>
  <c r="CJ103" i="1"/>
  <c r="CJ104" i="1"/>
  <c r="CJ105" i="1"/>
  <c r="CJ106" i="1"/>
  <c r="CJ107" i="1"/>
  <c r="CJ108" i="1"/>
  <c r="CJ109" i="1"/>
  <c r="CJ110" i="1"/>
  <c r="CJ111" i="1"/>
  <c r="CJ112" i="1"/>
  <c r="CJ113" i="1"/>
  <c r="CJ114" i="1"/>
  <c r="CJ115" i="1"/>
  <c r="CJ116" i="1"/>
  <c r="CJ117" i="1"/>
  <c r="CJ118" i="1"/>
  <c r="CJ119" i="1"/>
  <c r="BV5" i="1"/>
  <c r="BV6" i="1"/>
  <c r="BV9" i="1"/>
  <c r="BV10" i="1"/>
  <c r="BV11" i="1"/>
  <c r="BV15" i="1"/>
  <c r="BV28" i="1"/>
  <c r="BV31" i="1"/>
  <c r="BV33" i="1"/>
  <c r="BV37" i="1"/>
  <c r="BV40" i="1"/>
  <c r="BV48" i="1"/>
  <c r="BV49" i="1"/>
  <c r="BV51" i="1"/>
  <c r="BV65" i="1"/>
  <c r="BV66" i="1"/>
  <c r="BV67" i="1"/>
  <c r="BV68" i="1"/>
  <c r="BV69" i="1"/>
  <c r="BV70" i="1"/>
  <c r="BV71" i="1"/>
  <c r="BV72" i="1"/>
  <c r="BV73" i="1"/>
  <c r="BV74" i="1"/>
  <c r="BV75" i="1"/>
  <c r="BV76" i="1"/>
  <c r="BV77" i="1"/>
  <c r="BV78" i="1"/>
  <c r="BV79" i="1"/>
  <c r="BV80" i="1"/>
  <c r="BV81" i="1"/>
  <c r="BV82" i="1"/>
  <c r="BV83" i="1"/>
  <c r="BV84" i="1"/>
  <c r="BV85" i="1"/>
  <c r="BV86" i="1"/>
  <c r="BV87" i="1"/>
  <c r="BV88" i="1"/>
  <c r="BV89" i="1"/>
  <c r="BV90" i="1"/>
  <c r="BV91" i="1"/>
  <c r="BV92" i="1"/>
  <c r="BV93" i="1"/>
  <c r="BV94" i="1"/>
  <c r="BV95" i="1"/>
  <c r="BV96" i="1"/>
  <c r="BV97" i="1"/>
  <c r="BV98" i="1"/>
  <c r="BV99" i="1"/>
  <c r="BV100" i="1"/>
  <c r="BV101" i="1"/>
  <c r="BV102" i="1"/>
  <c r="BV103" i="1"/>
  <c r="BV104" i="1"/>
  <c r="BV105" i="1"/>
  <c r="BV106" i="1"/>
  <c r="BV107" i="1"/>
  <c r="BV108" i="1"/>
  <c r="BV109" i="1"/>
  <c r="BV110" i="1"/>
  <c r="BV111" i="1"/>
  <c r="BV112" i="1"/>
  <c r="BV113" i="1"/>
  <c r="BV114" i="1"/>
  <c r="BV115" i="1"/>
  <c r="BV116" i="1"/>
  <c r="BV117" i="1"/>
  <c r="BV118" i="1"/>
  <c r="BV119" i="1"/>
  <c r="BN4" i="1"/>
  <c r="BN14" i="1"/>
  <c r="BN16" i="1"/>
  <c r="BN19" i="1"/>
  <c r="BN44" i="1"/>
  <c r="BN52" i="1"/>
  <c r="BN54" i="1"/>
  <c r="BN55" i="1"/>
  <c r="BN57" i="1"/>
  <c r="BN58" i="1"/>
  <c r="BN59" i="1"/>
  <c r="BN60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S74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H13" i="1" l="1"/>
  <c r="L13" i="1"/>
  <c r="G13" i="1"/>
  <c r="F14" i="1"/>
  <c r="M14" i="1" s="1"/>
  <c r="CB119" i="1"/>
  <c r="CB118" i="1"/>
  <c r="CB117" i="1"/>
  <c r="CB116" i="1"/>
  <c r="CB115" i="1"/>
  <c r="CB114" i="1"/>
  <c r="CB113" i="1"/>
  <c r="CB112" i="1"/>
  <c r="CB111" i="1"/>
  <c r="CB110" i="1"/>
  <c r="CB109" i="1"/>
  <c r="CB108" i="1"/>
  <c r="CB107" i="1"/>
  <c r="CB106" i="1"/>
  <c r="CB105" i="1"/>
  <c r="CB104" i="1"/>
  <c r="CB103" i="1"/>
  <c r="CB102" i="1"/>
  <c r="CB101" i="1"/>
  <c r="CB100" i="1"/>
  <c r="CB99" i="1"/>
  <c r="CB98" i="1"/>
  <c r="CB97" i="1"/>
  <c r="CB96" i="1"/>
  <c r="CB95" i="1"/>
  <c r="CB94" i="1"/>
  <c r="CB93" i="1"/>
  <c r="CB92" i="1"/>
  <c r="CB91" i="1"/>
  <c r="CB90" i="1"/>
  <c r="CB89" i="1"/>
  <c r="CB88" i="1"/>
  <c r="CB87" i="1"/>
  <c r="CB86" i="1"/>
  <c r="CB85" i="1"/>
  <c r="CB84" i="1"/>
  <c r="CB83" i="1"/>
  <c r="CB82" i="1"/>
  <c r="CB81" i="1"/>
  <c r="CB80" i="1"/>
  <c r="CB79" i="1"/>
  <c r="CB78" i="1"/>
  <c r="CB77" i="1"/>
  <c r="CB76" i="1"/>
  <c r="CB75" i="1"/>
  <c r="CB74" i="1"/>
  <c r="CB73" i="1"/>
  <c r="CB72" i="1"/>
  <c r="CB71" i="1"/>
  <c r="CB70" i="1"/>
  <c r="CB69" i="1"/>
  <c r="CB68" i="1"/>
  <c r="CB67" i="1"/>
  <c r="CB66" i="1"/>
  <c r="CB65" i="1"/>
  <c r="CB64" i="1"/>
  <c r="CB59" i="1"/>
  <c r="CB48" i="1"/>
  <c r="CB43" i="1"/>
  <c r="CB40" i="1"/>
  <c r="CB35" i="1"/>
  <c r="CB29" i="1"/>
  <c r="CB26" i="1"/>
  <c r="CB23" i="1"/>
  <c r="CB20" i="1"/>
  <c r="CB16" i="1"/>
  <c r="CB12" i="1"/>
  <c r="H14" i="1" l="1"/>
  <c r="L14" i="1"/>
  <c r="G14" i="1"/>
  <c r="F15" i="1"/>
  <c r="M15" i="1" s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L5" i="1"/>
  <c r="AL9" i="1"/>
  <c r="AL10" i="1"/>
  <c r="AL11" i="1"/>
  <c r="AL13" i="1"/>
  <c r="AL14" i="1"/>
  <c r="AL15" i="1"/>
  <c r="AL16" i="1"/>
  <c r="AL17" i="1"/>
  <c r="AL18" i="1"/>
  <c r="AL20" i="1"/>
  <c r="AL22" i="1"/>
  <c r="AL26" i="1"/>
  <c r="AL27" i="1"/>
  <c r="AL28" i="1"/>
  <c r="AL29" i="1"/>
  <c r="AL30" i="1"/>
  <c r="AL31" i="1"/>
  <c r="AL34" i="1"/>
  <c r="AL36" i="1"/>
  <c r="AL38" i="1"/>
  <c r="AL39" i="1"/>
  <c r="AL40" i="1"/>
  <c r="AL41" i="1"/>
  <c r="AL43" i="1"/>
  <c r="AL45" i="1"/>
  <c r="AL51" i="1"/>
  <c r="AL52" i="1"/>
  <c r="AL53" i="1"/>
  <c r="AL54" i="1"/>
  <c r="AL55" i="1"/>
  <c r="AL56" i="1"/>
  <c r="AL57" i="1"/>
  <c r="AL58" i="1"/>
  <c r="AL60" i="1"/>
  <c r="AL62" i="1"/>
  <c r="AL63" i="1"/>
  <c r="AL64" i="1"/>
  <c r="AL65" i="1"/>
  <c r="AL66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7" i="1"/>
  <c r="AL98" i="1"/>
  <c r="AL99" i="1"/>
  <c r="AL100" i="1"/>
  <c r="AL101" i="1"/>
  <c r="AL103" i="1"/>
  <c r="AL104" i="1"/>
  <c r="AL106" i="1"/>
  <c r="AL108" i="1"/>
  <c r="AL109" i="1"/>
  <c r="AL110" i="1"/>
  <c r="AL111" i="1"/>
  <c r="AL112" i="1"/>
  <c r="AL114" i="1"/>
  <c r="AL115" i="1"/>
  <c r="AL116" i="1"/>
  <c r="AL117" i="1"/>
  <c r="AL118" i="1"/>
  <c r="AL119" i="1"/>
  <c r="BG4" i="1"/>
  <c r="BG5" i="1"/>
  <c r="BG8" i="1"/>
  <c r="BG13" i="1"/>
  <c r="BG17" i="1"/>
  <c r="BG19" i="1"/>
  <c r="BG20" i="1"/>
  <c r="BG22" i="1"/>
  <c r="BG26" i="1"/>
  <c r="BG32" i="1"/>
  <c r="BG33" i="1"/>
  <c r="BG38" i="1"/>
  <c r="BG42" i="1"/>
  <c r="BG44" i="1"/>
  <c r="BG47" i="1"/>
  <c r="BG52" i="1"/>
  <c r="BG56" i="1"/>
  <c r="BG57" i="1"/>
  <c r="BG59" i="1"/>
  <c r="BG61" i="1"/>
  <c r="BG64" i="1"/>
  <c r="BG65" i="1"/>
  <c r="BG66" i="1"/>
  <c r="BG67" i="1"/>
  <c r="BG68" i="1"/>
  <c r="BG69" i="1"/>
  <c r="BG70" i="1"/>
  <c r="BG71" i="1"/>
  <c r="BG72" i="1"/>
  <c r="BG73" i="1"/>
  <c r="BG74" i="1"/>
  <c r="BG75" i="1"/>
  <c r="BG76" i="1"/>
  <c r="BG77" i="1"/>
  <c r="BG78" i="1"/>
  <c r="BG79" i="1"/>
  <c r="BG80" i="1"/>
  <c r="BG81" i="1"/>
  <c r="BG82" i="1"/>
  <c r="BG83" i="1"/>
  <c r="BG84" i="1"/>
  <c r="BG85" i="1"/>
  <c r="BG86" i="1"/>
  <c r="BG87" i="1"/>
  <c r="BG88" i="1"/>
  <c r="BG89" i="1"/>
  <c r="BG90" i="1"/>
  <c r="BG91" i="1"/>
  <c r="BG92" i="1"/>
  <c r="BG93" i="1"/>
  <c r="BG94" i="1"/>
  <c r="BG95" i="1"/>
  <c r="BG96" i="1"/>
  <c r="BG97" i="1"/>
  <c r="BG98" i="1"/>
  <c r="BG99" i="1"/>
  <c r="BG100" i="1"/>
  <c r="BG101" i="1"/>
  <c r="BG102" i="1"/>
  <c r="BG103" i="1"/>
  <c r="BG104" i="1"/>
  <c r="BG105" i="1"/>
  <c r="BG106" i="1"/>
  <c r="BG107" i="1"/>
  <c r="BG108" i="1"/>
  <c r="BG109" i="1"/>
  <c r="BG110" i="1"/>
  <c r="BG111" i="1"/>
  <c r="BG112" i="1"/>
  <c r="BG113" i="1"/>
  <c r="BG114" i="1"/>
  <c r="BG115" i="1"/>
  <c r="BG116" i="1"/>
  <c r="BG117" i="1"/>
  <c r="BG118" i="1"/>
  <c r="BG119" i="1"/>
  <c r="H15" i="1" l="1"/>
  <c r="L15" i="1"/>
  <c r="G15" i="1"/>
  <c r="F16" i="1"/>
  <c r="M16" i="1" s="1"/>
  <c r="H16" i="1" l="1"/>
  <c r="L16" i="1"/>
  <c r="G16" i="1"/>
  <c r="F17" i="1"/>
  <c r="M17" i="1" s="1"/>
  <c r="H17" i="1" l="1"/>
  <c r="L17" i="1"/>
  <c r="G17" i="1"/>
  <c r="F18" i="1"/>
  <c r="M18" i="1" s="1"/>
  <c r="H18" i="1" l="1"/>
  <c r="L18" i="1"/>
  <c r="G18" i="1"/>
  <c r="F19" i="1"/>
  <c r="M19" i="1" s="1"/>
  <c r="H19" i="1" l="1"/>
  <c r="L19" i="1"/>
  <c r="G19" i="1"/>
  <c r="F20" i="1"/>
  <c r="M20" i="1" s="1"/>
  <c r="H20" i="1" l="1"/>
  <c r="L20" i="1"/>
  <c r="G20" i="1"/>
  <c r="F21" i="1"/>
  <c r="M21" i="1" s="1"/>
  <c r="H21" i="1" l="1"/>
  <c r="L21" i="1"/>
  <c r="G21" i="1"/>
  <c r="F22" i="1"/>
  <c r="M22" i="1" s="1"/>
  <c r="H22" i="1" l="1"/>
  <c r="L22" i="1"/>
  <c r="G22" i="1"/>
  <c r="F23" i="1"/>
  <c r="M23" i="1" s="1"/>
  <c r="H23" i="1" l="1"/>
  <c r="L23" i="1"/>
  <c r="G23" i="1"/>
  <c r="F24" i="1"/>
  <c r="M24" i="1" s="1"/>
  <c r="H24" i="1" l="1"/>
  <c r="L24" i="1"/>
  <c r="G24" i="1"/>
  <c r="F25" i="1"/>
  <c r="M25" i="1" s="1"/>
  <c r="H25" i="1" l="1"/>
  <c r="L25" i="1"/>
  <c r="G25" i="1"/>
  <c r="F26" i="1"/>
  <c r="M26" i="1" s="1"/>
  <c r="H26" i="1" l="1"/>
  <c r="L26" i="1"/>
  <c r="G26" i="1"/>
  <c r="F27" i="1"/>
  <c r="M27" i="1" s="1"/>
  <c r="H27" i="1" l="1"/>
  <c r="L27" i="1"/>
  <c r="G27" i="1"/>
  <c r="F28" i="1"/>
  <c r="M28" i="1" s="1"/>
  <c r="H28" i="1" l="1"/>
  <c r="L28" i="1"/>
  <c r="G28" i="1"/>
  <c r="F29" i="1"/>
  <c r="M29" i="1" s="1"/>
  <c r="H29" i="1" l="1"/>
  <c r="L29" i="1"/>
  <c r="G29" i="1"/>
  <c r="F30" i="1"/>
  <c r="M30" i="1" s="1"/>
  <c r="H30" i="1" l="1"/>
  <c r="L30" i="1"/>
  <c r="G30" i="1"/>
  <c r="F31" i="1"/>
  <c r="M31" i="1" s="1"/>
  <c r="H31" i="1" l="1"/>
  <c r="L31" i="1"/>
  <c r="G31" i="1"/>
  <c r="F32" i="1"/>
  <c r="M32" i="1" s="1"/>
  <c r="H32" i="1" l="1"/>
  <c r="L32" i="1"/>
  <c r="G32" i="1"/>
  <c r="F33" i="1"/>
  <c r="M33" i="1" s="1"/>
  <c r="H33" i="1" l="1"/>
  <c r="L33" i="1"/>
  <c r="G33" i="1"/>
  <c r="F34" i="1"/>
  <c r="M34" i="1" s="1"/>
  <c r="H34" i="1" l="1"/>
  <c r="L34" i="1"/>
  <c r="G34" i="1"/>
  <c r="F35" i="1"/>
  <c r="M35" i="1" s="1"/>
  <c r="H35" i="1" l="1"/>
  <c r="L35" i="1"/>
  <c r="G35" i="1"/>
  <c r="F36" i="1"/>
  <c r="M36" i="1" s="1"/>
  <c r="H36" i="1" l="1"/>
  <c r="L36" i="1"/>
  <c r="G36" i="1"/>
  <c r="F37" i="1"/>
  <c r="M37" i="1" s="1"/>
  <c r="H37" i="1" l="1"/>
  <c r="L37" i="1"/>
  <c r="G37" i="1"/>
  <c r="F38" i="1"/>
  <c r="M38" i="1" s="1"/>
  <c r="H38" i="1" l="1"/>
  <c r="L38" i="1"/>
  <c r="G38" i="1"/>
  <c r="F39" i="1"/>
  <c r="M39" i="1" s="1"/>
  <c r="H39" i="1" l="1"/>
  <c r="L39" i="1"/>
  <c r="G39" i="1"/>
  <c r="F40" i="1"/>
  <c r="M40" i="1" s="1"/>
  <c r="H40" i="1" l="1"/>
  <c r="L40" i="1"/>
  <c r="G40" i="1"/>
  <c r="F41" i="1"/>
  <c r="M41" i="1" s="1"/>
  <c r="H41" i="1" l="1"/>
  <c r="L41" i="1"/>
  <c r="G41" i="1"/>
  <c r="F42" i="1"/>
  <c r="M42" i="1" s="1"/>
  <c r="H42" i="1" l="1"/>
  <c r="L42" i="1"/>
  <c r="G42" i="1"/>
  <c r="F43" i="1"/>
  <c r="M43" i="1" s="1"/>
  <c r="H43" i="1" l="1"/>
  <c r="L43" i="1"/>
  <c r="G43" i="1"/>
  <c r="F44" i="1"/>
  <c r="M44" i="1" s="1"/>
  <c r="H44" i="1" l="1"/>
  <c r="L44" i="1"/>
  <c r="G44" i="1"/>
  <c r="F45" i="1"/>
  <c r="M45" i="1" s="1"/>
  <c r="H45" i="1" l="1"/>
  <c r="L45" i="1"/>
  <c r="G45" i="1"/>
  <c r="F46" i="1"/>
  <c r="M46" i="1" s="1"/>
  <c r="H46" i="1" l="1"/>
  <c r="L46" i="1"/>
  <c r="G46" i="1"/>
  <c r="F47" i="1"/>
  <c r="M47" i="1" s="1"/>
  <c r="H47" i="1" l="1"/>
  <c r="L47" i="1"/>
  <c r="G47" i="1"/>
  <c r="F48" i="1"/>
  <c r="M48" i="1" s="1"/>
  <c r="H48" i="1" l="1"/>
  <c r="L48" i="1"/>
  <c r="G48" i="1"/>
  <c r="F49" i="1"/>
  <c r="M49" i="1" s="1"/>
  <c r="H49" i="1" l="1"/>
  <c r="L49" i="1"/>
  <c r="G49" i="1"/>
  <c r="F50" i="1"/>
  <c r="M50" i="1" s="1"/>
  <c r="H50" i="1" l="1"/>
  <c r="L50" i="1"/>
  <c r="G50" i="1"/>
  <c r="F51" i="1"/>
  <c r="M51" i="1" s="1"/>
  <c r="H51" i="1" l="1"/>
  <c r="L51" i="1"/>
  <c r="G51" i="1"/>
  <c r="F52" i="1"/>
  <c r="M52" i="1" s="1"/>
  <c r="H52" i="1" l="1"/>
  <c r="L52" i="1"/>
  <c r="G52" i="1"/>
  <c r="F53" i="1"/>
  <c r="M53" i="1" s="1"/>
  <c r="H53" i="1" l="1"/>
  <c r="L53" i="1"/>
  <c r="G53" i="1"/>
  <c r="F54" i="1"/>
  <c r="M54" i="1" s="1"/>
  <c r="H54" i="1" l="1"/>
  <c r="L54" i="1"/>
  <c r="G54" i="1"/>
  <c r="F55" i="1"/>
  <c r="M55" i="1" s="1"/>
  <c r="H55" i="1" l="1"/>
  <c r="L55" i="1"/>
  <c r="G55" i="1"/>
  <c r="F56" i="1"/>
  <c r="M56" i="1" s="1"/>
  <c r="H56" i="1" l="1"/>
  <c r="L56" i="1"/>
  <c r="G56" i="1"/>
  <c r="F57" i="1"/>
  <c r="M57" i="1" s="1"/>
  <c r="H57" i="1" l="1"/>
  <c r="L57" i="1"/>
  <c r="G57" i="1"/>
  <c r="F58" i="1"/>
  <c r="M58" i="1" s="1"/>
  <c r="H58" i="1" l="1"/>
  <c r="L58" i="1"/>
  <c r="G58" i="1"/>
  <c r="F59" i="1"/>
  <c r="M59" i="1" s="1"/>
  <c r="H59" i="1" l="1"/>
  <c r="L59" i="1"/>
  <c r="G59" i="1"/>
  <c r="F60" i="1"/>
  <c r="M60" i="1" s="1"/>
  <c r="H60" i="1" l="1"/>
  <c r="L60" i="1"/>
  <c r="G60" i="1"/>
  <c r="F61" i="1"/>
  <c r="M61" i="1" s="1"/>
  <c r="H61" i="1" l="1"/>
  <c r="L61" i="1"/>
  <c r="G61" i="1"/>
  <c r="F62" i="1"/>
  <c r="M62" i="1" s="1"/>
  <c r="H62" i="1" l="1"/>
  <c r="L62" i="1"/>
  <c r="G62" i="1"/>
  <c r="F63" i="1"/>
  <c r="M63" i="1" s="1"/>
  <c r="H63" i="1" l="1"/>
  <c r="L63" i="1"/>
  <c r="G63" i="1"/>
  <c r="F64" i="1"/>
  <c r="M64" i="1" s="1"/>
  <c r="H64" i="1" l="1"/>
  <c r="L64" i="1"/>
  <c r="G64" i="1"/>
  <c r="F65" i="1"/>
  <c r="M65" i="1" s="1"/>
  <c r="H65" i="1" l="1"/>
  <c r="L65" i="1"/>
  <c r="G65" i="1"/>
  <c r="F66" i="1"/>
  <c r="M66" i="1" s="1"/>
  <c r="H66" i="1" l="1"/>
  <c r="L66" i="1"/>
  <c r="G66" i="1"/>
  <c r="F67" i="1"/>
  <c r="M67" i="1" s="1"/>
  <c r="H67" i="1" l="1"/>
  <c r="L67" i="1"/>
  <c r="G67" i="1"/>
  <c r="F68" i="1"/>
  <c r="M68" i="1" s="1"/>
  <c r="H68" i="1" l="1"/>
  <c r="L68" i="1"/>
  <c r="G68" i="1"/>
  <c r="F69" i="1"/>
  <c r="M69" i="1" s="1"/>
  <c r="H69" i="1" l="1"/>
  <c r="L69" i="1"/>
  <c r="G69" i="1"/>
  <c r="F70" i="1"/>
  <c r="M70" i="1" s="1"/>
  <c r="H70" i="1" l="1"/>
  <c r="L70" i="1"/>
  <c r="G70" i="1"/>
  <c r="F71" i="1"/>
  <c r="M71" i="1" s="1"/>
  <c r="H71" i="1" l="1"/>
  <c r="L71" i="1"/>
  <c r="G71" i="1"/>
  <c r="F72" i="1"/>
  <c r="M72" i="1" s="1"/>
  <c r="H72" i="1" l="1"/>
  <c r="L72" i="1"/>
  <c r="G72" i="1"/>
  <c r="F73" i="1"/>
  <c r="M73" i="1" s="1"/>
  <c r="H73" i="1" l="1"/>
  <c r="L73" i="1"/>
  <c r="G73" i="1"/>
  <c r="F74" i="1"/>
  <c r="M74" i="1" s="1"/>
  <c r="H74" i="1" l="1"/>
  <c r="L74" i="1"/>
  <c r="G74" i="1"/>
  <c r="F75" i="1"/>
  <c r="M75" i="1" s="1"/>
  <c r="H75" i="1" l="1"/>
  <c r="L75" i="1"/>
  <c r="G75" i="1"/>
  <c r="F76" i="1"/>
  <c r="M76" i="1" s="1"/>
  <c r="H76" i="1" l="1"/>
  <c r="L76" i="1"/>
  <c r="G76" i="1"/>
  <c r="F77" i="1"/>
  <c r="M77" i="1" s="1"/>
  <c r="H77" i="1" l="1"/>
  <c r="L77" i="1"/>
  <c r="G77" i="1"/>
  <c r="F78" i="1"/>
  <c r="M78" i="1" s="1"/>
  <c r="H78" i="1" l="1"/>
  <c r="L78" i="1"/>
  <c r="G78" i="1"/>
  <c r="F79" i="1"/>
  <c r="M79" i="1" s="1"/>
  <c r="H79" i="1" l="1"/>
  <c r="L79" i="1"/>
  <c r="G79" i="1"/>
  <c r="F80" i="1"/>
  <c r="M80" i="1" s="1"/>
  <c r="H80" i="1" l="1"/>
  <c r="L80" i="1"/>
  <c r="G80" i="1"/>
  <c r="F81" i="1"/>
  <c r="M81" i="1" s="1"/>
  <c r="H81" i="1" l="1"/>
  <c r="L81" i="1"/>
  <c r="G81" i="1"/>
  <c r="F82" i="1"/>
  <c r="M82" i="1" s="1"/>
  <c r="H82" i="1" l="1"/>
  <c r="L82" i="1"/>
  <c r="G82" i="1"/>
  <c r="F83" i="1"/>
  <c r="M83" i="1" s="1"/>
  <c r="H83" i="1" l="1"/>
  <c r="L83" i="1"/>
  <c r="G83" i="1"/>
  <c r="F84" i="1"/>
  <c r="M84" i="1" s="1"/>
  <c r="H84" i="1" l="1"/>
  <c r="L84" i="1"/>
  <c r="F85" i="1"/>
  <c r="M85" i="1" s="1"/>
  <c r="G84" i="1"/>
  <c r="H85" i="1" l="1"/>
  <c r="L85" i="1"/>
  <c r="F86" i="1"/>
  <c r="M86" i="1" s="1"/>
  <c r="G85" i="1"/>
  <c r="H86" i="1" l="1"/>
  <c r="L86" i="1"/>
  <c r="F87" i="1"/>
  <c r="M87" i="1" s="1"/>
  <c r="G86" i="1"/>
  <c r="H87" i="1" l="1"/>
  <c r="L87" i="1"/>
  <c r="F88" i="1"/>
  <c r="M88" i="1" s="1"/>
  <c r="G87" i="1"/>
  <c r="H88" i="1" l="1"/>
  <c r="L88" i="1"/>
  <c r="F89" i="1"/>
  <c r="M89" i="1" s="1"/>
  <c r="G88" i="1"/>
  <c r="H89" i="1" l="1"/>
  <c r="L89" i="1"/>
  <c r="F90" i="1"/>
  <c r="M90" i="1" s="1"/>
  <c r="G89" i="1"/>
  <c r="H90" i="1" l="1"/>
  <c r="L90" i="1"/>
  <c r="F91" i="1"/>
  <c r="M91" i="1" s="1"/>
  <c r="G90" i="1"/>
  <c r="H91" i="1" l="1"/>
  <c r="L91" i="1"/>
  <c r="F92" i="1"/>
  <c r="M92" i="1" s="1"/>
  <c r="G91" i="1"/>
  <c r="H92" i="1" l="1"/>
  <c r="L92" i="1"/>
  <c r="F93" i="1"/>
  <c r="M93" i="1" s="1"/>
  <c r="G92" i="1"/>
  <c r="H93" i="1" l="1"/>
  <c r="L93" i="1"/>
  <c r="F94" i="1"/>
  <c r="M94" i="1" s="1"/>
  <c r="G93" i="1"/>
  <c r="H94" i="1" l="1"/>
  <c r="L94" i="1"/>
  <c r="F95" i="1"/>
  <c r="M95" i="1" s="1"/>
  <c r="G94" i="1"/>
  <c r="H95" i="1" l="1"/>
  <c r="L95" i="1"/>
  <c r="F96" i="1"/>
  <c r="M96" i="1" s="1"/>
  <c r="G95" i="1"/>
  <c r="H96" i="1" l="1"/>
  <c r="L96" i="1"/>
  <c r="F97" i="1"/>
  <c r="M97" i="1" s="1"/>
  <c r="G96" i="1"/>
  <c r="H97" i="1" l="1"/>
  <c r="L97" i="1"/>
  <c r="F98" i="1"/>
  <c r="M98" i="1" s="1"/>
  <c r="G97" i="1"/>
  <c r="H98" i="1" l="1"/>
  <c r="L98" i="1"/>
  <c r="F99" i="1"/>
  <c r="M99" i="1" s="1"/>
  <c r="G98" i="1"/>
  <c r="H99" i="1" l="1"/>
  <c r="L99" i="1"/>
  <c r="F100" i="1"/>
  <c r="M100" i="1" s="1"/>
  <c r="G99" i="1"/>
  <c r="H100" i="1" l="1"/>
  <c r="L100" i="1"/>
  <c r="F101" i="1"/>
  <c r="M101" i="1" s="1"/>
  <c r="G100" i="1"/>
  <c r="H101" i="1" l="1"/>
  <c r="L101" i="1"/>
  <c r="F102" i="1"/>
  <c r="M102" i="1" s="1"/>
  <c r="G101" i="1"/>
  <c r="H102" i="1" l="1"/>
  <c r="L102" i="1"/>
  <c r="F103" i="1"/>
  <c r="M103" i="1" s="1"/>
  <c r="G102" i="1"/>
  <c r="H103" i="1" l="1"/>
  <c r="L103" i="1"/>
  <c r="F104" i="1"/>
  <c r="M104" i="1" s="1"/>
  <c r="G103" i="1"/>
  <c r="H104" i="1" l="1"/>
  <c r="L104" i="1"/>
  <c r="F105" i="1"/>
  <c r="M105" i="1" s="1"/>
  <c r="G104" i="1"/>
  <c r="H105" i="1" l="1"/>
  <c r="L105" i="1"/>
  <c r="F106" i="1"/>
  <c r="M106" i="1" s="1"/>
  <c r="G105" i="1"/>
  <c r="H106" i="1" l="1"/>
  <c r="L106" i="1"/>
  <c r="F107" i="1"/>
  <c r="M107" i="1" s="1"/>
  <c r="G106" i="1"/>
  <c r="H107" i="1" l="1"/>
  <c r="L107" i="1"/>
  <c r="F108" i="1"/>
  <c r="M108" i="1" s="1"/>
  <c r="G107" i="1"/>
  <c r="H108" i="1" l="1"/>
  <c r="L108" i="1"/>
  <c r="F109" i="1"/>
  <c r="M109" i="1" s="1"/>
  <c r="G108" i="1"/>
  <c r="H109" i="1" l="1"/>
  <c r="L109" i="1"/>
  <c r="F110" i="1"/>
  <c r="M110" i="1" s="1"/>
  <c r="G109" i="1"/>
  <c r="H110" i="1" l="1"/>
  <c r="L110" i="1"/>
  <c r="F111" i="1"/>
  <c r="M111" i="1" s="1"/>
  <c r="G110" i="1"/>
  <c r="H111" i="1" l="1"/>
  <c r="L111" i="1"/>
  <c r="F112" i="1"/>
  <c r="M112" i="1" s="1"/>
  <c r="G111" i="1"/>
  <c r="H112" i="1" l="1"/>
  <c r="L112" i="1"/>
  <c r="F113" i="1"/>
  <c r="M113" i="1" s="1"/>
  <c r="G112" i="1"/>
  <c r="H113" i="1" l="1"/>
  <c r="L113" i="1"/>
  <c r="F114" i="1"/>
  <c r="M114" i="1" s="1"/>
  <c r="G113" i="1"/>
  <c r="H114" i="1" l="1"/>
  <c r="L114" i="1"/>
  <c r="F115" i="1"/>
  <c r="M115" i="1" s="1"/>
  <c r="G114" i="1"/>
  <c r="H115" i="1" l="1"/>
  <c r="L115" i="1"/>
  <c r="F116" i="1"/>
  <c r="M116" i="1" s="1"/>
  <c r="G115" i="1"/>
  <c r="H116" i="1" l="1"/>
  <c r="L116" i="1"/>
  <c r="F117" i="1"/>
  <c r="M117" i="1" s="1"/>
  <c r="G116" i="1"/>
  <c r="H117" i="1" l="1"/>
  <c r="L117" i="1"/>
  <c r="F118" i="1"/>
  <c r="M118" i="1" s="1"/>
  <c r="G117" i="1"/>
  <c r="H118" i="1" l="1"/>
  <c r="L118" i="1"/>
  <c r="F119" i="1"/>
  <c r="G118" i="1"/>
  <c r="L119" i="1" l="1"/>
  <c r="M119" i="1"/>
  <c r="G119" i="1"/>
  <c r="H119" i="1"/>
  <c r="I11" i="8" l="1"/>
  <c r="J7" i="8" s="1"/>
  <c r="J8" i="8" l="1"/>
  <c r="J9" i="8"/>
  <c r="K9" i="8" s="1"/>
  <c r="L9" i="8" s="1"/>
  <c r="M9" i="8" s="1"/>
  <c r="J2" i="8"/>
  <c r="K2" i="8" s="1"/>
  <c r="L2" i="8" s="1"/>
  <c r="M2" i="8" s="1"/>
  <c r="K7" i="8"/>
  <c r="L7" i="8" s="1"/>
  <c r="M7" i="8" s="1"/>
  <c r="J5" i="8"/>
  <c r="J3" i="8"/>
  <c r="J6" i="8"/>
  <c r="J4" i="8"/>
  <c r="J10" i="8"/>
  <c r="K8" i="8"/>
  <c r="L8" i="8" s="1"/>
  <c r="M8" i="8" s="1"/>
  <c r="K6" i="8" l="1"/>
  <c r="L6" i="8" s="1"/>
  <c r="M6" i="8" s="1"/>
  <c r="K5" i="8"/>
  <c r="L5" i="8" s="1"/>
  <c r="M5" i="8" s="1"/>
  <c r="K10" i="8"/>
  <c r="L10" i="8" s="1"/>
  <c r="M10" i="8" s="1"/>
  <c r="K3" i="8"/>
  <c r="L3" i="8" s="1"/>
  <c r="M3" i="8" s="1"/>
  <c r="K4" i="8"/>
  <c r="L4" i="8" s="1"/>
  <c r="M4" i="8" s="1"/>
  <c r="M11" i="8" l="1"/>
  <c r="M14" i="8" s="1"/>
</calcChain>
</file>

<file path=xl/sharedStrings.xml><?xml version="1.0" encoding="utf-8"?>
<sst xmlns="http://schemas.openxmlformats.org/spreadsheetml/2006/main" count="1949" uniqueCount="455">
  <si>
    <t>Awn length</t>
  </si>
  <si>
    <t>flag leaf length</t>
  </si>
  <si>
    <t>flag leaf width</t>
  </si>
  <si>
    <t>plant height</t>
  </si>
  <si>
    <t>s1</t>
  </si>
  <si>
    <t>s2</t>
  </si>
  <si>
    <t>s3</t>
  </si>
  <si>
    <t>s4</t>
  </si>
  <si>
    <t>s5</t>
  </si>
  <si>
    <t>spike exertion</t>
  </si>
  <si>
    <t>leaf color</t>
  </si>
  <si>
    <t>Anther color</t>
  </si>
  <si>
    <t xml:space="preserve">awnedness </t>
  </si>
  <si>
    <t>emerge date</t>
  </si>
  <si>
    <t>average AL</t>
  </si>
  <si>
    <t>average PH</t>
  </si>
  <si>
    <t xml:space="preserve">Spike density </t>
  </si>
  <si>
    <t>number of spikelet per spike</t>
  </si>
  <si>
    <t>Glume colour</t>
  </si>
  <si>
    <t>Glume hairiness</t>
  </si>
  <si>
    <t>Number of seed per spikelet</t>
  </si>
  <si>
    <t>Number of seed per spike</t>
  </si>
  <si>
    <t>Seed colour</t>
  </si>
  <si>
    <t>Seed size</t>
  </si>
  <si>
    <t>Seed Length</t>
  </si>
  <si>
    <t>Seed Width</t>
  </si>
  <si>
    <t>Seed Thickness</t>
  </si>
  <si>
    <t>Thousand grain weight</t>
  </si>
  <si>
    <t>S1</t>
  </si>
  <si>
    <t>S2</t>
  </si>
  <si>
    <t>S3</t>
  </si>
  <si>
    <t>S4</t>
  </si>
  <si>
    <t>S5</t>
  </si>
  <si>
    <t>moisture %</t>
  </si>
  <si>
    <t>Avg. FLL</t>
  </si>
  <si>
    <t>Avg. FLW</t>
  </si>
  <si>
    <t>Number of Tillers</t>
  </si>
  <si>
    <t>Avg. T</t>
  </si>
  <si>
    <t>Avg.</t>
  </si>
  <si>
    <t>Avg SL</t>
  </si>
  <si>
    <t>Avg SW</t>
  </si>
  <si>
    <t>Avg ST</t>
  </si>
  <si>
    <t xml:space="preserve">Avg. </t>
  </si>
  <si>
    <t xml:space="preserve"> </t>
  </si>
  <si>
    <t>50% flowering date</t>
  </si>
  <si>
    <t xml:space="preserve"> 80% maturity date</t>
  </si>
  <si>
    <t>50% heading date</t>
  </si>
  <si>
    <t xml:space="preserve">growth habit </t>
  </si>
  <si>
    <t>Accession Number</t>
  </si>
  <si>
    <t>Local name</t>
  </si>
  <si>
    <t>Collected district</t>
  </si>
  <si>
    <t>सुडुले</t>
  </si>
  <si>
    <t>स्थानिय गहुँ</t>
  </si>
  <si>
    <t>म्याग्दी</t>
  </si>
  <si>
    <t>गेरु गहुँ</t>
  </si>
  <si>
    <t>स्थानीय गहुँ</t>
  </si>
  <si>
    <t>गहुँ</t>
  </si>
  <si>
    <t>सुडुले गहुँ</t>
  </si>
  <si>
    <t>रातो सुडुले गहुँ</t>
  </si>
  <si>
    <t>सेतो गहु</t>
  </si>
  <si>
    <t>दालचिनी गहुँ</t>
  </si>
  <si>
    <t>बाबरी गहुँ</t>
  </si>
  <si>
    <t>सेतो गहुँ</t>
  </si>
  <si>
    <t>रातो गहुँ</t>
  </si>
  <si>
    <t>विकासे गहुँ</t>
  </si>
  <si>
    <t>जुगे गहुँ</t>
  </si>
  <si>
    <t>स्थानिय रातो गहुँ</t>
  </si>
  <si>
    <t>प्युठाने गहुँ</t>
  </si>
  <si>
    <t>गौतम गहुँ</t>
  </si>
  <si>
    <t>दोलाखे गहुँ</t>
  </si>
  <si>
    <t>लोकल छोटे</t>
  </si>
  <si>
    <t>झुस्या गहुँ</t>
  </si>
  <si>
    <t>सेतो स्थानिय</t>
  </si>
  <si>
    <t>हिउदे रातो गहुँ</t>
  </si>
  <si>
    <t>लेकाली गहुँ</t>
  </si>
  <si>
    <t>CBO – 04</t>
  </si>
  <si>
    <t>CBO – 470</t>
  </si>
  <si>
    <t>दुधे सुडुले गहुँ</t>
  </si>
  <si>
    <t>हंन्से गहुँ</t>
  </si>
  <si>
    <t>भैरहवा, गहुँवाली अनुसन्धान</t>
  </si>
  <si>
    <t>Arghakhanchi</t>
  </si>
  <si>
    <t>Jumla</t>
  </si>
  <si>
    <t>Myagdi</t>
  </si>
  <si>
    <t>ABD- khumaltar</t>
  </si>
  <si>
    <t>Bajhang</t>
  </si>
  <si>
    <t>Jajarkot</t>
  </si>
  <si>
    <t>Rukum</t>
  </si>
  <si>
    <t>ABD – khumaltar</t>
  </si>
  <si>
    <t>Dadeldhura</t>
  </si>
  <si>
    <t>Darchula</t>
  </si>
  <si>
    <t>Siraha</t>
  </si>
  <si>
    <t>Rasuwa</t>
  </si>
  <si>
    <t>Bhojpur</t>
  </si>
  <si>
    <t>Humla</t>
  </si>
  <si>
    <t>Palpa</t>
  </si>
  <si>
    <t>Lalitpur</t>
  </si>
  <si>
    <t>Mustang</t>
  </si>
  <si>
    <t>Doti</t>
  </si>
  <si>
    <t>Okhaldhunga</t>
  </si>
  <si>
    <t>Dhading</t>
  </si>
  <si>
    <t>Pyuthan</t>
  </si>
  <si>
    <t>Baglung</t>
  </si>
  <si>
    <t>Gulmi</t>
  </si>
  <si>
    <t>Gorkha</t>
  </si>
  <si>
    <t>Khotang</t>
  </si>
  <si>
    <t>Tanahun – 500m</t>
  </si>
  <si>
    <t>Dang</t>
  </si>
  <si>
    <t>Sankhuwasakha</t>
  </si>
  <si>
    <t>Kanchanpur</t>
  </si>
  <si>
    <t>Nuwakot</t>
  </si>
  <si>
    <t>Baitadi</t>
  </si>
  <si>
    <t>Dolakha</t>
  </si>
  <si>
    <t>Ramechhap</t>
  </si>
  <si>
    <t>Sindupalchowk</t>
  </si>
  <si>
    <t>Rautahat</t>
  </si>
  <si>
    <t>Sindhuli</t>
  </si>
  <si>
    <t>Solukhumbu</t>
  </si>
  <si>
    <t>Nawalparashi</t>
  </si>
  <si>
    <t>Tanahun</t>
  </si>
  <si>
    <t>Kailali</t>
  </si>
  <si>
    <t>Taplejung</t>
  </si>
  <si>
    <t>ADB , khumaltar</t>
  </si>
  <si>
    <t>ADB, khumaltar</t>
  </si>
  <si>
    <t>ADB,khumaltar</t>
  </si>
  <si>
    <t>Bhairahawa</t>
  </si>
  <si>
    <t>NGRCO Number</t>
  </si>
  <si>
    <t>NGRCO 5102</t>
  </si>
  <si>
    <t>NGRCO 5103</t>
  </si>
  <si>
    <t>NGRCO 5104</t>
  </si>
  <si>
    <t>NGRCO 5188</t>
  </si>
  <si>
    <t>NGRCO 5189</t>
  </si>
  <si>
    <t>NGRCO 5190</t>
  </si>
  <si>
    <t>NGRCO 5191</t>
  </si>
  <si>
    <t>NGRCO 5192</t>
  </si>
  <si>
    <t>NGRCO 5193</t>
  </si>
  <si>
    <t>NGRCO 5194</t>
  </si>
  <si>
    <t>NGRCO 5195</t>
  </si>
  <si>
    <t>NGRCO 5196</t>
  </si>
  <si>
    <t>NGRCO 5197</t>
  </si>
  <si>
    <t>NGRCO 5198</t>
  </si>
  <si>
    <t>NGRCO 5199</t>
  </si>
  <si>
    <t>NGRCO 5200</t>
  </si>
  <si>
    <t>NGRCO 5201</t>
  </si>
  <si>
    <t>NGRCO 6199</t>
  </si>
  <si>
    <t>NGRCO 6200</t>
  </si>
  <si>
    <t>NGRCO  6201</t>
  </si>
  <si>
    <t>NGRCO 6230</t>
  </si>
  <si>
    <t>NGRCO  6231</t>
  </si>
  <si>
    <t>NGRCO 6232</t>
  </si>
  <si>
    <t>NGRCO 6233</t>
  </si>
  <si>
    <t>NGRCO6234</t>
  </si>
  <si>
    <t>NGRCO 6235</t>
  </si>
  <si>
    <t>NGRCO 6236</t>
  </si>
  <si>
    <t>NGRCO 6237</t>
  </si>
  <si>
    <t>NGRCO 6238</t>
  </si>
  <si>
    <t>NGRCO  6239</t>
  </si>
  <si>
    <t>NGRCO 6240</t>
  </si>
  <si>
    <t>NGRCO 6241</t>
  </si>
  <si>
    <t>NGRCO 6242</t>
  </si>
  <si>
    <t>NGRCO6243</t>
  </si>
  <si>
    <t>NGRCO 6244</t>
  </si>
  <si>
    <t>NGRCO 6245</t>
  </si>
  <si>
    <t>NGRCO6246</t>
  </si>
  <si>
    <t>NGRCO 6247</t>
  </si>
  <si>
    <t>NGRCO 6248</t>
  </si>
  <si>
    <t>NGRCO 6249</t>
  </si>
  <si>
    <t>NGRCO 6250</t>
  </si>
  <si>
    <t>NGRCO 6251</t>
  </si>
  <si>
    <t>NGRCO 6252</t>
  </si>
  <si>
    <t>NGRCO 6253</t>
  </si>
  <si>
    <t>NGRCO 6254</t>
  </si>
  <si>
    <t>NGRCO 6255</t>
  </si>
  <si>
    <t>NGRCO 6256</t>
  </si>
  <si>
    <t>NGRCO 6257</t>
  </si>
  <si>
    <t>NGRCO 6258</t>
  </si>
  <si>
    <t>NGRCO 6259</t>
  </si>
  <si>
    <t>NGRCO 6260</t>
  </si>
  <si>
    <t>NGRCO 6261</t>
  </si>
  <si>
    <t>NGRCO 6262</t>
  </si>
  <si>
    <t>NGRCO 6263</t>
  </si>
  <si>
    <t>NGRCO 6264</t>
  </si>
  <si>
    <t>NGRCO 6265</t>
  </si>
  <si>
    <t>NGRCO 6266</t>
  </si>
  <si>
    <t>NGRCO 6267</t>
  </si>
  <si>
    <t>NGRCO 6268</t>
  </si>
  <si>
    <t>NGRCO 6269</t>
  </si>
  <si>
    <t>NGRCO 6270</t>
  </si>
  <si>
    <t>NGRCO 6448</t>
  </si>
  <si>
    <t>NGRCO 10285</t>
  </si>
  <si>
    <t>NGRCO 10286</t>
  </si>
  <si>
    <t>NGRCO 10287</t>
  </si>
  <si>
    <t>NGRCO 10288</t>
  </si>
  <si>
    <t>NGRCO 10289</t>
  </si>
  <si>
    <t>NGRCO 10290</t>
  </si>
  <si>
    <t>NGRCO 10291</t>
  </si>
  <si>
    <t>NGRCO 10294</t>
  </si>
  <si>
    <t>NGRCO 10295</t>
  </si>
  <si>
    <t>NGRCO 10296</t>
  </si>
  <si>
    <t>NGRCO 10299</t>
  </si>
  <si>
    <t>NGRCO 10300</t>
  </si>
  <si>
    <t>NGRCO 10301</t>
  </si>
  <si>
    <t>NGRCO 10302</t>
  </si>
  <si>
    <t>NGRCO 10303</t>
  </si>
  <si>
    <t>NGRCO 10284</t>
  </si>
  <si>
    <t>NGRCO 10292</t>
  </si>
  <si>
    <t>NGRCO 10304</t>
  </si>
  <si>
    <t>NGRCO 10305</t>
  </si>
  <si>
    <t>NGRCO 10306</t>
  </si>
  <si>
    <t>NGRCO 10307</t>
  </si>
  <si>
    <t>NGRCO 10308</t>
  </si>
  <si>
    <t>NGRCO 10309</t>
  </si>
  <si>
    <t>NGRCO 10310</t>
  </si>
  <si>
    <t>NGRCO 10311</t>
  </si>
  <si>
    <t>NGRCO 10393</t>
  </si>
  <si>
    <t>Co15402</t>
  </si>
  <si>
    <t>Co15555</t>
  </si>
  <si>
    <t>NGRCO 00021</t>
  </si>
  <si>
    <t>NGRCO 00108</t>
  </si>
  <si>
    <t>NGRCO 00128</t>
  </si>
  <si>
    <t>NGRCO 00129</t>
  </si>
  <si>
    <t>NGRCO 00131</t>
  </si>
  <si>
    <t>NGRCO 00132</t>
  </si>
  <si>
    <t>NGRCO 00134</t>
  </si>
  <si>
    <t>NGRCO 00135</t>
  </si>
  <si>
    <t>NGRCO 00136</t>
  </si>
  <si>
    <t>NGRCO 00137</t>
  </si>
  <si>
    <t>NGRCO 00138</t>
  </si>
  <si>
    <t>NGRCO 00145</t>
  </si>
  <si>
    <t>NGRCO 00146</t>
  </si>
  <si>
    <t>NGRCO 00147</t>
  </si>
  <si>
    <t>NGRCO 00148</t>
  </si>
  <si>
    <t>NGRCO 00157</t>
  </si>
  <si>
    <t>NGRCO 00158</t>
  </si>
  <si>
    <t>NGRCO 00159</t>
  </si>
  <si>
    <t>NGRCO 00166</t>
  </si>
  <si>
    <t>NGRCO 00168</t>
  </si>
  <si>
    <t>NGRCO 00169</t>
  </si>
  <si>
    <t>NGRCO 00195</t>
  </si>
  <si>
    <t>NGRCO 00208</t>
  </si>
  <si>
    <t>NGRCO 06348</t>
  </si>
  <si>
    <t>NGRCO 06349</t>
  </si>
  <si>
    <t>NGRCO 06350</t>
  </si>
  <si>
    <t>total grain yield(kg/m2)</t>
  </si>
  <si>
    <t>yield (t/ ha)</t>
  </si>
  <si>
    <t>days to flowering</t>
  </si>
  <si>
    <t>Corrected yield (tonne/hecter)</t>
  </si>
  <si>
    <t xml:space="preserve">                    Spike length</t>
  </si>
  <si>
    <t>Avg Spike Length</t>
  </si>
  <si>
    <t>Avg Spike exerction</t>
  </si>
  <si>
    <t>day to emergence</t>
  </si>
  <si>
    <t>Days to sowing</t>
  </si>
  <si>
    <t>no. of days to heading</t>
  </si>
  <si>
    <t>days to maturity</t>
  </si>
  <si>
    <t xml:space="preserve">Number of spiklet per spike </t>
  </si>
  <si>
    <t>TY</t>
  </si>
  <si>
    <t>THSW</t>
  </si>
  <si>
    <t>ST</t>
  </si>
  <si>
    <t>SW</t>
  </si>
  <si>
    <t>SL</t>
  </si>
  <si>
    <t>T</t>
  </si>
  <si>
    <t>FLW</t>
  </si>
  <si>
    <t>FLL</t>
  </si>
  <si>
    <t>DTF</t>
  </si>
  <si>
    <t>DOM</t>
  </si>
  <si>
    <t>PH</t>
  </si>
  <si>
    <t>SE</t>
  </si>
  <si>
    <t>SPL</t>
  </si>
  <si>
    <t>SPS</t>
  </si>
  <si>
    <t>SPPS</t>
  </si>
  <si>
    <t>SPSP</t>
  </si>
  <si>
    <t>Accession name</t>
  </si>
  <si>
    <t>NGRCO5103</t>
  </si>
  <si>
    <t>NGRCO5104</t>
  </si>
  <si>
    <t>NGRCO5188</t>
  </si>
  <si>
    <t>NGRCO5189</t>
  </si>
  <si>
    <t>NGRCO5190</t>
  </si>
  <si>
    <t>NGRCO5191</t>
  </si>
  <si>
    <t>NGRCO5192</t>
  </si>
  <si>
    <t>NGRCO5193</t>
  </si>
  <si>
    <t>NGRCO5194</t>
  </si>
  <si>
    <t>NGRCO5195</t>
  </si>
  <si>
    <t>NGRCO5196</t>
  </si>
  <si>
    <t>NGRCO5197</t>
  </si>
  <si>
    <t>NGRCO06350</t>
  </si>
  <si>
    <t>NGRCO06349</t>
  </si>
  <si>
    <t>NGRCO5198</t>
  </si>
  <si>
    <t>NGRCO5199</t>
  </si>
  <si>
    <t>NGRCO5200</t>
  </si>
  <si>
    <t>NGRCO5201</t>
  </si>
  <si>
    <t>NGRCO6199</t>
  </si>
  <si>
    <t>NGRCO6200</t>
  </si>
  <si>
    <t>NGRCO6201</t>
  </si>
  <si>
    <t>NGRCO6230</t>
  </si>
  <si>
    <t>NGRCO6231</t>
  </si>
  <si>
    <t>NGRCO6232</t>
  </si>
  <si>
    <t>NGRCO6233</t>
  </si>
  <si>
    <t>NGRCO6235</t>
  </si>
  <si>
    <t>NGRCO6236</t>
  </si>
  <si>
    <t>NGRCO6237</t>
  </si>
  <si>
    <t>NGRCO6238</t>
  </si>
  <si>
    <t>NGRCO6239</t>
  </si>
  <si>
    <t>NGRCO6240</t>
  </si>
  <si>
    <t>NGRCO6241</t>
  </si>
  <si>
    <t>NGRCO6242</t>
  </si>
  <si>
    <t>NGRCO6244</t>
  </si>
  <si>
    <t>NGRCO6245</t>
  </si>
  <si>
    <t>NGRCO6247</t>
  </si>
  <si>
    <t>NGRCO6248</t>
  </si>
  <si>
    <t>NGRCO6249</t>
  </si>
  <si>
    <t>NGRCO6250</t>
  </si>
  <si>
    <t>NGRCO6251</t>
  </si>
  <si>
    <t>NGRCO6252</t>
  </si>
  <si>
    <t>NGRCO6253</t>
  </si>
  <si>
    <t>NGRCO6254</t>
  </si>
  <si>
    <t>NGRCO6255</t>
  </si>
  <si>
    <t>NGRCO6256</t>
  </si>
  <si>
    <t>NGRCO6257</t>
  </si>
  <si>
    <t>NGRCO6258</t>
  </si>
  <si>
    <t>NGRCO6259</t>
  </si>
  <si>
    <t>NGRCO6260</t>
  </si>
  <si>
    <t>NGRCO6261</t>
  </si>
  <si>
    <t>NGRCO6262</t>
  </si>
  <si>
    <t>NGRCO6263</t>
  </si>
  <si>
    <t>NGRCO6264</t>
  </si>
  <si>
    <t>NGRCO6265</t>
  </si>
  <si>
    <t>NGRCO6266</t>
  </si>
  <si>
    <t>NGRCO6267</t>
  </si>
  <si>
    <t>NGRCO6268</t>
  </si>
  <si>
    <t>NGRCO6269</t>
  </si>
  <si>
    <t>NGRCO6270</t>
  </si>
  <si>
    <t>NGRCO6448</t>
  </si>
  <si>
    <t>NGRCO10285</t>
  </si>
  <si>
    <t>NGRCO10286</t>
  </si>
  <si>
    <t>NGRCO10287</t>
  </si>
  <si>
    <t>NGRCO10288</t>
  </si>
  <si>
    <t>NGRCO10289</t>
  </si>
  <si>
    <t>NGRCO10290</t>
  </si>
  <si>
    <t>NGRCO10291</t>
  </si>
  <si>
    <t>NGRCO10294</t>
  </si>
  <si>
    <t>NGRCO10295</t>
  </si>
  <si>
    <t>NGRCO10296</t>
  </si>
  <si>
    <t>NGRCO10299</t>
  </si>
  <si>
    <t>NGRCO10300</t>
  </si>
  <si>
    <t>NGRCO10301</t>
  </si>
  <si>
    <t>NGRCO10302</t>
  </si>
  <si>
    <t>NGRCO10303</t>
  </si>
  <si>
    <t>NGRCO10284</t>
  </si>
  <si>
    <t>NGRCO10292</t>
  </si>
  <si>
    <t>NGRCO10304</t>
  </si>
  <si>
    <t>NGRCO10305</t>
  </si>
  <si>
    <t>NGRCO10306</t>
  </si>
  <si>
    <t>NGRCO10307</t>
  </si>
  <si>
    <t>NGRCO10308</t>
  </si>
  <si>
    <t>NGRCO10309</t>
  </si>
  <si>
    <t>NGRCO10310</t>
  </si>
  <si>
    <t>NGRCO10311</t>
  </si>
  <si>
    <t>NGRCO10393</t>
  </si>
  <si>
    <t>CO15402</t>
  </si>
  <si>
    <t>CO15555</t>
  </si>
  <si>
    <t>NGRCO00021</t>
  </si>
  <si>
    <t>NGRCO00108</t>
  </si>
  <si>
    <t>NGRCO00128</t>
  </si>
  <si>
    <t>NGRCO00129</t>
  </si>
  <si>
    <t>NGRCO00131</t>
  </si>
  <si>
    <t>NGRCO00132</t>
  </si>
  <si>
    <t>NGRCO00134</t>
  </si>
  <si>
    <t>NGRCO00135</t>
  </si>
  <si>
    <t>NGRCO00136</t>
  </si>
  <si>
    <t>NGRCO00137</t>
  </si>
  <si>
    <t>NGRCO00138</t>
  </si>
  <si>
    <t>NGRCO00145</t>
  </si>
  <si>
    <t>NGRCO00146</t>
  </si>
  <si>
    <t>NGRCO00147</t>
  </si>
  <si>
    <t>NGRCO00148</t>
  </si>
  <si>
    <t>NGRCO00157</t>
  </si>
  <si>
    <t>NGRCO00158</t>
  </si>
  <si>
    <t>NGRCO00159</t>
  </si>
  <si>
    <t>NGRCO00166</t>
  </si>
  <si>
    <t>NGRCO00168</t>
  </si>
  <si>
    <t>NGRCO00169</t>
  </si>
  <si>
    <t>NGRCO00195</t>
  </si>
  <si>
    <t>NGRCO00208</t>
  </si>
  <si>
    <t>NGRCO06348</t>
  </si>
  <si>
    <t>Accession number</t>
  </si>
  <si>
    <t>DTE</t>
  </si>
  <si>
    <t>DTH</t>
  </si>
  <si>
    <t>Cluster</t>
  </si>
  <si>
    <t>Count</t>
  </si>
  <si>
    <t>S.N</t>
  </si>
  <si>
    <t>Variables</t>
  </si>
  <si>
    <t>Descriptor states</t>
  </si>
  <si>
    <t>Frequency</t>
  </si>
  <si>
    <t>Percentage</t>
  </si>
  <si>
    <t>‘H’ index</t>
  </si>
  <si>
    <t>Growth habit</t>
  </si>
  <si>
    <t>Anwedness</t>
  </si>
  <si>
    <t>Leaf colour</t>
  </si>
  <si>
    <t>Anther colour</t>
  </si>
  <si>
    <t>Spike density</t>
  </si>
  <si>
    <t>seed size</t>
  </si>
  <si>
    <t>n</t>
  </si>
  <si>
    <t>n/N=pi</t>
  </si>
  <si>
    <t>log2pi</t>
  </si>
  <si>
    <t>log2pi*-1</t>
  </si>
  <si>
    <t>pi*log2pi-1</t>
  </si>
  <si>
    <t>Sum</t>
  </si>
  <si>
    <t>Log (n,2)</t>
  </si>
  <si>
    <t>Standard H'</t>
  </si>
  <si>
    <t>sum</t>
  </si>
  <si>
    <t>mean</t>
  </si>
  <si>
    <t>std.dev</t>
  </si>
  <si>
    <t>Lower limit</t>
  </si>
  <si>
    <t>Upper limit</t>
  </si>
  <si>
    <t>n/N= pi</t>
  </si>
  <si>
    <t>pi{log2pi(-1)}</t>
  </si>
  <si>
    <t>x-2.0sd</t>
  </si>
  <si>
    <t>x-1.5sd</t>
  </si>
  <si>
    <t>x-1.0sd</t>
  </si>
  <si>
    <t>x-0.5sd</t>
  </si>
  <si>
    <t>x</t>
  </si>
  <si>
    <t>x+0.5sd</t>
  </si>
  <si>
    <t>x+1.0sd</t>
  </si>
  <si>
    <t>x+1.5sd</t>
  </si>
  <si>
    <t xml:space="preserve">&gt; x+2.0sd </t>
  </si>
  <si>
    <t>Days to emargance</t>
  </si>
  <si>
    <t>lower range</t>
  </si>
  <si>
    <t>Upper range</t>
  </si>
  <si>
    <t>Days to heading</t>
  </si>
  <si>
    <t>Days to flowering</t>
  </si>
  <si>
    <t>Days to maturity</t>
  </si>
  <si>
    <t>Plant height</t>
  </si>
  <si>
    <t>Spike length</t>
  </si>
  <si>
    <t>Flag leaf length</t>
  </si>
  <si>
    <t>Flag leaf width</t>
  </si>
  <si>
    <t>Tiller number</t>
  </si>
  <si>
    <t>seed length</t>
  </si>
  <si>
    <t>seed width</t>
  </si>
  <si>
    <t>seed thickness</t>
  </si>
  <si>
    <t>thousand seed weight</t>
  </si>
  <si>
    <t>Total yield</t>
  </si>
  <si>
    <t>NOT</t>
  </si>
  <si>
    <t>Cluster1</t>
  </si>
  <si>
    <t>Cluster2</t>
  </si>
  <si>
    <t>Cluster3</t>
  </si>
  <si>
    <t>Clustering methods</t>
  </si>
  <si>
    <t>Cophenetic correlation</t>
  </si>
  <si>
    <t>Average</t>
  </si>
  <si>
    <t>Complete</t>
  </si>
  <si>
    <t>Ward</t>
  </si>
  <si>
    <t>Single</t>
  </si>
  <si>
    <t>Ward_D2</t>
  </si>
  <si>
    <t>Cluster4</t>
  </si>
  <si>
    <t>Cluster5</t>
  </si>
  <si>
    <t>Cluster6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</si>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</sst>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2"/>
      <color rgb="FF00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2" fontId="3" fillId="0" borderId="0" xfId="0" applyNumberFormat="1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2" fontId="5" fillId="0" borderId="7" xfId="0" applyNumberFormat="1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0" fillId="0" borderId="0" xfId="0" applyNumberFormat="1"/>
    <xf numFmtId="164" fontId="7" fillId="0" borderId="0" xfId="0" applyNumberFormat="1" applyFont="1" applyAlignment="1">
      <alignment horizontal="center"/>
    </xf>
    <xf numFmtId="0" fontId="9" fillId="0" borderId="6" xfId="0" applyFont="1" applyBorder="1" applyAlignment="1">
      <alignment horizontal="left" vertic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11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2" fontId="3" fillId="0" borderId="0" xfId="0" applyNumberFormat="1" applyFont="1"/>
    <xf numFmtId="0" fontId="3" fillId="0" borderId="9" xfId="0" applyFont="1" applyBorder="1"/>
    <xf numFmtId="2" fontId="3" fillId="0" borderId="9" xfId="0" applyNumberFormat="1" applyFont="1" applyBorder="1"/>
    <xf numFmtId="49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5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Cophenetic 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Sheet3!$B$1</c:f>
              <c:strCache>
                <c:ptCount val="1"/>
                <c:pt idx="0">
                  <c:v>Cophenetic correlation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B3C-42FD-A0C2-22E2505D4E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B3C-42FD-A0C2-22E2505D4EB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B3C-42FD-A0C2-22E2505D4EB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B3C-42FD-A0C2-22E2505D4EB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B3C-42FD-A0C2-22E2505D4E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Sheet3!$A$2:$A$6</c:f>
              <c:strCache>
                <c:ptCount val="5"/>
                <c:pt idx="0">
                  <c:v>Average</c:v>
                </c:pt>
                <c:pt idx="1">
                  <c:v>Complete</c:v>
                </c:pt>
                <c:pt idx="2">
                  <c:v>Ward</c:v>
                </c:pt>
                <c:pt idx="3">
                  <c:v>Single</c:v>
                </c:pt>
                <c:pt idx="4">
                  <c:v>Ward_D2</c:v>
                </c:pt>
              </c:strCache>
            </c:strRef>
          </c:cat>
          <c:val>
            <c:numRef>
              <c:f>Sheet3!$B$2:$B$6</c:f>
              <c:numCache>
                <c:formatCode>0.00</c:formatCode>
                <c:ptCount val="5"/>
                <c:pt idx="0">
                  <c:v>0.84399999999999997</c:v>
                </c:pt>
                <c:pt idx="1">
                  <c:v>0.69899999999999995</c:v>
                </c:pt>
                <c:pt idx="2">
                  <c:v>0.501</c:v>
                </c:pt>
                <c:pt idx="3">
                  <c:v>0.78700000000000003</c:v>
                </c:pt>
                <c:pt idx="4">
                  <c:v>0.501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A-40D7-913B-68CF0972AC3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375730472715295E-2"/>
          <c:y val="0.85649093617597549"/>
          <c:w val="0.87720156931603066"/>
          <c:h val="8.33620306061250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222250</xdr:colOff>
      <xdr:row>1</xdr:row>
      <xdr:rowOff>95250</xdr:rowOff>
    </xdr:from>
    <xdr:to>
      <xdr:col>10</xdr:col>
      <xdr:colOff>209550</xdr:colOff>
      <xdr:row>14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05CFA2-F329-2D6F-9E94-8AE6E10C0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19"/>
  <sheetViews>
    <sheetView zoomScaleNormal="100" workbookViewId="0">
      <selection activeCell="BC13" sqref="BC13"/>
    </sheetView>
  </sheetViews>
  <sheetFormatPr defaultColWidth="9.08984375" defaultRowHeight="14.5" x14ac:dyDescent="0.35"/>
  <cols>
    <col min="1" max="2" width="18.36328125" style="1" customWidth="1"/>
    <col min="3" max="3" width="17.1796875" style="13" customWidth="1"/>
    <col min="4" max="4" width="18" style="1" customWidth="1"/>
    <col min="5" max="6" width="24" style="1" customWidth="1"/>
    <col min="7" max="8" width="25.36328125" style="1" customWidth="1"/>
    <col min="9" max="9" width="14" style="1" customWidth="1"/>
    <col min="10" max="10" width="21.54296875" style="1" customWidth="1"/>
    <col min="11" max="12" width="20.90625" style="1" customWidth="1"/>
    <col min="13" max="13" width="20.90625" style="13" customWidth="1"/>
    <col min="14" max="14" width="24" style="1" customWidth="1"/>
    <col min="15" max="15" width="10.453125" style="1" customWidth="1"/>
    <col min="16" max="17" width="10.36328125" style="1" customWidth="1"/>
    <col min="18" max="18" width="10.453125" style="1" customWidth="1"/>
    <col min="19" max="19" width="10.36328125" style="1" customWidth="1"/>
    <col min="20" max="20" width="20.08984375" style="1" customWidth="1"/>
    <col min="21" max="21" width="10.90625" style="1" customWidth="1"/>
    <col min="22" max="22" width="11.36328125" style="1" customWidth="1"/>
    <col min="23" max="23" width="11" style="1" customWidth="1"/>
    <col min="24" max="24" width="10.6328125" style="1" customWidth="1"/>
    <col min="25" max="25" width="10.54296875" style="1" customWidth="1"/>
    <col min="26" max="26" width="19.1796875" style="1" customWidth="1"/>
    <col min="27" max="27" width="10" style="1" customWidth="1"/>
    <col min="28" max="31" width="9.08984375" style="1"/>
    <col min="32" max="32" width="17" style="1" customWidth="1"/>
    <col min="33" max="33" width="13.54296875" style="1" customWidth="1"/>
    <col min="34" max="34" width="10.6328125" style="1" bestFit="1" customWidth="1"/>
    <col min="35" max="37" width="9.08984375" style="1"/>
    <col min="38" max="38" width="16.90625" style="1" customWidth="1"/>
    <col min="39" max="39" width="14.90625" style="1" customWidth="1"/>
    <col min="40" max="41" width="9.08984375" style="1" customWidth="1"/>
    <col min="42" max="46" width="9.08984375" style="1"/>
    <col min="47" max="47" width="4" style="1" bestFit="1" customWidth="1"/>
    <col min="48" max="50" width="9.08984375" style="1"/>
    <col min="51" max="51" width="12.81640625" style="1" customWidth="1"/>
    <col min="52" max="52" width="15" style="1" customWidth="1"/>
    <col min="53" max="53" width="11.6328125" style="1" customWidth="1"/>
    <col min="54" max="58" width="9.08984375" style="1"/>
    <col min="59" max="59" width="15.54296875" style="1" customWidth="1"/>
    <col min="60" max="60" width="18.54296875" style="1" customWidth="1"/>
    <col min="61" max="65" width="9.08984375" style="1"/>
    <col min="66" max="66" width="12.81640625" style="1" customWidth="1"/>
    <col min="67" max="67" width="14.36328125" style="1" customWidth="1"/>
    <col min="68" max="68" width="18.54296875" style="1" customWidth="1"/>
    <col min="69" max="73" width="9.08984375" style="1"/>
    <col min="74" max="74" width="12" style="1" customWidth="1"/>
    <col min="75" max="79" width="9.08984375" style="1"/>
    <col min="80" max="80" width="24.90625" style="1" customWidth="1"/>
    <col min="81" max="81" width="14" style="1" customWidth="1"/>
    <col min="82" max="82" width="12.36328125" style="1" customWidth="1"/>
    <col min="83" max="87" width="9.08984375" style="1"/>
    <col min="88" max="88" width="11.6328125" style="1" customWidth="1"/>
    <col min="89" max="93" width="9.08984375" style="1"/>
    <col min="94" max="94" width="12" style="1" customWidth="1"/>
    <col min="95" max="99" width="9.08984375" style="1"/>
    <col min="100" max="100" width="14.36328125" style="1" customWidth="1"/>
    <col min="101" max="101" width="23" style="1" customWidth="1"/>
    <col min="102" max="102" width="22.36328125" style="1" customWidth="1"/>
    <col min="103" max="103" width="20" style="1" bestFit="1" customWidth="1"/>
    <col min="104" max="104" width="12.81640625" style="1" customWidth="1"/>
    <col min="105" max="105" width="22.1796875" style="1" customWidth="1"/>
    <col min="106" max="106" width="26.08984375" style="1" bestFit="1" customWidth="1"/>
    <col min="107" max="16384" width="9.08984375" style="1"/>
  </cols>
  <sheetData>
    <row r="1" spans="1:106" x14ac:dyDescent="0.35">
      <c r="A1" s="63" t="s">
        <v>48</v>
      </c>
      <c r="B1" s="63" t="s">
        <v>125</v>
      </c>
      <c r="C1" s="63" t="s">
        <v>49</v>
      </c>
      <c r="D1" s="63" t="s">
        <v>50</v>
      </c>
      <c r="E1" s="63" t="s">
        <v>13</v>
      </c>
      <c r="F1" s="63" t="s">
        <v>250</v>
      </c>
      <c r="G1" s="63" t="s">
        <v>249</v>
      </c>
      <c r="H1" s="63" t="s">
        <v>251</v>
      </c>
      <c r="I1" s="63" t="s">
        <v>47</v>
      </c>
      <c r="J1" s="63" t="s">
        <v>46</v>
      </c>
      <c r="K1" s="63" t="s">
        <v>44</v>
      </c>
      <c r="L1" s="63" t="s">
        <v>244</v>
      </c>
      <c r="M1" s="63" t="s">
        <v>252</v>
      </c>
      <c r="N1" s="63" t="s">
        <v>45</v>
      </c>
      <c r="O1" s="60" t="s">
        <v>3</v>
      </c>
      <c r="P1" s="60"/>
      <c r="Q1" s="60"/>
      <c r="R1" s="60"/>
      <c r="S1" s="60"/>
      <c r="T1" s="60" t="s">
        <v>15</v>
      </c>
      <c r="U1" s="62" t="s">
        <v>9</v>
      </c>
      <c r="V1" s="62"/>
      <c r="W1" s="62"/>
      <c r="X1" s="62"/>
      <c r="Y1" s="62"/>
      <c r="Z1" s="62" t="s">
        <v>248</v>
      </c>
      <c r="AA1" s="60" t="s">
        <v>246</v>
      </c>
      <c r="AB1" s="60"/>
      <c r="AC1" s="60"/>
      <c r="AD1" s="60"/>
      <c r="AE1" s="60"/>
      <c r="AF1" s="60" t="s">
        <v>247</v>
      </c>
      <c r="AG1" s="62" t="s">
        <v>0</v>
      </c>
      <c r="AH1" s="62"/>
      <c r="AI1" s="62"/>
      <c r="AJ1" s="62"/>
      <c r="AK1" s="62"/>
      <c r="AL1" s="62" t="s">
        <v>14</v>
      </c>
      <c r="AM1" s="62" t="s">
        <v>12</v>
      </c>
      <c r="AN1" s="60" t="s">
        <v>1</v>
      </c>
      <c r="AO1" s="60"/>
      <c r="AP1" s="60"/>
      <c r="AQ1" s="60"/>
      <c r="AR1" s="60"/>
      <c r="AS1" s="60" t="s">
        <v>34</v>
      </c>
      <c r="AT1" s="60" t="s">
        <v>2</v>
      </c>
      <c r="AU1" s="60"/>
      <c r="AV1" s="60"/>
      <c r="AW1" s="60"/>
      <c r="AX1" s="60"/>
      <c r="AY1" s="60" t="s">
        <v>35</v>
      </c>
      <c r="AZ1" s="60" t="s">
        <v>10</v>
      </c>
      <c r="BA1" s="60" t="s">
        <v>11</v>
      </c>
      <c r="BB1" s="60" t="s">
        <v>36</v>
      </c>
      <c r="BC1" s="58"/>
      <c r="BD1" s="58"/>
      <c r="BE1" s="58"/>
      <c r="BF1" s="58"/>
      <c r="BG1" s="60" t="s">
        <v>37</v>
      </c>
      <c r="BH1" s="61" t="s">
        <v>16</v>
      </c>
      <c r="BI1" s="61" t="s">
        <v>17</v>
      </c>
      <c r="BJ1" s="61"/>
      <c r="BK1" s="61"/>
      <c r="BL1" s="61"/>
      <c r="BM1" s="61"/>
      <c r="BN1" s="61" t="s">
        <v>42</v>
      </c>
      <c r="BO1" s="61" t="s">
        <v>18</v>
      </c>
      <c r="BP1" s="61" t="s">
        <v>19</v>
      </c>
      <c r="BQ1" s="61" t="s">
        <v>20</v>
      </c>
      <c r="BR1" s="61"/>
      <c r="BS1" s="61"/>
      <c r="BT1" s="61"/>
      <c r="BU1" s="61"/>
      <c r="BV1" s="61" t="s">
        <v>38</v>
      </c>
      <c r="BW1" s="61" t="s">
        <v>21</v>
      </c>
      <c r="BX1" s="61"/>
      <c r="BY1" s="61"/>
      <c r="BZ1" s="61"/>
      <c r="CA1" s="61"/>
      <c r="CB1" s="61" t="s">
        <v>38</v>
      </c>
      <c r="CC1" s="61" t="s">
        <v>22</v>
      </c>
      <c r="CD1" s="61" t="s">
        <v>23</v>
      </c>
      <c r="CE1" s="61" t="s">
        <v>24</v>
      </c>
      <c r="CF1" s="61"/>
      <c r="CG1" s="61"/>
      <c r="CH1" s="61"/>
      <c r="CI1" s="61"/>
      <c r="CJ1" s="61" t="s">
        <v>39</v>
      </c>
      <c r="CK1" s="61" t="s">
        <v>25</v>
      </c>
      <c r="CL1" s="61"/>
      <c r="CM1" s="61"/>
      <c r="CN1" s="61"/>
      <c r="CO1" s="61"/>
      <c r="CP1" s="61" t="s">
        <v>40</v>
      </c>
      <c r="CQ1" s="59" t="s">
        <v>26</v>
      </c>
      <c r="CR1" s="59"/>
      <c r="CS1" s="59"/>
      <c r="CT1" s="59"/>
      <c r="CU1" s="59"/>
      <c r="CV1" s="59" t="s">
        <v>41</v>
      </c>
      <c r="CW1" s="59" t="s">
        <v>27</v>
      </c>
      <c r="CX1" s="59" t="s">
        <v>33</v>
      </c>
      <c r="CY1" s="59" t="s">
        <v>242</v>
      </c>
      <c r="CZ1" s="59" t="s">
        <v>243</v>
      </c>
      <c r="DA1" s="58"/>
      <c r="DB1" s="58" t="s">
        <v>245</v>
      </c>
    </row>
    <row r="2" spans="1:106" ht="15" thickBot="1" x14ac:dyDescent="0.4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60"/>
      <c r="U2" s="5" t="s">
        <v>4</v>
      </c>
      <c r="V2" s="5" t="s">
        <v>5</v>
      </c>
      <c r="W2" s="5" t="s">
        <v>6</v>
      </c>
      <c r="X2" s="5" t="s">
        <v>7</v>
      </c>
      <c r="Y2" s="5" t="s">
        <v>8</v>
      </c>
      <c r="Z2" s="62"/>
      <c r="AA2" s="5" t="s">
        <v>4</v>
      </c>
      <c r="AB2" s="5" t="s">
        <v>5</v>
      </c>
      <c r="AC2" s="5" t="s">
        <v>6</v>
      </c>
      <c r="AD2" s="5" t="s">
        <v>7</v>
      </c>
      <c r="AE2" s="5" t="s">
        <v>8</v>
      </c>
      <c r="AF2" s="60"/>
      <c r="AG2" s="6" t="s">
        <v>4</v>
      </c>
      <c r="AH2" s="6" t="s">
        <v>5</v>
      </c>
      <c r="AI2" s="6" t="s">
        <v>6</v>
      </c>
      <c r="AJ2" s="6" t="s">
        <v>7</v>
      </c>
      <c r="AK2" s="6" t="s">
        <v>8</v>
      </c>
      <c r="AL2" s="62"/>
      <c r="AM2" s="62"/>
      <c r="AN2" s="5" t="s">
        <v>4</v>
      </c>
      <c r="AO2" s="5" t="s">
        <v>5</v>
      </c>
      <c r="AP2" s="5" t="s">
        <v>6</v>
      </c>
      <c r="AQ2" s="5" t="s">
        <v>7</v>
      </c>
      <c r="AR2" s="5" t="s">
        <v>8</v>
      </c>
      <c r="AS2" s="60"/>
      <c r="AT2" s="5" t="s">
        <v>4</v>
      </c>
      <c r="AU2" s="5" t="s">
        <v>5</v>
      </c>
      <c r="AV2" s="5" t="s">
        <v>6</v>
      </c>
      <c r="AW2" s="5" t="s">
        <v>7</v>
      </c>
      <c r="AX2" s="5" t="s">
        <v>8</v>
      </c>
      <c r="AY2" s="60"/>
      <c r="AZ2" s="60"/>
      <c r="BA2" s="61"/>
      <c r="BB2" s="5" t="s">
        <v>4</v>
      </c>
      <c r="BC2" s="5" t="s">
        <v>5</v>
      </c>
      <c r="BD2" s="5" t="s">
        <v>6</v>
      </c>
      <c r="BE2" s="5" t="s">
        <v>7</v>
      </c>
      <c r="BF2" s="5" t="s">
        <v>8</v>
      </c>
      <c r="BG2" s="61"/>
      <c r="BH2" s="61"/>
      <c r="BI2" s="2" t="s">
        <v>28</v>
      </c>
      <c r="BJ2" s="2" t="s">
        <v>29</v>
      </c>
      <c r="BK2" s="2" t="s">
        <v>30</v>
      </c>
      <c r="BL2" s="2" t="s">
        <v>31</v>
      </c>
      <c r="BM2" s="2" t="s">
        <v>32</v>
      </c>
      <c r="BN2" s="61"/>
      <c r="BO2" s="61"/>
      <c r="BP2" s="61"/>
      <c r="BQ2" s="2" t="s">
        <v>28</v>
      </c>
      <c r="BR2" s="2" t="s">
        <v>29</v>
      </c>
      <c r="BS2" s="2" t="s">
        <v>30</v>
      </c>
      <c r="BT2" s="2" t="s">
        <v>31</v>
      </c>
      <c r="BU2" s="2" t="s">
        <v>32</v>
      </c>
      <c r="BV2" s="61"/>
      <c r="BW2" s="2" t="s">
        <v>28</v>
      </c>
      <c r="BX2" s="2" t="s">
        <v>29</v>
      </c>
      <c r="BY2" s="2" t="s">
        <v>30</v>
      </c>
      <c r="BZ2" s="2" t="s">
        <v>31</v>
      </c>
      <c r="CA2" s="2" t="s">
        <v>32</v>
      </c>
      <c r="CB2" s="61"/>
      <c r="CC2" s="61"/>
      <c r="CD2" s="61"/>
      <c r="CE2" s="2" t="s">
        <v>28</v>
      </c>
      <c r="CF2" s="2" t="s">
        <v>29</v>
      </c>
      <c r="CG2" s="2" t="s">
        <v>30</v>
      </c>
      <c r="CH2" s="2" t="s">
        <v>31</v>
      </c>
      <c r="CI2" s="2" t="s">
        <v>32</v>
      </c>
      <c r="CJ2" s="61"/>
      <c r="CK2" s="2" t="s">
        <v>28</v>
      </c>
      <c r="CL2" s="2" t="s">
        <v>29</v>
      </c>
      <c r="CM2" s="2" t="s">
        <v>30</v>
      </c>
      <c r="CN2" s="2" t="s">
        <v>31</v>
      </c>
      <c r="CO2" s="2" t="s">
        <v>32</v>
      </c>
      <c r="CP2" s="61"/>
      <c r="CQ2" s="14" t="s">
        <v>28</v>
      </c>
      <c r="CR2" s="14" t="s">
        <v>29</v>
      </c>
      <c r="CS2" s="14" t="s">
        <v>30</v>
      </c>
      <c r="CT2" s="14" t="s">
        <v>31</v>
      </c>
      <c r="CU2" s="14" t="s">
        <v>32</v>
      </c>
      <c r="CV2" s="59"/>
      <c r="CW2" s="59"/>
      <c r="CX2" s="59"/>
      <c r="CY2" s="59"/>
      <c r="CZ2" s="59"/>
      <c r="DA2" s="58"/>
      <c r="DB2" s="58"/>
    </row>
    <row r="3" spans="1:106" ht="16" thickBot="1" x14ac:dyDescent="0.4">
      <c r="A3" s="1">
        <v>1</v>
      </c>
      <c r="B3" s="8" t="s">
        <v>126</v>
      </c>
      <c r="C3" s="12" t="s">
        <v>51</v>
      </c>
      <c r="D3" s="9" t="s">
        <v>80</v>
      </c>
      <c r="E3" s="3">
        <v>45289</v>
      </c>
      <c r="F3" s="3">
        <v>45274</v>
      </c>
      <c r="G3" s="1">
        <f>E3-F3</f>
        <v>15</v>
      </c>
      <c r="H3" s="15">
        <f t="shared" ref="H3:H34" si="0">J3-F3</f>
        <v>104</v>
      </c>
      <c r="I3" s="1">
        <v>5</v>
      </c>
      <c r="J3" s="3">
        <v>45378</v>
      </c>
      <c r="K3" s="3">
        <v>45385</v>
      </c>
      <c r="L3" s="15">
        <f>K3-F3</f>
        <v>111</v>
      </c>
      <c r="M3" s="13">
        <f t="shared" ref="M3:M34" si="1">N3-F3</f>
        <v>138</v>
      </c>
      <c r="N3" s="3">
        <v>45412</v>
      </c>
      <c r="O3" s="1">
        <v>108</v>
      </c>
      <c r="P3" s="1">
        <v>103</v>
      </c>
      <c r="Q3" s="1">
        <v>93</v>
      </c>
      <c r="R3" s="1">
        <v>94</v>
      </c>
      <c r="S3" s="1">
        <v>91</v>
      </c>
      <c r="T3" s="1">
        <f>AVERAGE(O3:S3)</f>
        <v>97.8</v>
      </c>
      <c r="U3" s="1">
        <v>23.1</v>
      </c>
      <c r="V3" s="1">
        <v>12</v>
      </c>
      <c r="W3" s="1">
        <v>17</v>
      </c>
      <c r="X3" s="1">
        <v>14</v>
      </c>
      <c r="Y3" s="1">
        <v>15</v>
      </c>
      <c r="Z3" s="1">
        <f>AVERAGE(U3:Y3)</f>
        <v>16.22</v>
      </c>
      <c r="AA3" s="1">
        <v>8</v>
      </c>
      <c r="AB3" s="1">
        <v>7.5</v>
      </c>
      <c r="AC3" s="1">
        <v>8</v>
      </c>
      <c r="AD3" s="1">
        <v>7.4</v>
      </c>
      <c r="AE3" s="1">
        <v>7.7</v>
      </c>
      <c r="AF3" s="1">
        <f>AVERAGE(AA3:AE3)</f>
        <v>7.7200000000000006</v>
      </c>
      <c r="AG3" s="1">
        <v>8</v>
      </c>
      <c r="AH3" s="1">
        <v>4</v>
      </c>
      <c r="AI3" s="1">
        <v>2</v>
      </c>
      <c r="AJ3" s="1">
        <v>1.3</v>
      </c>
      <c r="AK3" s="1">
        <v>2</v>
      </c>
      <c r="AL3" s="1">
        <f>AVERAGE(AG3:AK3)</f>
        <v>3.46</v>
      </c>
      <c r="AM3" s="1">
        <v>3</v>
      </c>
      <c r="AN3" s="1">
        <v>9.1</v>
      </c>
      <c r="AO3" s="1">
        <v>12</v>
      </c>
      <c r="AP3" s="1">
        <v>9.5</v>
      </c>
      <c r="AQ3" s="1">
        <v>11</v>
      </c>
      <c r="AR3" s="1">
        <v>11.9</v>
      </c>
      <c r="AS3" s="1">
        <f>AVERAGE(AN3:AR3)</f>
        <v>10.7</v>
      </c>
      <c r="AT3" s="1">
        <v>0.5</v>
      </c>
      <c r="AU3" s="1">
        <v>0.8</v>
      </c>
      <c r="AV3" s="1">
        <v>0.6</v>
      </c>
      <c r="AW3" s="1">
        <v>0.6</v>
      </c>
      <c r="AX3" s="1">
        <v>0.8</v>
      </c>
      <c r="AY3" s="1">
        <f>AVERAGE(AT3:AX3)</f>
        <v>0.65999999999999992</v>
      </c>
      <c r="AZ3" s="1">
        <v>3</v>
      </c>
      <c r="BA3" s="1">
        <v>3</v>
      </c>
      <c r="BB3" s="1">
        <v>13</v>
      </c>
      <c r="BC3" s="1">
        <v>10</v>
      </c>
      <c r="BD3" s="1">
        <v>7</v>
      </c>
      <c r="BE3" s="1">
        <v>5</v>
      </c>
      <c r="BF3" s="1">
        <v>12</v>
      </c>
      <c r="BG3" s="1">
        <v>9</v>
      </c>
      <c r="BH3" s="1">
        <v>9</v>
      </c>
      <c r="BI3" s="1">
        <v>8</v>
      </c>
      <c r="BJ3" s="1">
        <v>9</v>
      </c>
      <c r="BK3" s="1">
        <v>8</v>
      </c>
      <c r="BL3" s="1">
        <v>8</v>
      </c>
      <c r="BM3" s="1">
        <v>10</v>
      </c>
      <c r="BN3" s="1">
        <v>9</v>
      </c>
      <c r="BO3" s="1">
        <v>1</v>
      </c>
      <c r="BP3" s="1">
        <v>3</v>
      </c>
      <c r="BQ3" s="1">
        <v>2</v>
      </c>
      <c r="BR3" s="1">
        <v>3</v>
      </c>
      <c r="BS3" s="1">
        <v>2</v>
      </c>
      <c r="BT3" s="1">
        <v>2</v>
      </c>
      <c r="BU3" s="1">
        <v>3</v>
      </c>
      <c r="BV3" s="1">
        <v>2</v>
      </c>
      <c r="BW3" s="1">
        <v>37</v>
      </c>
      <c r="BX3" s="1">
        <v>28</v>
      </c>
      <c r="BY3" s="1">
        <v>37</v>
      </c>
      <c r="BZ3" s="1">
        <v>35</v>
      </c>
      <c r="CA3" s="1">
        <v>32</v>
      </c>
      <c r="CB3" s="1">
        <v>34</v>
      </c>
      <c r="CC3" s="1">
        <v>2</v>
      </c>
      <c r="CD3" s="1">
        <v>5</v>
      </c>
      <c r="CE3" s="1">
        <v>5.96</v>
      </c>
      <c r="CF3" s="1">
        <v>5.68</v>
      </c>
      <c r="CG3" s="1">
        <v>5.38</v>
      </c>
      <c r="CH3" s="1">
        <v>5.37</v>
      </c>
      <c r="CI3" s="1">
        <v>5.43</v>
      </c>
      <c r="CJ3" s="1">
        <f>AVERAGE(CE3:CI3)</f>
        <v>5.5640000000000001</v>
      </c>
      <c r="CK3" s="1">
        <v>3.55</v>
      </c>
      <c r="CL3" s="1">
        <v>3.36</v>
      </c>
      <c r="CM3" s="1">
        <v>2.84</v>
      </c>
      <c r="CN3" s="1">
        <v>3.31</v>
      </c>
      <c r="CO3" s="1">
        <v>2.61</v>
      </c>
      <c r="CP3" s="1">
        <f>AVERAGE(CK3:CO3)</f>
        <v>3.1339999999999999</v>
      </c>
      <c r="CQ3" s="1">
        <v>3.06</v>
      </c>
      <c r="CR3" s="1">
        <v>2.78</v>
      </c>
      <c r="CS3" s="1">
        <v>2.59</v>
      </c>
      <c r="CT3" s="1">
        <v>2.4500000000000002</v>
      </c>
      <c r="CU3" s="1">
        <v>2.41</v>
      </c>
      <c r="CV3" s="1">
        <f>AVERAGE(CQ3:CU3)</f>
        <v>2.6579999999999999</v>
      </c>
      <c r="CW3" s="1">
        <v>34.700000000000003</v>
      </c>
      <c r="CX3" s="1">
        <v>9.9</v>
      </c>
      <c r="CY3" s="1">
        <v>0.86</v>
      </c>
      <c r="CZ3" s="1">
        <f>(CY3/4.5)*10</f>
        <v>1.9111111111111112</v>
      </c>
      <c r="DA3" s="1">
        <f t="shared" ref="DA3:DA34" si="2">(100-CX3)/100</f>
        <v>0.90099999999999991</v>
      </c>
      <c r="DB3" s="1">
        <f t="shared" ref="DB3:DB34" si="3">(CZ3*DA3)/0.865</f>
        <v>1.9906486833654462</v>
      </c>
    </row>
    <row r="4" spans="1:106" ht="16" thickBot="1" x14ac:dyDescent="0.4">
      <c r="A4" s="1">
        <v>2</v>
      </c>
      <c r="B4" s="7" t="s">
        <v>127</v>
      </c>
      <c r="C4" s="11" t="s">
        <v>52</v>
      </c>
      <c r="D4" s="10" t="s">
        <v>81</v>
      </c>
      <c r="E4" s="3">
        <v>45292</v>
      </c>
      <c r="F4" s="3">
        <f>F3</f>
        <v>45274</v>
      </c>
      <c r="G4" s="1">
        <f t="shared" ref="G4:G67" si="4">E4-F4</f>
        <v>18</v>
      </c>
      <c r="H4" s="1">
        <f t="shared" si="0"/>
        <v>132</v>
      </c>
      <c r="I4" s="1">
        <v>3</v>
      </c>
      <c r="J4" s="3">
        <v>45406</v>
      </c>
      <c r="K4" s="3">
        <v>45419</v>
      </c>
      <c r="L4" s="15">
        <f t="shared" ref="L4:L67" si="5">K4-F4</f>
        <v>145</v>
      </c>
      <c r="M4" s="13">
        <f t="shared" si="1"/>
        <v>171</v>
      </c>
      <c r="N4" s="3">
        <v>45445</v>
      </c>
      <c r="O4" s="4">
        <v>92</v>
      </c>
      <c r="P4" s="4">
        <v>53</v>
      </c>
      <c r="Q4" s="4">
        <v>83</v>
      </c>
      <c r="R4" s="4">
        <v>89</v>
      </c>
      <c r="S4" s="4">
        <v>77</v>
      </c>
      <c r="T4" s="1">
        <f t="shared" ref="T4:T64" si="6">AVERAGE(O4:S4)</f>
        <v>78.8</v>
      </c>
      <c r="U4" s="4">
        <v>22</v>
      </c>
      <c r="V4" s="4">
        <v>22</v>
      </c>
      <c r="W4" s="4">
        <v>21</v>
      </c>
      <c r="X4" s="4">
        <v>20.5</v>
      </c>
      <c r="Y4" s="4">
        <v>23</v>
      </c>
      <c r="Z4" s="1">
        <f t="shared" ref="Z4:Z64" si="7">AVERAGE(U4:Y4)</f>
        <v>21.7</v>
      </c>
      <c r="AA4" s="4">
        <v>8</v>
      </c>
      <c r="AB4" s="4">
        <v>7.5</v>
      </c>
      <c r="AC4" s="4">
        <v>8</v>
      </c>
      <c r="AD4" s="4">
        <v>7.4</v>
      </c>
      <c r="AE4" s="4">
        <v>7.7</v>
      </c>
      <c r="AF4" s="1">
        <f t="shared" ref="AF4:AF64" si="8">AVERAGE(AA4:AE4)</f>
        <v>7.7200000000000006</v>
      </c>
      <c r="AM4" s="1">
        <v>0</v>
      </c>
      <c r="AN4" s="1">
        <v>15</v>
      </c>
      <c r="AO4" s="1">
        <v>21</v>
      </c>
      <c r="AP4" s="1">
        <v>20</v>
      </c>
      <c r="AQ4" s="1">
        <v>20</v>
      </c>
      <c r="AR4" s="1">
        <v>19.899999999999999</v>
      </c>
      <c r="AS4" s="1">
        <f t="shared" ref="AS4:AS64" si="9">AVERAGE(AN4:AR4)</f>
        <v>19.18</v>
      </c>
      <c r="AT4" s="1">
        <v>0.5</v>
      </c>
      <c r="AU4" s="1">
        <v>0.6</v>
      </c>
      <c r="AV4" s="1">
        <v>0.5</v>
      </c>
      <c r="AW4" s="1">
        <v>0.8</v>
      </c>
      <c r="AX4" s="1">
        <v>0.6</v>
      </c>
      <c r="AY4" s="1">
        <f t="shared" ref="AY4:AY64" si="10">AVERAGE(AT4:AX4)</f>
        <v>0.60000000000000009</v>
      </c>
      <c r="AZ4" s="1">
        <v>5</v>
      </c>
      <c r="BA4" s="1">
        <v>3</v>
      </c>
      <c r="BB4" s="1">
        <v>12</v>
      </c>
      <c r="BC4" s="1">
        <v>10</v>
      </c>
      <c r="BD4" s="1">
        <v>16</v>
      </c>
      <c r="BE4" s="1">
        <v>4</v>
      </c>
      <c r="BF4" s="1">
        <v>8</v>
      </c>
      <c r="BG4" s="1">
        <f t="shared" ref="BG4:BG64" si="11">AVERAGE(BB4:BF4)</f>
        <v>10</v>
      </c>
      <c r="BH4" s="1">
        <v>5</v>
      </c>
      <c r="BI4" s="1">
        <v>7</v>
      </c>
      <c r="BJ4" s="1">
        <v>8</v>
      </c>
      <c r="BK4" s="1">
        <v>8</v>
      </c>
      <c r="BL4" s="1">
        <v>8</v>
      </c>
      <c r="BM4" s="1">
        <v>9</v>
      </c>
      <c r="BN4" s="1">
        <f t="shared" ref="BN4:BN64" si="12">AVERAGE(BI4:BM4)</f>
        <v>8</v>
      </c>
      <c r="BO4" s="1">
        <v>1</v>
      </c>
      <c r="BP4" s="1">
        <v>3</v>
      </c>
      <c r="BQ4" s="1">
        <v>3</v>
      </c>
      <c r="BR4" s="1">
        <v>2</v>
      </c>
      <c r="BS4" s="1">
        <v>2</v>
      </c>
      <c r="BT4" s="1">
        <v>3</v>
      </c>
      <c r="BU4" s="1">
        <v>2</v>
      </c>
      <c r="BV4" s="1">
        <v>2</v>
      </c>
      <c r="BW4" s="1">
        <v>37</v>
      </c>
      <c r="BX4" s="1">
        <v>29</v>
      </c>
      <c r="BY4" s="1">
        <v>37</v>
      </c>
      <c r="BZ4" s="1">
        <v>25</v>
      </c>
      <c r="CA4" s="1">
        <v>39</v>
      </c>
      <c r="CB4" s="1">
        <v>33</v>
      </c>
      <c r="CC4" s="1">
        <v>1</v>
      </c>
      <c r="CD4" s="1">
        <v>5</v>
      </c>
      <c r="CE4" s="1">
        <v>6.65</v>
      </c>
      <c r="CF4" s="1">
        <v>6.83</v>
      </c>
      <c r="CG4" s="1">
        <v>6.18</v>
      </c>
      <c r="CH4" s="1">
        <v>5.45</v>
      </c>
      <c r="CI4" s="1">
        <v>6.8</v>
      </c>
      <c r="CJ4" s="1">
        <f t="shared" ref="CJ4:CJ64" si="13">AVERAGE(CE4:CI4)</f>
        <v>6.3819999999999997</v>
      </c>
      <c r="CK4" s="1">
        <v>3.05</v>
      </c>
      <c r="CL4" s="1">
        <v>2.59</v>
      </c>
      <c r="CM4" s="1">
        <v>2.37</v>
      </c>
      <c r="CN4" s="1">
        <v>2.5299999999999998</v>
      </c>
      <c r="CO4" s="1">
        <v>2.37</v>
      </c>
      <c r="CP4" s="1">
        <f t="shared" ref="CP4:CP64" si="14">AVERAGE(CK4:CO4)</f>
        <v>2.5819999999999999</v>
      </c>
      <c r="CQ4" s="1">
        <v>1.77</v>
      </c>
      <c r="CR4" s="1">
        <v>2.91</v>
      </c>
      <c r="CS4" s="1">
        <v>2.84</v>
      </c>
      <c r="CT4" s="1">
        <v>2.2999999999999998</v>
      </c>
      <c r="CU4" s="1">
        <v>2.16</v>
      </c>
      <c r="CV4" s="1">
        <f t="shared" ref="CV4:CV64" si="15">AVERAGE(CQ4:CU4)</f>
        <v>2.3959999999999999</v>
      </c>
      <c r="CW4" s="1">
        <v>25.7</v>
      </c>
      <c r="CX4" s="1">
        <v>12.7</v>
      </c>
      <c r="CY4" s="1">
        <v>1.1000000000000001</v>
      </c>
      <c r="CZ4" s="1">
        <f t="shared" ref="CZ4:CZ64" si="16">(CY4/4.5)*10</f>
        <v>2.4444444444444446</v>
      </c>
      <c r="DA4" s="1">
        <f t="shared" si="2"/>
        <v>0.873</v>
      </c>
      <c r="DB4" s="1">
        <f t="shared" si="3"/>
        <v>2.4670520231213877</v>
      </c>
    </row>
    <row r="5" spans="1:106" ht="16" thickBot="1" x14ac:dyDescent="0.4">
      <c r="A5" s="1">
        <v>3</v>
      </c>
      <c r="B5" s="7" t="s">
        <v>128</v>
      </c>
      <c r="C5" s="11" t="s">
        <v>53</v>
      </c>
      <c r="D5" s="10" t="s">
        <v>82</v>
      </c>
      <c r="E5" s="3">
        <v>45289</v>
      </c>
      <c r="F5" s="3">
        <f t="shared" ref="F5:F68" si="17">F4</f>
        <v>45274</v>
      </c>
      <c r="G5" s="1">
        <f t="shared" si="4"/>
        <v>15</v>
      </c>
      <c r="H5" s="1">
        <f t="shared" si="0"/>
        <v>102</v>
      </c>
      <c r="I5" s="1">
        <v>7</v>
      </c>
      <c r="J5" s="3">
        <v>45376</v>
      </c>
      <c r="K5" s="3">
        <v>45382</v>
      </c>
      <c r="L5" s="15">
        <f t="shared" si="5"/>
        <v>108</v>
      </c>
      <c r="M5" s="13">
        <f t="shared" si="1"/>
        <v>134</v>
      </c>
      <c r="N5" s="3">
        <v>45408</v>
      </c>
      <c r="O5" s="1">
        <v>106</v>
      </c>
      <c r="P5" s="1">
        <v>103</v>
      </c>
      <c r="Q5" s="1">
        <v>107</v>
      </c>
      <c r="R5" s="1">
        <v>100</v>
      </c>
      <c r="S5" s="1">
        <v>101</v>
      </c>
      <c r="T5" s="1">
        <f t="shared" si="6"/>
        <v>103.4</v>
      </c>
      <c r="U5" s="1">
        <v>22.7</v>
      </c>
      <c r="V5" s="1">
        <v>21</v>
      </c>
      <c r="W5" s="1">
        <v>18</v>
      </c>
      <c r="X5" s="1">
        <v>12</v>
      </c>
      <c r="Y5" s="1">
        <v>19</v>
      </c>
      <c r="Z5" s="1">
        <f t="shared" si="7"/>
        <v>18.54</v>
      </c>
      <c r="AA5" s="1">
        <v>7</v>
      </c>
      <c r="AB5" s="1">
        <v>7.7</v>
      </c>
      <c r="AC5" s="1">
        <v>8.5</v>
      </c>
      <c r="AD5" s="1">
        <v>7.5</v>
      </c>
      <c r="AE5" s="1">
        <v>6.5</v>
      </c>
      <c r="AF5" s="1">
        <f t="shared" si="8"/>
        <v>7.44</v>
      </c>
      <c r="AG5" s="1">
        <v>3.9</v>
      </c>
      <c r="AH5" s="1">
        <v>5.6</v>
      </c>
      <c r="AI5" s="1">
        <v>6.5</v>
      </c>
      <c r="AJ5" s="1">
        <v>5.3</v>
      </c>
      <c r="AK5" s="1">
        <v>5.5</v>
      </c>
      <c r="AL5" s="1">
        <f t="shared" ref="AL5:AL64" si="18">AVERAGE(AG5:AK5)</f>
        <v>5.36</v>
      </c>
      <c r="AM5" s="1">
        <v>7</v>
      </c>
      <c r="AN5" s="1">
        <v>9.5</v>
      </c>
      <c r="AO5" s="1">
        <v>11.2</v>
      </c>
      <c r="AP5" s="1">
        <v>10.8</v>
      </c>
      <c r="AQ5" s="1">
        <v>10.8</v>
      </c>
      <c r="AR5" s="1">
        <v>10.9</v>
      </c>
      <c r="AS5" s="1">
        <f t="shared" si="9"/>
        <v>10.639999999999999</v>
      </c>
      <c r="AT5" s="1">
        <v>0.6</v>
      </c>
      <c r="AU5" s="1">
        <v>0.6</v>
      </c>
      <c r="AV5" s="1">
        <v>0.5</v>
      </c>
      <c r="AW5" s="1">
        <v>0.5</v>
      </c>
      <c r="AX5" s="1">
        <v>0.6</v>
      </c>
      <c r="AY5" s="1">
        <f t="shared" si="10"/>
        <v>0.56000000000000005</v>
      </c>
      <c r="AZ5" s="1">
        <v>3</v>
      </c>
      <c r="BA5" s="1">
        <v>5</v>
      </c>
      <c r="BB5" s="1">
        <v>7</v>
      </c>
      <c r="BC5" s="1">
        <v>5</v>
      </c>
      <c r="BD5" s="1">
        <v>10</v>
      </c>
      <c r="BE5" s="1">
        <v>11</v>
      </c>
      <c r="BF5" s="1">
        <v>7</v>
      </c>
      <c r="BG5" s="1">
        <f t="shared" si="11"/>
        <v>8</v>
      </c>
      <c r="BH5" s="1">
        <v>5</v>
      </c>
      <c r="BI5" s="1">
        <v>11</v>
      </c>
      <c r="BJ5" s="1">
        <v>11</v>
      </c>
      <c r="BK5" s="1">
        <v>10</v>
      </c>
      <c r="BL5" s="1">
        <v>10</v>
      </c>
      <c r="BM5" s="1">
        <v>11</v>
      </c>
      <c r="BN5" s="1">
        <v>11</v>
      </c>
      <c r="BO5" s="1">
        <v>1</v>
      </c>
      <c r="BP5" s="1">
        <v>0</v>
      </c>
      <c r="BQ5" s="1">
        <v>3</v>
      </c>
      <c r="BR5" s="1">
        <v>3</v>
      </c>
      <c r="BS5" s="1">
        <v>3</v>
      </c>
      <c r="BT5" s="1">
        <v>3</v>
      </c>
      <c r="BU5" s="1">
        <v>3</v>
      </c>
      <c r="BV5" s="1">
        <f t="shared" ref="BV5:BV51" si="19">AVERAGE(BQ5:BU5)</f>
        <v>3</v>
      </c>
      <c r="BW5" s="1">
        <v>38</v>
      </c>
      <c r="BX5" s="1">
        <v>60</v>
      </c>
      <c r="BY5" s="1">
        <v>45</v>
      </c>
      <c r="BZ5" s="1">
        <v>55</v>
      </c>
      <c r="CA5" s="1">
        <v>29</v>
      </c>
      <c r="CB5" s="1">
        <v>45</v>
      </c>
      <c r="CC5" s="1">
        <v>2</v>
      </c>
      <c r="CD5" s="1">
        <v>5</v>
      </c>
      <c r="CE5" s="1">
        <v>5.14</v>
      </c>
      <c r="CF5" s="1">
        <v>6.02</v>
      </c>
      <c r="CG5" s="1">
        <v>4.66</v>
      </c>
      <c r="CH5" s="1">
        <v>5.14</v>
      </c>
      <c r="CI5" s="1">
        <v>5.23</v>
      </c>
      <c r="CJ5" s="1">
        <f t="shared" si="13"/>
        <v>5.2380000000000004</v>
      </c>
      <c r="CK5" s="1">
        <v>3.23</v>
      </c>
      <c r="CL5" s="1">
        <v>3.19</v>
      </c>
      <c r="CM5" s="1">
        <v>2.5</v>
      </c>
      <c r="CN5" s="1">
        <v>3.02</v>
      </c>
      <c r="CO5" s="1">
        <v>3.13</v>
      </c>
      <c r="CP5" s="1">
        <f t="shared" si="14"/>
        <v>3.0140000000000002</v>
      </c>
      <c r="CQ5" s="1">
        <v>2.7</v>
      </c>
      <c r="CR5" s="1">
        <v>2.84</v>
      </c>
      <c r="CS5" s="1">
        <v>1.73</v>
      </c>
      <c r="CT5" s="1">
        <v>2.56</v>
      </c>
      <c r="CU5" s="1">
        <v>2.78</v>
      </c>
      <c r="CV5" s="1">
        <f t="shared" si="15"/>
        <v>2.5219999999999998</v>
      </c>
      <c r="CW5" s="1">
        <v>32.799999999999997</v>
      </c>
      <c r="CX5" s="1">
        <v>10</v>
      </c>
      <c r="CY5" s="1">
        <v>1.0249999999999999</v>
      </c>
      <c r="CZ5" s="1">
        <f t="shared" si="16"/>
        <v>2.2777777777777777</v>
      </c>
      <c r="DA5" s="1">
        <f t="shared" si="2"/>
        <v>0.9</v>
      </c>
      <c r="DB5" s="1">
        <f t="shared" si="3"/>
        <v>2.3699421965317917</v>
      </c>
    </row>
    <row r="6" spans="1:106" ht="16" thickBot="1" x14ac:dyDescent="0.4">
      <c r="A6" s="1">
        <v>4</v>
      </c>
      <c r="B6" s="7" t="s">
        <v>129</v>
      </c>
      <c r="C6" s="10"/>
      <c r="D6" s="10" t="s">
        <v>83</v>
      </c>
      <c r="E6" s="3">
        <v>45289</v>
      </c>
      <c r="F6" s="3">
        <f t="shared" si="17"/>
        <v>45274</v>
      </c>
      <c r="G6" s="1">
        <f t="shared" si="4"/>
        <v>15</v>
      </c>
      <c r="H6" s="1">
        <f t="shared" si="0"/>
        <v>102</v>
      </c>
      <c r="I6" s="1">
        <v>7</v>
      </c>
      <c r="J6" s="3">
        <v>45376</v>
      </c>
      <c r="K6" s="3">
        <v>45382</v>
      </c>
      <c r="L6" s="15">
        <f t="shared" si="5"/>
        <v>108</v>
      </c>
      <c r="M6" s="13">
        <f t="shared" si="1"/>
        <v>134</v>
      </c>
      <c r="N6" s="3">
        <v>45408</v>
      </c>
      <c r="O6" s="1">
        <v>106</v>
      </c>
      <c r="P6" s="1">
        <v>1</v>
      </c>
      <c r="Q6" s="1">
        <v>108</v>
      </c>
      <c r="R6" s="1">
        <v>106.4</v>
      </c>
      <c r="S6" s="1">
        <v>1</v>
      </c>
      <c r="T6" s="1">
        <f t="shared" si="6"/>
        <v>64.47999999999999</v>
      </c>
      <c r="U6" s="1">
        <v>26</v>
      </c>
      <c r="V6" s="1">
        <v>22</v>
      </c>
      <c r="W6" s="1">
        <v>23.8</v>
      </c>
      <c r="X6" s="1">
        <v>18</v>
      </c>
      <c r="Y6" s="1">
        <v>21</v>
      </c>
      <c r="Z6" s="1">
        <f t="shared" si="7"/>
        <v>22.16</v>
      </c>
      <c r="AA6" s="1">
        <v>8</v>
      </c>
      <c r="AB6" s="1">
        <v>9.5</v>
      </c>
      <c r="AC6" s="1">
        <v>9.5</v>
      </c>
      <c r="AD6" s="1">
        <v>8.5</v>
      </c>
      <c r="AE6" s="1">
        <v>8.5</v>
      </c>
      <c r="AF6" s="1">
        <f t="shared" si="8"/>
        <v>8.8000000000000007</v>
      </c>
      <c r="AM6" s="1">
        <v>0</v>
      </c>
      <c r="AN6" s="1">
        <v>12.1</v>
      </c>
      <c r="AO6" s="1">
        <v>9.5</v>
      </c>
      <c r="AP6" s="1">
        <v>10</v>
      </c>
      <c r="AQ6" s="1">
        <v>11.4</v>
      </c>
      <c r="AR6" s="1">
        <v>10.9</v>
      </c>
      <c r="AS6" s="1">
        <f t="shared" si="9"/>
        <v>10.78</v>
      </c>
      <c r="AT6" s="1">
        <v>0.6</v>
      </c>
      <c r="AU6" s="1">
        <v>0.6</v>
      </c>
      <c r="AV6" s="1">
        <v>0.5</v>
      </c>
      <c r="AW6" s="1">
        <v>0.6</v>
      </c>
      <c r="AX6" s="1">
        <v>0.5</v>
      </c>
      <c r="AY6" s="1">
        <f t="shared" si="10"/>
        <v>0.55999999999999994</v>
      </c>
      <c r="AZ6" s="1">
        <v>5</v>
      </c>
      <c r="BA6" s="1">
        <v>5</v>
      </c>
      <c r="BB6" s="1">
        <v>5</v>
      </c>
      <c r="BC6" s="1">
        <v>8</v>
      </c>
      <c r="BD6" s="1">
        <v>11</v>
      </c>
      <c r="BE6" s="1">
        <v>4</v>
      </c>
      <c r="BF6" s="1">
        <v>6</v>
      </c>
      <c r="BG6" s="1">
        <v>7</v>
      </c>
      <c r="BH6" s="1">
        <v>5</v>
      </c>
      <c r="BI6" s="1">
        <v>10</v>
      </c>
      <c r="BJ6" s="1">
        <v>9</v>
      </c>
      <c r="BK6" s="1">
        <v>9</v>
      </c>
      <c r="BL6" s="1">
        <v>10</v>
      </c>
      <c r="BM6" s="1">
        <v>10</v>
      </c>
      <c r="BN6" s="1">
        <v>10</v>
      </c>
      <c r="BO6" s="1">
        <v>1</v>
      </c>
      <c r="BP6" s="1">
        <v>0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f t="shared" si="19"/>
        <v>3</v>
      </c>
      <c r="BW6" s="1">
        <v>42</v>
      </c>
      <c r="BX6" s="1">
        <v>45</v>
      </c>
      <c r="BY6" s="1">
        <v>38</v>
      </c>
      <c r="BZ6" s="1">
        <v>45</v>
      </c>
      <c r="CA6" s="1">
        <v>37</v>
      </c>
      <c r="CB6" s="1">
        <v>41</v>
      </c>
      <c r="CC6" s="1">
        <v>2</v>
      </c>
      <c r="CD6" s="1">
        <v>5</v>
      </c>
      <c r="CE6" s="1">
        <v>6.04</v>
      </c>
      <c r="CF6" s="1">
        <v>5.23</v>
      </c>
      <c r="CG6" s="1">
        <v>6.01</v>
      </c>
      <c r="CH6" s="1">
        <v>6.36</v>
      </c>
      <c r="CI6" s="1">
        <v>5.54</v>
      </c>
      <c r="CJ6" s="1">
        <f t="shared" si="13"/>
        <v>5.8360000000000003</v>
      </c>
      <c r="CK6" s="1">
        <v>3.23</v>
      </c>
      <c r="CL6" s="1">
        <v>3.23</v>
      </c>
      <c r="CM6" s="1">
        <v>3.34</v>
      </c>
      <c r="CN6" s="1">
        <v>3.26</v>
      </c>
      <c r="CO6" s="1">
        <v>2.82</v>
      </c>
      <c r="CP6" s="1">
        <f t="shared" si="14"/>
        <v>3.1760000000000002</v>
      </c>
      <c r="CQ6" s="1">
        <v>2.81</v>
      </c>
      <c r="CR6" s="1">
        <v>2.64</v>
      </c>
      <c r="CS6" s="1">
        <v>2.76</v>
      </c>
      <c r="CT6" s="1">
        <v>2.94</v>
      </c>
      <c r="CU6" s="1">
        <v>2.46</v>
      </c>
      <c r="CV6" s="1">
        <f t="shared" si="15"/>
        <v>2.722</v>
      </c>
      <c r="CW6" s="1">
        <v>33.049999999999997</v>
      </c>
      <c r="CX6" s="1">
        <v>10.8</v>
      </c>
      <c r="CY6" s="1">
        <v>1.1100000000000001</v>
      </c>
      <c r="CZ6" s="1">
        <f t="shared" si="16"/>
        <v>2.4666666666666668</v>
      </c>
      <c r="DA6" s="1">
        <f t="shared" si="2"/>
        <v>0.89200000000000002</v>
      </c>
      <c r="DB6" s="1">
        <f t="shared" si="3"/>
        <v>2.543660886319846</v>
      </c>
    </row>
    <row r="7" spans="1:106" ht="16" thickBot="1" x14ac:dyDescent="0.4">
      <c r="A7" s="1">
        <v>5</v>
      </c>
      <c r="B7" s="7" t="s">
        <v>130</v>
      </c>
      <c r="C7" s="11" t="s">
        <v>54</v>
      </c>
      <c r="D7" s="10" t="s">
        <v>84</v>
      </c>
      <c r="E7" s="3">
        <v>45289</v>
      </c>
      <c r="F7" s="3">
        <f t="shared" si="17"/>
        <v>45274</v>
      </c>
      <c r="G7" s="1">
        <f t="shared" si="4"/>
        <v>15</v>
      </c>
      <c r="H7" s="1">
        <f t="shared" si="0"/>
        <v>102</v>
      </c>
      <c r="I7" s="1">
        <v>7</v>
      </c>
      <c r="J7" s="3">
        <v>45376</v>
      </c>
      <c r="K7" s="3">
        <v>45382</v>
      </c>
      <c r="L7" s="15">
        <f t="shared" si="5"/>
        <v>108</v>
      </c>
      <c r="M7" s="13">
        <f t="shared" si="1"/>
        <v>140</v>
      </c>
      <c r="N7" s="3">
        <v>45414</v>
      </c>
      <c r="O7" s="1">
        <v>90</v>
      </c>
      <c r="P7" s="1">
        <v>103</v>
      </c>
      <c r="Q7" s="1">
        <v>106</v>
      </c>
      <c r="R7" s="1">
        <v>112.3</v>
      </c>
      <c r="S7" s="1">
        <v>112.4</v>
      </c>
      <c r="T7" s="1">
        <f t="shared" si="6"/>
        <v>104.74000000000001</v>
      </c>
      <c r="U7" s="1">
        <v>21</v>
      </c>
      <c r="V7" s="1">
        <v>19</v>
      </c>
      <c r="W7" s="1">
        <v>17</v>
      </c>
      <c r="X7" s="1">
        <v>28</v>
      </c>
      <c r="Y7" s="1">
        <v>18</v>
      </c>
      <c r="Z7" s="1">
        <f t="shared" si="7"/>
        <v>20.6</v>
      </c>
      <c r="AA7" s="1">
        <v>6.5</v>
      </c>
      <c r="AB7" s="1">
        <v>9.5</v>
      </c>
      <c r="AC7" s="1">
        <v>8.5</v>
      </c>
      <c r="AD7" s="1">
        <v>8.5</v>
      </c>
      <c r="AE7" s="1">
        <v>10</v>
      </c>
      <c r="AF7" s="1">
        <f t="shared" si="8"/>
        <v>8.6</v>
      </c>
      <c r="AM7" s="1">
        <v>0</v>
      </c>
      <c r="AN7" s="1">
        <v>10</v>
      </c>
      <c r="AO7" s="1">
        <v>9.5</v>
      </c>
      <c r="AP7" s="1">
        <v>14</v>
      </c>
      <c r="AQ7" s="1">
        <v>8.5</v>
      </c>
      <c r="AR7" s="1">
        <v>7.5</v>
      </c>
      <c r="AS7" s="1">
        <f t="shared" si="9"/>
        <v>9.9</v>
      </c>
      <c r="AT7" s="1">
        <v>0.7</v>
      </c>
      <c r="AU7" s="1">
        <v>0.8</v>
      </c>
      <c r="AV7" s="1">
        <v>1.2</v>
      </c>
      <c r="AW7" s="1">
        <v>0.9</v>
      </c>
      <c r="AX7" s="1">
        <v>0.8</v>
      </c>
      <c r="AY7" s="1">
        <f t="shared" si="10"/>
        <v>0.88000000000000012</v>
      </c>
      <c r="AZ7" s="1">
        <v>3</v>
      </c>
      <c r="BA7" s="1">
        <v>3</v>
      </c>
      <c r="BB7" s="1">
        <v>26</v>
      </c>
      <c r="BC7" s="1">
        <v>5</v>
      </c>
      <c r="BD7" s="1">
        <v>19</v>
      </c>
      <c r="BE7" s="1">
        <v>13</v>
      </c>
      <c r="BF7" s="1">
        <v>3</v>
      </c>
      <c r="BG7" s="1">
        <v>13</v>
      </c>
      <c r="BH7" s="1">
        <v>3</v>
      </c>
      <c r="BI7" s="1">
        <v>9</v>
      </c>
      <c r="BJ7" s="1">
        <v>9</v>
      </c>
      <c r="BK7" s="1">
        <v>9</v>
      </c>
      <c r="BL7" s="1">
        <v>10</v>
      </c>
      <c r="BM7" s="1">
        <v>10</v>
      </c>
      <c r="BN7" s="1">
        <v>9</v>
      </c>
      <c r="BO7" s="1">
        <v>2</v>
      </c>
      <c r="BP7" s="1">
        <v>0</v>
      </c>
      <c r="BQ7" s="1">
        <v>3</v>
      </c>
      <c r="BR7" s="1">
        <v>3</v>
      </c>
      <c r="BS7" s="1">
        <v>3</v>
      </c>
      <c r="BT7" s="1">
        <v>3</v>
      </c>
      <c r="BU7" s="1">
        <v>4</v>
      </c>
      <c r="BV7" s="1">
        <v>3</v>
      </c>
      <c r="BW7" s="1">
        <v>51</v>
      </c>
      <c r="BX7" s="1">
        <v>45</v>
      </c>
      <c r="BY7" s="1">
        <v>49</v>
      </c>
      <c r="BZ7" s="1">
        <v>55</v>
      </c>
      <c r="CA7" s="1">
        <v>47</v>
      </c>
      <c r="CB7" s="1">
        <v>49</v>
      </c>
      <c r="CC7" s="1">
        <v>2</v>
      </c>
      <c r="CD7" s="1">
        <v>5</v>
      </c>
      <c r="CE7" s="1">
        <v>5.55</v>
      </c>
      <c r="CF7" s="1">
        <v>5.32</v>
      </c>
      <c r="CG7" s="1">
        <v>6.04</v>
      </c>
      <c r="CH7" s="1">
        <v>5.53</v>
      </c>
      <c r="CI7" s="1">
        <v>5.35</v>
      </c>
      <c r="CJ7" s="1">
        <f t="shared" si="13"/>
        <v>5.5579999999999998</v>
      </c>
      <c r="CK7" s="1">
        <v>3.23</v>
      </c>
      <c r="CL7" s="1">
        <v>3.67</v>
      </c>
      <c r="CM7" s="1">
        <v>3.35</v>
      </c>
      <c r="CN7" s="1">
        <v>3.34</v>
      </c>
      <c r="CO7" s="1">
        <v>3.69</v>
      </c>
      <c r="CP7" s="1">
        <f t="shared" si="14"/>
        <v>3.4560000000000004</v>
      </c>
      <c r="CQ7" s="1">
        <v>2.5499999999999998</v>
      </c>
      <c r="CR7" s="1">
        <v>2.68</v>
      </c>
      <c r="CS7" s="1">
        <v>2.4700000000000002</v>
      </c>
      <c r="CT7" s="1">
        <v>2.74</v>
      </c>
      <c r="CU7" s="1">
        <v>2.54</v>
      </c>
      <c r="CV7" s="1">
        <f t="shared" si="15"/>
        <v>2.5960000000000001</v>
      </c>
      <c r="CW7" s="1">
        <v>34.6</v>
      </c>
      <c r="CX7" s="1">
        <v>10</v>
      </c>
      <c r="CY7" s="1">
        <v>0.8</v>
      </c>
      <c r="CZ7" s="1">
        <f t="shared" si="16"/>
        <v>1.7777777777777779</v>
      </c>
      <c r="DA7" s="1">
        <f t="shared" si="2"/>
        <v>0.9</v>
      </c>
      <c r="DB7" s="1">
        <f t="shared" si="3"/>
        <v>1.8497109826589597</v>
      </c>
    </row>
    <row r="8" spans="1:106" ht="16" thickBot="1" x14ac:dyDescent="0.4">
      <c r="A8" s="1">
        <v>6</v>
      </c>
      <c r="B8" s="7" t="s">
        <v>131</v>
      </c>
      <c r="C8" s="11" t="s">
        <v>55</v>
      </c>
      <c r="D8" s="11" t="s">
        <v>84</v>
      </c>
      <c r="E8" s="3">
        <v>45288</v>
      </c>
      <c r="F8" s="3">
        <f t="shared" si="17"/>
        <v>45274</v>
      </c>
      <c r="G8" s="1">
        <f t="shared" si="4"/>
        <v>14</v>
      </c>
      <c r="H8" s="1">
        <f t="shared" si="0"/>
        <v>102</v>
      </c>
      <c r="I8" s="1">
        <v>7</v>
      </c>
      <c r="J8" s="3">
        <v>45376</v>
      </c>
      <c r="K8" s="3">
        <v>45382</v>
      </c>
      <c r="L8" s="15">
        <f t="shared" si="5"/>
        <v>108</v>
      </c>
      <c r="M8" s="13">
        <f t="shared" si="1"/>
        <v>136</v>
      </c>
      <c r="N8" s="3">
        <v>45410</v>
      </c>
      <c r="O8" s="1">
        <v>103</v>
      </c>
      <c r="P8" s="1">
        <v>101</v>
      </c>
      <c r="Q8" s="1">
        <v>102.4</v>
      </c>
      <c r="R8" s="1">
        <v>102.4</v>
      </c>
      <c r="S8" s="1">
        <v>102.5</v>
      </c>
      <c r="T8" s="1">
        <f t="shared" si="6"/>
        <v>102.25999999999999</v>
      </c>
      <c r="U8" s="1">
        <v>16</v>
      </c>
      <c r="V8" s="1">
        <v>27</v>
      </c>
      <c r="W8" s="1">
        <v>25</v>
      </c>
      <c r="X8" s="1">
        <v>15</v>
      </c>
      <c r="Y8" s="1">
        <v>19.5</v>
      </c>
      <c r="Z8" s="1">
        <f t="shared" si="7"/>
        <v>20.5</v>
      </c>
      <c r="AA8" s="1">
        <v>7.5</v>
      </c>
      <c r="AB8" s="1">
        <v>8.5</v>
      </c>
      <c r="AC8" s="1">
        <v>10.5</v>
      </c>
      <c r="AD8" s="1">
        <v>7.8</v>
      </c>
      <c r="AE8" s="1">
        <v>9</v>
      </c>
      <c r="AF8" s="1">
        <f t="shared" si="8"/>
        <v>8.66</v>
      </c>
      <c r="AL8" s="1" t="s">
        <v>43</v>
      </c>
      <c r="AM8" s="1">
        <v>0</v>
      </c>
      <c r="AN8" s="1">
        <v>14.5</v>
      </c>
      <c r="AO8" s="1">
        <v>10.5</v>
      </c>
      <c r="AP8" s="1">
        <v>11</v>
      </c>
      <c r="AQ8" s="1">
        <v>11.6</v>
      </c>
      <c r="AR8" s="1">
        <v>10.5</v>
      </c>
      <c r="AS8" s="1">
        <f t="shared" si="9"/>
        <v>11.620000000000001</v>
      </c>
      <c r="AT8" s="1">
        <v>0.6</v>
      </c>
      <c r="AU8" s="1">
        <v>0.7</v>
      </c>
      <c r="AV8" s="1">
        <v>0.6</v>
      </c>
      <c r="AW8" s="1">
        <v>0.5</v>
      </c>
      <c r="AX8" s="1">
        <v>0.6</v>
      </c>
      <c r="AY8" s="1">
        <f t="shared" si="10"/>
        <v>0.6</v>
      </c>
      <c r="AZ8" s="1">
        <v>3</v>
      </c>
      <c r="BA8" s="1">
        <v>5</v>
      </c>
      <c r="BB8" s="1">
        <v>23</v>
      </c>
      <c r="BC8" s="1">
        <v>11</v>
      </c>
      <c r="BD8" s="1">
        <v>10</v>
      </c>
      <c r="BE8" s="1">
        <v>4</v>
      </c>
      <c r="BF8" s="1">
        <v>7</v>
      </c>
      <c r="BG8" s="1">
        <f t="shared" si="11"/>
        <v>11</v>
      </c>
      <c r="BH8" s="1">
        <v>3</v>
      </c>
      <c r="BI8" s="1">
        <v>9</v>
      </c>
      <c r="BJ8" s="1">
        <v>10</v>
      </c>
      <c r="BK8" s="1">
        <v>10</v>
      </c>
      <c r="BL8" s="1">
        <v>10</v>
      </c>
      <c r="BM8" s="1">
        <v>9</v>
      </c>
      <c r="BN8" s="1">
        <v>10</v>
      </c>
      <c r="BO8" s="1">
        <v>1</v>
      </c>
      <c r="BP8" s="1">
        <v>0</v>
      </c>
      <c r="BQ8" s="1">
        <v>3</v>
      </c>
      <c r="BR8" s="1">
        <v>3</v>
      </c>
      <c r="BS8" s="1">
        <v>3</v>
      </c>
      <c r="BT8" s="1">
        <v>2</v>
      </c>
      <c r="BU8" s="1">
        <v>3</v>
      </c>
      <c r="BV8" s="1">
        <v>3</v>
      </c>
      <c r="BW8" s="1">
        <v>36</v>
      </c>
      <c r="BX8" s="1">
        <v>38</v>
      </c>
      <c r="BY8" s="1">
        <v>39</v>
      </c>
      <c r="BZ8" s="1">
        <v>36</v>
      </c>
      <c r="CA8" s="1">
        <v>43</v>
      </c>
      <c r="CB8" s="1">
        <v>39</v>
      </c>
      <c r="CC8" s="1">
        <v>2</v>
      </c>
      <c r="CD8" s="1">
        <v>5</v>
      </c>
      <c r="CE8" s="1">
        <v>6.11</v>
      </c>
      <c r="CF8" s="1">
        <v>6.09</v>
      </c>
      <c r="CG8" s="1">
        <v>5.8</v>
      </c>
      <c r="CH8" s="1">
        <v>5.51</v>
      </c>
      <c r="CI8" s="1">
        <v>5.08</v>
      </c>
      <c r="CJ8" s="1">
        <f t="shared" si="13"/>
        <v>5.7179999999999991</v>
      </c>
      <c r="CK8" s="1">
        <v>3.62</v>
      </c>
      <c r="CL8" s="1">
        <v>3.05</v>
      </c>
      <c r="CM8" s="1">
        <v>3.37</v>
      </c>
      <c r="CN8" s="1">
        <v>3.31</v>
      </c>
      <c r="CO8" s="1">
        <v>2.96</v>
      </c>
      <c r="CP8" s="1">
        <f t="shared" si="14"/>
        <v>3.2619999999999996</v>
      </c>
      <c r="CQ8" s="1">
        <v>2.98</v>
      </c>
      <c r="CR8" s="1">
        <v>2.67</v>
      </c>
      <c r="CS8" s="1">
        <v>2.29</v>
      </c>
      <c r="CT8" s="1">
        <v>2.86</v>
      </c>
      <c r="CU8" s="1">
        <v>2.5499999999999998</v>
      </c>
      <c r="CV8" s="1">
        <f t="shared" si="15"/>
        <v>2.6700000000000004</v>
      </c>
      <c r="CW8" s="1">
        <v>33.5</v>
      </c>
      <c r="CX8" s="1">
        <v>12.2</v>
      </c>
      <c r="CY8" s="1">
        <v>0.83499999999999996</v>
      </c>
      <c r="CZ8" s="1">
        <f t="shared" si="16"/>
        <v>1.8555555555555556</v>
      </c>
      <c r="DA8" s="1">
        <f t="shared" si="2"/>
        <v>0.878</v>
      </c>
      <c r="DB8" s="1">
        <f t="shared" si="3"/>
        <v>1.883442517662171</v>
      </c>
    </row>
    <row r="9" spans="1:106" ht="16" thickBot="1" x14ac:dyDescent="0.4">
      <c r="A9" s="1">
        <v>7</v>
      </c>
      <c r="B9" s="7" t="s">
        <v>132</v>
      </c>
      <c r="C9" s="10"/>
      <c r="D9" s="10"/>
      <c r="E9" s="3">
        <v>45289</v>
      </c>
      <c r="F9" s="3">
        <f t="shared" si="17"/>
        <v>45274</v>
      </c>
      <c r="G9" s="1">
        <f t="shared" si="4"/>
        <v>15</v>
      </c>
      <c r="H9" s="1">
        <f t="shared" si="0"/>
        <v>111</v>
      </c>
      <c r="I9" s="1">
        <v>5</v>
      </c>
      <c r="J9" s="3">
        <v>45385</v>
      </c>
      <c r="K9" s="3">
        <v>45391</v>
      </c>
      <c r="L9" s="15">
        <f t="shared" si="5"/>
        <v>117</v>
      </c>
      <c r="M9" s="13">
        <f t="shared" si="1"/>
        <v>146</v>
      </c>
      <c r="N9" s="3">
        <v>45420</v>
      </c>
      <c r="O9" s="1">
        <v>135.4</v>
      </c>
      <c r="P9" s="1">
        <v>125</v>
      </c>
      <c r="Q9" s="1">
        <v>119</v>
      </c>
      <c r="R9" s="1">
        <v>116.2</v>
      </c>
      <c r="S9" s="1">
        <v>102</v>
      </c>
      <c r="T9" s="1">
        <f t="shared" si="6"/>
        <v>119.51999999999998</v>
      </c>
      <c r="U9" s="1">
        <v>9</v>
      </c>
      <c r="V9" s="1">
        <v>25</v>
      </c>
      <c r="W9" s="1">
        <v>23</v>
      </c>
      <c r="X9" s="1">
        <v>19.5</v>
      </c>
      <c r="Y9" s="1">
        <v>10</v>
      </c>
      <c r="Z9" s="1">
        <f t="shared" si="7"/>
        <v>17.3</v>
      </c>
      <c r="AA9" s="1">
        <v>8</v>
      </c>
      <c r="AB9" s="1">
        <v>7.5</v>
      </c>
      <c r="AC9" s="1">
        <v>8.5</v>
      </c>
      <c r="AD9" s="1">
        <v>8.5</v>
      </c>
      <c r="AE9" s="1">
        <v>7</v>
      </c>
      <c r="AF9" s="1">
        <f t="shared" si="8"/>
        <v>7.9</v>
      </c>
      <c r="AG9" s="1">
        <v>7</v>
      </c>
      <c r="AH9" s="1">
        <v>2.5</v>
      </c>
      <c r="AI9" s="1">
        <v>2.5</v>
      </c>
      <c r="AJ9" s="1">
        <v>1</v>
      </c>
      <c r="AK9" s="1">
        <v>1.2</v>
      </c>
      <c r="AL9" s="1">
        <f t="shared" si="18"/>
        <v>2.84</v>
      </c>
      <c r="AM9" s="1">
        <v>3</v>
      </c>
      <c r="AN9" s="1">
        <v>13</v>
      </c>
      <c r="AO9" s="1">
        <v>12</v>
      </c>
      <c r="AP9" s="1">
        <v>12.5</v>
      </c>
      <c r="AQ9" s="1">
        <v>10.5</v>
      </c>
      <c r="AR9" s="1">
        <v>10</v>
      </c>
      <c r="AS9" s="1">
        <f t="shared" si="9"/>
        <v>11.6</v>
      </c>
      <c r="AT9" s="1">
        <v>1.1000000000000001</v>
      </c>
      <c r="AU9" s="1">
        <v>0.7</v>
      </c>
      <c r="AV9" s="1">
        <v>0.6</v>
      </c>
      <c r="AW9" s="1">
        <v>0.5</v>
      </c>
      <c r="AX9" s="1">
        <v>0.6</v>
      </c>
      <c r="AY9" s="1">
        <f t="shared" si="10"/>
        <v>0.7</v>
      </c>
      <c r="AZ9" s="1">
        <v>3</v>
      </c>
      <c r="BA9" s="1">
        <v>5</v>
      </c>
      <c r="BB9" s="1">
        <v>10</v>
      </c>
      <c r="BC9" s="1">
        <v>6</v>
      </c>
      <c r="BD9" s="1">
        <v>3</v>
      </c>
      <c r="BE9" s="1">
        <v>9</v>
      </c>
      <c r="BF9" s="1">
        <v>10</v>
      </c>
      <c r="BG9" s="1">
        <v>8</v>
      </c>
      <c r="BH9" s="1">
        <v>7</v>
      </c>
      <c r="BI9" s="1">
        <v>11</v>
      </c>
      <c r="BJ9" s="1">
        <v>10</v>
      </c>
      <c r="BK9" s="1">
        <v>10</v>
      </c>
      <c r="BL9" s="1">
        <v>9</v>
      </c>
      <c r="BM9" s="1">
        <v>11</v>
      </c>
      <c r="BN9" s="1">
        <v>10</v>
      </c>
      <c r="BO9" s="1">
        <v>2</v>
      </c>
      <c r="BP9" s="1">
        <v>0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f t="shared" si="19"/>
        <v>3</v>
      </c>
      <c r="BW9" s="1">
        <v>68</v>
      </c>
      <c r="BX9" s="1">
        <v>56</v>
      </c>
      <c r="BY9" s="1">
        <v>48</v>
      </c>
      <c r="BZ9" s="1">
        <v>54</v>
      </c>
      <c r="CA9" s="1">
        <v>47</v>
      </c>
      <c r="CB9" s="1">
        <v>55</v>
      </c>
      <c r="CC9" s="1">
        <v>2</v>
      </c>
      <c r="CD9" s="1">
        <v>5</v>
      </c>
      <c r="CE9" s="1">
        <v>5.63</v>
      </c>
      <c r="CF9" s="1">
        <v>5.47</v>
      </c>
      <c r="CG9" s="1">
        <v>5.85</v>
      </c>
      <c r="CH9" s="1">
        <v>6.23</v>
      </c>
      <c r="CI9" s="1">
        <v>4.7699999999999996</v>
      </c>
      <c r="CJ9" s="1">
        <f t="shared" si="13"/>
        <v>5.59</v>
      </c>
      <c r="CK9" s="1">
        <v>2.92</v>
      </c>
      <c r="CL9" s="1">
        <v>3.39</v>
      </c>
      <c r="CM9" s="1">
        <v>3.97</v>
      </c>
      <c r="CN9" s="1">
        <v>3.44</v>
      </c>
      <c r="CO9" s="1">
        <v>2.4700000000000002</v>
      </c>
      <c r="CP9" s="1">
        <f t="shared" si="14"/>
        <v>3.2380000000000004</v>
      </c>
      <c r="CQ9" s="1">
        <v>2.84</v>
      </c>
      <c r="CR9" s="1">
        <v>2.91</v>
      </c>
      <c r="CS9" s="1">
        <v>3.26</v>
      </c>
      <c r="CT9" s="1">
        <v>2.93</v>
      </c>
      <c r="CU9" s="1">
        <v>2.4900000000000002</v>
      </c>
      <c r="CV9" s="1">
        <f t="shared" si="15"/>
        <v>2.8860000000000001</v>
      </c>
      <c r="CW9" s="1">
        <v>37.1</v>
      </c>
      <c r="CX9" s="1">
        <v>10.7</v>
      </c>
      <c r="CY9" s="1">
        <v>0.55500000000000005</v>
      </c>
      <c r="CZ9" s="1">
        <f t="shared" si="16"/>
        <v>1.2333333333333334</v>
      </c>
      <c r="DA9" s="1">
        <f t="shared" si="2"/>
        <v>0.89300000000000002</v>
      </c>
      <c r="DB9" s="1">
        <f t="shared" si="3"/>
        <v>1.2732562620423895</v>
      </c>
    </row>
    <row r="10" spans="1:106" ht="16" thickBot="1" x14ac:dyDescent="0.4">
      <c r="A10" s="1">
        <v>8</v>
      </c>
      <c r="B10" s="7" t="s">
        <v>133</v>
      </c>
      <c r="C10" s="11" t="s">
        <v>56</v>
      </c>
      <c r="D10" s="10" t="s">
        <v>85</v>
      </c>
      <c r="E10" s="3">
        <v>45288</v>
      </c>
      <c r="F10" s="3">
        <f t="shared" si="17"/>
        <v>45274</v>
      </c>
      <c r="G10" s="1">
        <f t="shared" si="4"/>
        <v>14</v>
      </c>
      <c r="H10" s="1">
        <f t="shared" si="0"/>
        <v>102</v>
      </c>
      <c r="I10" s="1">
        <v>7</v>
      </c>
      <c r="J10" s="3">
        <v>45376</v>
      </c>
      <c r="K10" s="3">
        <v>45383</v>
      </c>
      <c r="L10" s="15">
        <f t="shared" si="5"/>
        <v>109</v>
      </c>
      <c r="M10" s="13">
        <f t="shared" si="1"/>
        <v>132</v>
      </c>
      <c r="N10" s="3">
        <v>45406</v>
      </c>
      <c r="O10" s="1">
        <v>90</v>
      </c>
      <c r="P10" s="1">
        <v>111</v>
      </c>
      <c r="Q10" s="1">
        <v>104</v>
      </c>
      <c r="R10" s="1">
        <v>96</v>
      </c>
      <c r="S10" s="1">
        <v>102.5</v>
      </c>
      <c r="T10" s="1">
        <f t="shared" si="6"/>
        <v>100.7</v>
      </c>
      <c r="U10" s="1">
        <v>15</v>
      </c>
      <c r="V10" s="1">
        <v>20</v>
      </c>
      <c r="W10" s="1">
        <v>16.5</v>
      </c>
      <c r="X10" s="1">
        <v>8</v>
      </c>
      <c r="Y10" s="1">
        <v>23.5</v>
      </c>
      <c r="Z10" s="1">
        <f t="shared" si="7"/>
        <v>16.600000000000001</v>
      </c>
      <c r="AA10" s="1">
        <v>11</v>
      </c>
      <c r="AB10" s="1">
        <v>9.5</v>
      </c>
      <c r="AC10" s="1">
        <v>8.5</v>
      </c>
      <c r="AD10" s="1">
        <v>10</v>
      </c>
      <c r="AE10" s="1">
        <v>9.5</v>
      </c>
      <c r="AF10" s="1">
        <f t="shared" si="8"/>
        <v>9.6999999999999993</v>
      </c>
      <c r="AG10" s="1">
        <v>6</v>
      </c>
      <c r="AH10" s="1">
        <v>7</v>
      </c>
      <c r="AI10" s="1">
        <v>7</v>
      </c>
      <c r="AJ10" s="1">
        <v>5.8</v>
      </c>
      <c r="AK10" s="1">
        <v>5.5</v>
      </c>
      <c r="AL10" s="1">
        <f t="shared" si="18"/>
        <v>6.26</v>
      </c>
      <c r="AM10" s="1">
        <v>7</v>
      </c>
      <c r="AN10" s="1">
        <v>12.1</v>
      </c>
      <c r="AO10" s="1">
        <v>13.5</v>
      </c>
      <c r="AP10" s="1">
        <v>12.5</v>
      </c>
      <c r="AQ10" s="1">
        <v>11.5</v>
      </c>
      <c r="AR10" s="1">
        <v>11</v>
      </c>
      <c r="AS10" s="1">
        <f t="shared" si="9"/>
        <v>12.120000000000001</v>
      </c>
      <c r="AT10" s="1">
        <v>1.1000000000000001</v>
      </c>
      <c r="AU10" s="1">
        <v>1.3</v>
      </c>
      <c r="AV10" s="1">
        <v>1</v>
      </c>
      <c r="AW10" s="1">
        <v>1.2</v>
      </c>
      <c r="AX10" s="1">
        <v>1.1000000000000001</v>
      </c>
      <c r="AY10" s="1">
        <f t="shared" si="10"/>
        <v>1.1400000000000001</v>
      </c>
      <c r="AZ10" s="1">
        <v>3</v>
      </c>
      <c r="BA10" s="1">
        <v>5</v>
      </c>
      <c r="BB10" s="1">
        <v>27</v>
      </c>
      <c r="BC10" s="1">
        <v>11</v>
      </c>
      <c r="BD10" s="1">
        <v>16</v>
      </c>
      <c r="BE10" s="1">
        <v>10</v>
      </c>
      <c r="BF10" s="1">
        <v>4</v>
      </c>
      <c r="BG10" s="1">
        <v>14</v>
      </c>
      <c r="BH10" s="1">
        <v>5</v>
      </c>
      <c r="BI10" s="1">
        <v>10</v>
      </c>
      <c r="BJ10" s="1">
        <v>9</v>
      </c>
      <c r="BK10" s="1">
        <v>10</v>
      </c>
      <c r="BL10" s="1">
        <v>11</v>
      </c>
      <c r="BM10" s="1">
        <v>11</v>
      </c>
      <c r="BN10" s="1">
        <v>10</v>
      </c>
      <c r="BO10" s="1">
        <v>1</v>
      </c>
      <c r="BP10" s="1">
        <v>0</v>
      </c>
      <c r="BQ10" s="1">
        <v>3</v>
      </c>
      <c r="BR10" s="1">
        <v>3</v>
      </c>
      <c r="BS10" s="1">
        <v>3</v>
      </c>
      <c r="BT10" s="1">
        <v>3</v>
      </c>
      <c r="BU10" s="1">
        <v>3</v>
      </c>
      <c r="BV10" s="1">
        <f t="shared" si="19"/>
        <v>3</v>
      </c>
      <c r="BW10" s="1">
        <v>43</v>
      </c>
      <c r="BX10" s="1">
        <v>43</v>
      </c>
      <c r="BY10" s="1">
        <v>38</v>
      </c>
      <c r="BZ10" s="1">
        <v>53</v>
      </c>
      <c r="CA10" s="1">
        <v>51</v>
      </c>
      <c r="CB10" s="1">
        <v>46</v>
      </c>
      <c r="CC10" s="1">
        <v>2</v>
      </c>
      <c r="CD10" s="1">
        <v>5</v>
      </c>
      <c r="CE10" s="1">
        <v>6.85</v>
      </c>
      <c r="CF10" s="1">
        <v>5.71</v>
      </c>
      <c r="CG10" s="1">
        <v>5.57</v>
      </c>
      <c r="CH10" s="1">
        <v>5.15</v>
      </c>
      <c r="CI10" s="1">
        <v>5.52</v>
      </c>
      <c r="CJ10" s="1">
        <f t="shared" si="13"/>
        <v>5.76</v>
      </c>
      <c r="CK10" s="1">
        <v>3.56</v>
      </c>
      <c r="CL10" s="1">
        <v>3.19</v>
      </c>
      <c r="CM10" s="1">
        <v>3.41</v>
      </c>
      <c r="CN10" s="1">
        <v>3.28</v>
      </c>
      <c r="CO10" s="1">
        <v>3.24</v>
      </c>
      <c r="CP10" s="1">
        <f t="shared" si="14"/>
        <v>3.3359999999999999</v>
      </c>
      <c r="CQ10" s="1">
        <v>3.15</v>
      </c>
      <c r="CR10" s="1">
        <v>2.84</v>
      </c>
      <c r="CS10" s="1">
        <v>2.93</v>
      </c>
      <c r="CT10" s="1">
        <v>3.04</v>
      </c>
      <c r="CU10" s="1">
        <v>2.74</v>
      </c>
      <c r="CV10" s="1">
        <f t="shared" si="15"/>
        <v>2.9400000000000004</v>
      </c>
      <c r="CW10" s="1">
        <v>39.299999999999997</v>
      </c>
      <c r="CX10" s="1">
        <v>10</v>
      </c>
      <c r="CY10" s="1">
        <v>0.82499999999999996</v>
      </c>
      <c r="CZ10" s="1">
        <f t="shared" si="16"/>
        <v>1.8333333333333333</v>
      </c>
      <c r="DA10" s="1">
        <f t="shared" si="2"/>
        <v>0.9</v>
      </c>
      <c r="DB10" s="1">
        <f t="shared" si="3"/>
        <v>1.9075144508670518</v>
      </c>
    </row>
    <row r="11" spans="1:106" ht="16" thickBot="1" x14ac:dyDescent="0.4">
      <c r="A11" s="1">
        <v>9</v>
      </c>
      <c r="B11" s="7" t="s">
        <v>134</v>
      </c>
      <c r="C11" s="11" t="s">
        <v>57</v>
      </c>
      <c r="D11" s="10" t="s">
        <v>86</v>
      </c>
      <c r="E11" s="3">
        <v>45289</v>
      </c>
      <c r="F11" s="3">
        <f t="shared" si="17"/>
        <v>45274</v>
      </c>
      <c r="G11" s="1">
        <f t="shared" si="4"/>
        <v>15</v>
      </c>
      <c r="H11" s="1">
        <f t="shared" si="0"/>
        <v>106</v>
      </c>
      <c r="I11" s="1">
        <v>5</v>
      </c>
      <c r="J11" s="3">
        <v>45380</v>
      </c>
      <c r="K11" s="3">
        <v>45384</v>
      </c>
      <c r="L11" s="15">
        <f t="shared" si="5"/>
        <v>110</v>
      </c>
      <c r="M11" s="13">
        <f t="shared" si="1"/>
        <v>138</v>
      </c>
      <c r="N11" s="3">
        <v>45412</v>
      </c>
      <c r="O11" s="1">
        <v>85</v>
      </c>
      <c r="P11" s="1">
        <v>82</v>
      </c>
      <c r="Q11" s="1">
        <v>76</v>
      </c>
      <c r="R11" s="1">
        <v>94</v>
      </c>
      <c r="S11" s="1">
        <v>84</v>
      </c>
      <c r="T11" s="1">
        <f t="shared" si="6"/>
        <v>84.2</v>
      </c>
      <c r="U11" s="1">
        <v>8.5</v>
      </c>
      <c r="V11" s="1">
        <v>20.5</v>
      </c>
      <c r="W11" s="1">
        <v>6.5</v>
      </c>
      <c r="X11" s="1">
        <v>15</v>
      </c>
      <c r="Y11" s="1">
        <v>10.5</v>
      </c>
      <c r="Z11" s="1">
        <f t="shared" si="7"/>
        <v>12.2</v>
      </c>
      <c r="AA11" s="1">
        <v>9.5</v>
      </c>
      <c r="AB11" s="1">
        <v>11</v>
      </c>
      <c r="AC11" s="1">
        <v>9.5</v>
      </c>
      <c r="AD11" s="1">
        <v>9.5</v>
      </c>
      <c r="AE11" s="1">
        <v>10.5</v>
      </c>
      <c r="AF11" s="1">
        <f t="shared" si="8"/>
        <v>10</v>
      </c>
      <c r="AG11" s="1">
        <v>4.5</v>
      </c>
      <c r="AH11" s="1">
        <v>1.2</v>
      </c>
      <c r="AI11" s="1">
        <v>4</v>
      </c>
      <c r="AJ11" s="1">
        <v>3.5</v>
      </c>
      <c r="AK11" s="1">
        <v>5</v>
      </c>
      <c r="AL11" s="1">
        <f t="shared" si="18"/>
        <v>3.6399999999999997</v>
      </c>
      <c r="AM11" s="1">
        <v>7</v>
      </c>
      <c r="AN11" s="1">
        <v>13.1</v>
      </c>
      <c r="AO11" s="1">
        <v>11</v>
      </c>
      <c r="AP11" s="1">
        <v>17.8</v>
      </c>
      <c r="AQ11" s="1">
        <v>10.5</v>
      </c>
      <c r="AR11" s="1">
        <v>11.5</v>
      </c>
      <c r="AS11" s="1">
        <f t="shared" si="9"/>
        <v>12.780000000000001</v>
      </c>
      <c r="AT11" s="1">
        <v>1</v>
      </c>
      <c r="AU11" s="1">
        <v>1</v>
      </c>
      <c r="AV11" s="1">
        <v>0.7</v>
      </c>
      <c r="AW11" s="1">
        <v>1.3</v>
      </c>
      <c r="AX11" s="1">
        <v>0.9</v>
      </c>
      <c r="AY11" s="1">
        <f t="shared" si="10"/>
        <v>0.98000000000000009</v>
      </c>
      <c r="AZ11" s="1">
        <v>5</v>
      </c>
      <c r="BA11" s="1">
        <v>3</v>
      </c>
      <c r="BB11" s="1">
        <v>5</v>
      </c>
      <c r="BC11" s="1">
        <v>3</v>
      </c>
      <c r="BD11" s="1">
        <v>8</v>
      </c>
      <c r="BE11" s="1">
        <v>2</v>
      </c>
      <c r="BF11" s="1">
        <v>10</v>
      </c>
      <c r="BG11" s="1">
        <v>6</v>
      </c>
      <c r="BH11" s="1">
        <v>9</v>
      </c>
      <c r="BI11" s="1">
        <v>10</v>
      </c>
      <c r="BJ11" s="1">
        <v>10</v>
      </c>
      <c r="BK11" s="1">
        <v>9</v>
      </c>
      <c r="BL11" s="1">
        <v>10</v>
      </c>
      <c r="BM11" s="1">
        <v>10</v>
      </c>
      <c r="BN11" s="1">
        <v>10</v>
      </c>
      <c r="BO11" s="1">
        <v>3</v>
      </c>
      <c r="BP11" s="1">
        <v>0</v>
      </c>
      <c r="BQ11" s="1">
        <v>2</v>
      </c>
      <c r="BR11" s="1">
        <v>3</v>
      </c>
      <c r="BS11" s="1">
        <v>3</v>
      </c>
      <c r="BT11" s="1">
        <v>4</v>
      </c>
      <c r="BU11" s="1">
        <v>3</v>
      </c>
      <c r="BV11" s="1">
        <f t="shared" si="19"/>
        <v>3</v>
      </c>
      <c r="BW11" s="1">
        <v>38</v>
      </c>
      <c r="BX11" s="1">
        <v>48</v>
      </c>
      <c r="BY11" s="1">
        <v>58</v>
      </c>
      <c r="BZ11" s="1">
        <v>49</v>
      </c>
      <c r="CA11" s="1">
        <v>39</v>
      </c>
      <c r="CB11" s="1">
        <v>46</v>
      </c>
      <c r="CC11" s="1">
        <v>1</v>
      </c>
      <c r="CD11" s="1">
        <v>5</v>
      </c>
      <c r="CE11" s="1">
        <v>6.23</v>
      </c>
      <c r="CF11" s="1">
        <v>5.41</v>
      </c>
      <c r="CG11" s="1">
        <v>6.28</v>
      </c>
      <c r="CH11" s="1">
        <v>5.85</v>
      </c>
      <c r="CI11" s="1">
        <v>5.91</v>
      </c>
      <c r="CJ11" s="1">
        <f t="shared" si="13"/>
        <v>5.9360000000000008</v>
      </c>
      <c r="CK11" s="1">
        <v>3.07</v>
      </c>
      <c r="CL11" s="1">
        <v>3.37</v>
      </c>
      <c r="CM11" s="1">
        <v>3.33</v>
      </c>
      <c r="CN11" s="1">
        <v>3.7</v>
      </c>
      <c r="CO11" s="1">
        <v>3.16</v>
      </c>
      <c r="CP11" s="1">
        <f t="shared" si="14"/>
        <v>3.3259999999999996</v>
      </c>
      <c r="CQ11" s="1">
        <v>2.79</v>
      </c>
      <c r="CR11" s="1">
        <v>3.01</v>
      </c>
      <c r="CS11" s="1">
        <v>2.97</v>
      </c>
      <c r="CT11" s="1">
        <v>2.84</v>
      </c>
      <c r="CU11" s="1">
        <v>2.44</v>
      </c>
      <c r="CV11" s="1">
        <f t="shared" si="15"/>
        <v>2.8099999999999996</v>
      </c>
      <c r="CW11" s="1">
        <v>36.090000000000003</v>
      </c>
      <c r="CX11" s="1">
        <v>9.3000000000000007</v>
      </c>
      <c r="CY11" s="1">
        <v>0.47499999999999998</v>
      </c>
      <c r="CZ11" s="1">
        <f t="shared" si="16"/>
        <v>1.0555555555555556</v>
      </c>
      <c r="DA11" s="1">
        <f t="shared" si="2"/>
        <v>0.90700000000000003</v>
      </c>
      <c r="DB11" s="1">
        <f t="shared" si="3"/>
        <v>1.1068079640333977</v>
      </c>
    </row>
    <row r="12" spans="1:106" ht="16" thickBot="1" x14ac:dyDescent="0.4">
      <c r="A12" s="1">
        <v>10</v>
      </c>
      <c r="B12" s="7" t="s">
        <v>135</v>
      </c>
      <c r="C12" s="11" t="s">
        <v>58</v>
      </c>
      <c r="D12" s="10" t="s">
        <v>86</v>
      </c>
      <c r="E12" s="3">
        <v>45289</v>
      </c>
      <c r="F12" s="3">
        <f t="shared" si="17"/>
        <v>45274</v>
      </c>
      <c r="G12" s="1">
        <f t="shared" si="4"/>
        <v>15</v>
      </c>
      <c r="H12" s="1">
        <f t="shared" si="0"/>
        <v>104</v>
      </c>
      <c r="I12" s="1">
        <v>7</v>
      </c>
      <c r="J12" s="3">
        <v>45378</v>
      </c>
      <c r="K12" s="3">
        <v>45384</v>
      </c>
      <c r="L12" s="15">
        <f t="shared" si="5"/>
        <v>110</v>
      </c>
      <c r="M12" s="13">
        <f t="shared" si="1"/>
        <v>138</v>
      </c>
      <c r="N12" s="3">
        <v>45412</v>
      </c>
      <c r="O12" s="1">
        <v>97</v>
      </c>
      <c r="P12" s="1">
        <v>89</v>
      </c>
      <c r="Q12" s="1">
        <v>103</v>
      </c>
      <c r="R12" s="1">
        <v>103.5</v>
      </c>
      <c r="S12" s="1">
        <v>103.3</v>
      </c>
      <c r="T12" s="1">
        <f t="shared" si="6"/>
        <v>99.16</v>
      </c>
      <c r="U12" s="1">
        <v>12</v>
      </c>
      <c r="V12" s="1">
        <v>7.5</v>
      </c>
      <c r="W12" s="1">
        <v>16</v>
      </c>
      <c r="X12" s="1">
        <v>17</v>
      </c>
      <c r="Y12" s="1">
        <v>21</v>
      </c>
      <c r="Z12" s="1">
        <f t="shared" si="7"/>
        <v>14.7</v>
      </c>
      <c r="AA12" s="1">
        <v>9</v>
      </c>
      <c r="AB12" s="1">
        <v>9</v>
      </c>
      <c r="AC12" s="1">
        <v>9</v>
      </c>
      <c r="AD12" s="1">
        <v>9.5</v>
      </c>
      <c r="AE12" s="1">
        <v>9</v>
      </c>
      <c r="AF12" s="1">
        <f t="shared" si="8"/>
        <v>9.1</v>
      </c>
      <c r="AL12" s="1" t="s">
        <v>43</v>
      </c>
      <c r="AM12" s="1">
        <v>0</v>
      </c>
      <c r="AN12" s="1">
        <v>12.8</v>
      </c>
      <c r="AO12" s="1">
        <v>12.5</v>
      </c>
      <c r="AP12" s="1">
        <v>10.9</v>
      </c>
      <c r="AQ12" s="1">
        <v>10</v>
      </c>
      <c r="AR12" s="1">
        <v>12.5</v>
      </c>
      <c r="AS12" s="1">
        <f t="shared" si="9"/>
        <v>11.74</v>
      </c>
      <c r="AT12" s="1">
        <v>1.2</v>
      </c>
      <c r="AU12" s="1">
        <v>1.2</v>
      </c>
      <c r="AV12" s="1">
        <v>1</v>
      </c>
      <c r="AW12" s="1">
        <v>1</v>
      </c>
      <c r="AX12" s="1">
        <v>0.9</v>
      </c>
      <c r="AY12" s="1">
        <f t="shared" si="10"/>
        <v>1.06</v>
      </c>
      <c r="AZ12" s="1">
        <v>3</v>
      </c>
      <c r="BA12" s="1">
        <v>3</v>
      </c>
      <c r="BB12" s="1">
        <v>6</v>
      </c>
      <c r="BC12" s="1">
        <v>6</v>
      </c>
      <c r="BD12" s="1">
        <v>13</v>
      </c>
      <c r="BE12" s="1">
        <v>3</v>
      </c>
      <c r="BF12" s="1">
        <v>11</v>
      </c>
      <c r="BG12" s="1">
        <v>8</v>
      </c>
      <c r="BH12" s="1">
        <v>5</v>
      </c>
      <c r="BI12" s="1">
        <v>8</v>
      </c>
      <c r="BJ12" s="1">
        <v>8</v>
      </c>
      <c r="BK12" s="1">
        <v>9</v>
      </c>
      <c r="BL12" s="1">
        <v>9</v>
      </c>
      <c r="BM12" s="1">
        <v>9</v>
      </c>
      <c r="BN12" s="1">
        <v>9</v>
      </c>
      <c r="BO12" s="1">
        <v>2</v>
      </c>
      <c r="BP12" s="1">
        <v>3</v>
      </c>
      <c r="BQ12" s="1">
        <v>2</v>
      </c>
      <c r="BR12" s="1">
        <v>3</v>
      </c>
      <c r="BS12" s="1">
        <v>3</v>
      </c>
      <c r="BT12" s="1">
        <v>2</v>
      </c>
      <c r="BU12" s="1">
        <v>2</v>
      </c>
      <c r="BV12" s="1">
        <v>2</v>
      </c>
      <c r="BW12" s="1">
        <v>38</v>
      </c>
      <c r="BX12" s="1">
        <v>38</v>
      </c>
      <c r="BY12" s="1">
        <v>25</v>
      </c>
      <c r="BZ12" s="1">
        <v>24</v>
      </c>
      <c r="CA12" s="1">
        <v>50</v>
      </c>
      <c r="CB12" s="1">
        <f t="shared" ref="CB12:CB64" si="20">AVERAGE(BW12:CA12)</f>
        <v>35</v>
      </c>
      <c r="CC12" s="1">
        <v>1</v>
      </c>
      <c r="CD12" s="1">
        <v>5</v>
      </c>
      <c r="CE12" s="1">
        <v>6.23</v>
      </c>
      <c r="CF12" s="1">
        <v>6.69</v>
      </c>
      <c r="CG12" s="1">
        <v>5.44</v>
      </c>
      <c r="CH12" s="1">
        <v>5.44</v>
      </c>
      <c r="CI12" s="1">
        <v>6.59</v>
      </c>
      <c r="CJ12" s="1">
        <f t="shared" si="13"/>
        <v>6.0780000000000012</v>
      </c>
      <c r="CK12" s="1">
        <v>3.39</v>
      </c>
      <c r="CL12" s="1">
        <v>3.74</v>
      </c>
      <c r="CM12" s="1">
        <v>3.41</v>
      </c>
      <c r="CN12" s="1">
        <v>3.66</v>
      </c>
      <c r="CO12" s="1">
        <v>3.71</v>
      </c>
      <c r="CP12" s="1">
        <f t="shared" si="14"/>
        <v>3.5819999999999999</v>
      </c>
      <c r="CQ12" s="1">
        <v>2.44</v>
      </c>
      <c r="CR12" s="1">
        <v>3.05</v>
      </c>
      <c r="CS12" s="1">
        <v>2.52</v>
      </c>
      <c r="CT12" s="1">
        <v>2.92</v>
      </c>
      <c r="CU12" s="1">
        <v>2.91</v>
      </c>
      <c r="CV12" s="1">
        <f t="shared" si="15"/>
        <v>2.7679999999999998</v>
      </c>
      <c r="CW12" s="1">
        <v>40.1</v>
      </c>
      <c r="CX12" s="1">
        <v>10</v>
      </c>
      <c r="CY12" s="1">
        <v>0.74</v>
      </c>
      <c r="CZ12" s="1">
        <f t="shared" si="16"/>
        <v>1.6444444444444444</v>
      </c>
      <c r="DA12" s="1">
        <f t="shared" si="2"/>
        <v>0.9</v>
      </c>
      <c r="DB12" s="1">
        <f t="shared" si="3"/>
        <v>1.7109826589595376</v>
      </c>
    </row>
    <row r="13" spans="1:106" ht="16" thickBot="1" x14ac:dyDescent="0.4">
      <c r="A13" s="1">
        <v>11</v>
      </c>
      <c r="B13" s="7" t="s">
        <v>136</v>
      </c>
      <c r="C13" s="10"/>
      <c r="D13" s="10"/>
      <c r="E13" s="3">
        <v>45289</v>
      </c>
      <c r="F13" s="3">
        <f t="shared" si="17"/>
        <v>45274</v>
      </c>
      <c r="G13" s="1">
        <f t="shared" si="4"/>
        <v>15</v>
      </c>
      <c r="H13" s="1">
        <f t="shared" si="0"/>
        <v>102</v>
      </c>
      <c r="I13" s="1">
        <v>5</v>
      </c>
      <c r="J13" s="3">
        <v>45376</v>
      </c>
      <c r="K13" s="3">
        <v>45384</v>
      </c>
      <c r="L13" s="15">
        <f t="shared" si="5"/>
        <v>110</v>
      </c>
      <c r="M13" s="13">
        <f t="shared" si="1"/>
        <v>138</v>
      </c>
      <c r="N13" s="3">
        <v>45412</v>
      </c>
      <c r="O13" s="1">
        <v>109.5</v>
      </c>
      <c r="P13" s="1">
        <v>108.5</v>
      </c>
      <c r="Q13" s="1">
        <v>102.5</v>
      </c>
      <c r="R13" s="1">
        <v>113.4</v>
      </c>
      <c r="S13" s="1">
        <v>102</v>
      </c>
      <c r="T13" s="1">
        <f t="shared" si="6"/>
        <v>107.17999999999999</v>
      </c>
      <c r="U13" s="1">
        <v>24</v>
      </c>
      <c r="V13" s="1">
        <v>20</v>
      </c>
      <c r="W13" s="1">
        <v>20</v>
      </c>
      <c r="X13" s="1">
        <v>17.5</v>
      </c>
      <c r="Y13" s="1">
        <v>21</v>
      </c>
      <c r="Z13" s="1">
        <f t="shared" si="7"/>
        <v>20.5</v>
      </c>
      <c r="AA13" s="1">
        <v>8.5</v>
      </c>
      <c r="AB13" s="1">
        <v>7</v>
      </c>
      <c r="AC13" s="1">
        <v>6</v>
      </c>
      <c r="AD13" s="1">
        <v>8.5</v>
      </c>
      <c r="AE13" s="1">
        <v>7.5</v>
      </c>
      <c r="AF13" s="1">
        <f t="shared" si="8"/>
        <v>7.5</v>
      </c>
      <c r="AG13" s="1">
        <v>3.8</v>
      </c>
      <c r="AH13" s="1">
        <v>3</v>
      </c>
      <c r="AI13" s="1">
        <v>2.5</v>
      </c>
      <c r="AJ13" s="1">
        <v>3.5</v>
      </c>
      <c r="AK13" s="1">
        <v>4</v>
      </c>
      <c r="AL13" s="1">
        <f t="shared" si="18"/>
        <v>3.3600000000000003</v>
      </c>
      <c r="AM13" s="1">
        <v>7</v>
      </c>
      <c r="AN13" s="1">
        <v>11.5</v>
      </c>
      <c r="AO13" s="1">
        <v>10.5</v>
      </c>
      <c r="AP13" s="1">
        <v>10.5</v>
      </c>
      <c r="AQ13" s="1">
        <v>10.5</v>
      </c>
      <c r="AR13" s="1">
        <v>9</v>
      </c>
      <c r="AS13" s="1">
        <f t="shared" si="9"/>
        <v>10.4</v>
      </c>
      <c r="AT13" s="1">
        <v>0.9</v>
      </c>
      <c r="AU13" s="1">
        <v>0.9</v>
      </c>
      <c r="AV13" s="1">
        <v>0.9</v>
      </c>
      <c r="AW13" s="1">
        <v>0.9</v>
      </c>
      <c r="AX13" s="1">
        <v>0.9</v>
      </c>
      <c r="AY13" s="1">
        <f t="shared" si="10"/>
        <v>0.9</v>
      </c>
      <c r="AZ13" s="1">
        <v>3</v>
      </c>
      <c r="BA13" s="1">
        <v>3</v>
      </c>
      <c r="BB13" s="1">
        <v>8</v>
      </c>
      <c r="BC13" s="1">
        <v>21</v>
      </c>
      <c r="BD13" s="1">
        <v>17</v>
      </c>
      <c r="BE13" s="1">
        <v>15</v>
      </c>
      <c r="BF13" s="1">
        <v>14</v>
      </c>
      <c r="BG13" s="1">
        <f t="shared" si="11"/>
        <v>15</v>
      </c>
      <c r="BH13" s="1">
        <v>7</v>
      </c>
      <c r="BI13" s="1">
        <v>10</v>
      </c>
      <c r="BJ13" s="1">
        <v>10</v>
      </c>
      <c r="BK13" s="1">
        <v>11</v>
      </c>
      <c r="BL13" s="1">
        <v>11</v>
      </c>
      <c r="BM13" s="1">
        <v>10</v>
      </c>
      <c r="BN13" s="1">
        <v>10</v>
      </c>
      <c r="BO13" s="1">
        <v>1</v>
      </c>
      <c r="BP13" s="1">
        <v>0</v>
      </c>
      <c r="BQ13" s="1">
        <v>2</v>
      </c>
      <c r="BR13" s="1">
        <v>3</v>
      </c>
      <c r="BS13" s="1">
        <v>3</v>
      </c>
      <c r="BT13" s="1">
        <v>2</v>
      </c>
      <c r="BU13" s="1">
        <v>3</v>
      </c>
      <c r="BV13" s="1">
        <v>3</v>
      </c>
      <c r="BW13" s="1">
        <v>37</v>
      </c>
      <c r="BX13" s="1">
        <v>38</v>
      </c>
      <c r="BY13" s="1">
        <v>24</v>
      </c>
      <c r="BZ13" s="1">
        <v>25</v>
      </c>
      <c r="CA13" s="1">
        <v>50</v>
      </c>
      <c r="CB13" s="1">
        <v>35</v>
      </c>
      <c r="CC13" s="1">
        <v>2</v>
      </c>
      <c r="CD13" s="1">
        <v>5</v>
      </c>
      <c r="CE13" s="1">
        <v>5.74</v>
      </c>
      <c r="CF13" s="1">
        <v>6.26</v>
      </c>
      <c r="CG13" s="1">
        <v>5.43</v>
      </c>
      <c r="CH13" s="1">
        <v>5.71</v>
      </c>
      <c r="CI13" s="1">
        <v>5.87</v>
      </c>
      <c r="CJ13" s="1">
        <f t="shared" si="13"/>
        <v>5.8020000000000005</v>
      </c>
      <c r="CK13" s="1">
        <v>3.26</v>
      </c>
      <c r="CL13" s="1">
        <v>3.36</v>
      </c>
      <c r="CM13" s="1">
        <v>2.84</v>
      </c>
      <c r="CN13" s="1">
        <v>3.29</v>
      </c>
      <c r="CO13" s="1">
        <v>3.26</v>
      </c>
      <c r="CP13" s="1">
        <f t="shared" si="14"/>
        <v>3.2019999999999995</v>
      </c>
      <c r="CQ13" s="1">
        <v>2.79</v>
      </c>
      <c r="CR13" s="1">
        <v>2.86</v>
      </c>
      <c r="CS13" s="1">
        <v>2.5</v>
      </c>
      <c r="CT13" s="1">
        <v>3.09</v>
      </c>
      <c r="CU13" s="1">
        <v>2.96</v>
      </c>
      <c r="CV13" s="1">
        <f t="shared" si="15"/>
        <v>2.84</v>
      </c>
      <c r="CW13" s="1">
        <v>33.299999999999997</v>
      </c>
      <c r="CX13" s="1">
        <v>10.1</v>
      </c>
      <c r="CY13" s="1">
        <v>0.96</v>
      </c>
      <c r="CZ13" s="1">
        <f t="shared" si="16"/>
        <v>2.1333333333333333</v>
      </c>
      <c r="DA13" s="1">
        <f t="shared" si="2"/>
        <v>0.89900000000000002</v>
      </c>
      <c r="DB13" s="1">
        <f t="shared" si="3"/>
        <v>2.2171868978805396</v>
      </c>
    </row>
    <row r="14" spans="1:106" ht="16" thickBot="1" x14ac:dyDescent="0.4">
      <c r="A14" s="1">
        <v>12</v>
      </c>
      <c r="B14" s="7" t="s">
        <v>137</v>
      </c>
      <c r="C14" s="11" t="s">
        <v>57</v>
      </c>
      <c r="D14" s="10" t="s">
        <v>86</v>
      </c>
      <c r="E14" s="3">
        <v>45289</v>
      </c>
      <c r="F14" s="3">
        <f t="shared" si="17"/>
        <v>45274</v>
      </c>
      <c r="G14" s="1">
        <f t="shared" si="4"/>
        <v>15</v>
      </c>
      <c r="H14" s="1">
        <f t="shared" si="0"/>
        <v>110</v>
      </c>
      <c r="I14" s="1">
        <v>5</v>
      </c>
      <c r="J14" s="3">
        <v>45384</v>
      </c>
      <c r="K14" s="3">
        <v>45384</v>
      </c>
      <c r="L14" s="15">
        <f t="shared" si="5"/>
        <v>110</v>
      </c>
      <c r="M14" s="13">
        <f t="shared" si="1"/>
        <v>140</v>
      </c>
      <c r="N14" s="3">
        <v>45414</v>
      </c>
      <c r="O14" s="1">
        <v>70</v>
      </c>
      <c r="P14" s="1">
        <v>80</v>
      </c>
      <c r="Q14" s="1">
        <v>76</v>
      </c>
      <c r="R14" s="1">
        <v>78</v>
      </c>
      <c r="S14" s="1">
        <v>71</v>
      </c>
      <c r="T14" s="1">
        <f t="shared" si="6"/>
        <v>75</v>
      </c>
      <c r="U14" s="1">
        <v>15</v>
      </c>
      <c r="V14" s="1">
        <v>9.5</v>
      </c>
      <c r="W14" s="1">
        <v>12</v>
      </c>
      <c r="X14" s="1">
        <v>13.5</v>
      </c>
      <c r="Y14" s="1">
        <v>4</v>
      </c>
      <c r="Z14" s="1">
        <f t="shared" si="7"/>
        <v>10.8</v>
      </c>
      <c r="AA14" s="1">
        <v>10.5</v>
      </c>
      <c r="AB14" s="1">
        <v>10.5</v>
      </c>
      <c r="AC14" s="1">
        <v>9</v>
      </c>
      <c r="AD14" s="1">
        <v>10</v>
      </c>
      <c r="AE14" s="1">
        <v>12</v>
      </c>
      <c r="AF14" s="1">
        <f t="shared" si="8"/>
        <v>10.4</v>
      </c>
      <c r="AG14" s="1">
        <v>6.5</v>
      </c>
      <c r="AH14" s="1">
        <v>5.5</v>
      </c>
      <c r="AI14" s="1">
        <v>3.4</v>
      </c>
      <c r="AJ14" s="1">
        <v>6.8</v>
      </c>
      <c r="AK14" s="1">
        <v>6.5</v>
      </c>
      <c r="AL14" s="1">
        <f t="shared" si="18"/>
        <v>5.74</v>
      </c>
      <c r="AM14" s="1">
        <v>7</v>
      </c>
      <c r="AN14" s="1">
        <v>11</v>
      </c>
      <c r="AO14" s="1">
        <v>10</v>
      </c>
      <c r="AP14" s="1">
        <v>10.4</v>
      </c>
      <c r="AQ14" s="1">
        <v>12.3</v>
      </c>
      <c r="AR14" s="1">
        <v>16</v>
      </c>
      <c r="AS14" s="1">
        <f t="shared" si="9"/>
        <v>11.940000000000001</v>
      </c>
      <c r="AT14" s="1">
        <v>1</v>
      </c>
      <c r="AU14" s="1">
        <v>0.9</v>
      </c>
      <c r="AV14" s="1">
        <v>0.8</v>
      </c>
      <c r="AW14" s="1">
        <v>1.3</v>
      </c>
      <c r="AX14" s="1">
        <v>1.2</v>
      </c>
      <c r="AY14" s="1">
        <f t="shared" si="10"/>
        <v>1.04</v>
      </c>
      <c r="AZ14" s="1">
        <v>7</v>
      </c>
      <c r="BA14" s="1">
        <v>3</v>
      </c>
      <c r="BB14" s="1">
        <v>4</v>
      </c>
      <c r="BC14" s="1">
        <v>3</v>
      </c>
      <c r="BD14" s="1">
        <v>3</v>
      </c>
      <c r="BE14" s="1">
        <v>6</v>
      </c>
      <c r="BF14" s="1">
        <v>3</v>
      </c>
      <c r="BG14" s="1">
        <v>4</v>
      </c>
      <c r="BH14" s="1">
        <v>5</v>
      </c>
      <c r="BI14" s="1">
        <v>11</v>
      </c>
      <c r="BJ14" s="1">
        <v>10</v>
      </c>
      <c r="BK14" s="1">
        <v>10</v>
      </c>
      <c r="BL14" s="1">
        <v>10</v>
      </c>
      <c r="BM14" s="1">
        <v>9</v>
      </c>
      <c r="BN14" s="1">
        <f t="shared" si="12"/>
        <v>10</v>
      </c>
      <c r="BO14" s="1">
        <v>1</v>
      </c>
      <c r="BP14" s="1">
        <v>0</v>
      </c>
      <c r="BQ14" s="1">
        <v>3</v>
      </c>
      <c r="BR14" s="1">
        <v>3</v>
      </c>
      <c r="BS14" s="1">
        <v>3</v>
      </c>
      <c r="BT14" s="1">
        <v>3</v>
      </c>
      <c r="BU14" s="1">
        <v>2</v>
      </c>
      <c r="BV14" s="1">
        <v>3</v>
      </c>
      <c r="BW14" s="1">
        <v>44</v>
      </c>
      <c r="BX14" s="1">
        <v>34</v>
      </c>
      <c r="BY14" s="1">
        <v>42</v>
      </c>
      <c r="BZ14" s="1">
        <v>34</v>
      </c>
      <c r="CA14" s="1">
        <v>32</v>
      </c>
      <c r="CB14" s="1">
        <v>37</v>
      </c>
      <c r="CC14" s="1">
        <v>2</v>
      </c>
      <c r="CD14" s="1">
        <v>5</v>
      </c>
      <c r="CE14" s="1">
        <v>6.81</v>
      </c>
      <c r="CF14" s="1">
        <v>6.22</v>
      </c>
      <c r="CG14" s="1">
        <v>6.7</v>
      </c>
      <c r="CH14" s="1">
        <v>6</v>
      </c>
      <c r="CI14" s="1">
        <v>6.05</v>
      </c>
      <c r="CJ14" s="1">
        <f t="shared" si="13"/>
        <v>6.3559999999999999</v>
      </c>
      <c r="CK14" s="1">
        <v>3.54</v>
      </c>
      <c r="CL14" s="1">
        <v>3.81</v>
      </c>
      <c r="CM14" s="1">
        <v>3.4</v>
      </c>
      <c r="CN14" s="1">
        <v>3.45</v>
      </c>
      <c r="CO14" s="1">
        <v>3.26</v>
      </c>
      <c r="CP14" s="1">
        <f t="shared" si="14"/>
        <v>3.492</v>
      </c>
      <c r="CQ14" s="1">
        <v>3.16</v>
      </c>
      <c r="CR14" s="1">
        <v>2.44</v>
      </c>
      <c r="CS14" s="1">
        <v>2.91</v>
      </c>
      <c r="CT14" s="1">
        <v>2.9</v>
      </c>
      <c r="CU14" s="1">
        <v>2.89</v>
      </c>
      <c r="CV14" s="1">
        <f t="shared" si="15"/>
        <v>2.8600000000000003</v>
      </c>
      <c r="CW14" s="1">
        <v>41.7</v>
      </c>
      <c r="CX14" s="1">
        <v>9.5</v>
      </c>
      <c r="CY14" s="1">
        <v>0.4</v>
      </c>
      <c r="CZ14" s="1">
        <f t="shared" si="16"/>
        <v>0.88888888888888895</v>
      </c>
      <c r="DA14" s="1">
        <f t="shared" si="2"/>
        <v>0.90500000000000003</v>
      </c>
      <c r="DB14" s="1">
        <f t="shared" si="3"/>
        <v>0.92999357739242139</v>
      </c>
    </row>
    <row r="15" spans="1:106" ht="16" thickBot="1" x14ac:dyDescent="0.4">
      <c r="A15" s="1">
        <v>13</v>
      </c>
      <c r="B15" s="7" t="s">
        <v>138</v>
      </c>
      <c r="C15" s="11" t="s">
        <v>59</v>
      </c>
      <c r="D15" s="10" t="s">
        <v>86</v>
      </c>
      <c r="E15" s="3">
        <v>45289</v>
      </c>
      <c r="F15" s="3">
        <f t="shared" si="17"/>
        <v>45274</v>
      </c>
      <c r="G15" s="1">
        <f t="shared" si="4"/>
        <v>15</v>
      </c>
      <c r="H15" s="1">
        <f t="shared" si="0"/>
        <v>110</v>
      </c>
      <c r="I15" s="1">
        <v>3</v>
      </c>
      <c r="J15" s="3">
        <v>45384</v>
      </c>
      <c r="K15" s="3">
        <v>45387</v>
      </c>
      <c r="L15" s="15">
        <f t="shared" si="5"/>
        <v>113</v>
      </c>
      <c r="M15" s="13">
        <f t="shared" si="1"/>
        <v>140</v>
      </c>
      <c r="N15" s="3">
        <v>45414</v>
      </c>
      <c r="O15" s="1">
        <v>78</v>
      </c>
      <c r="P15" s="1">
        <v>78</v>
      </c>
      <c r="Q15" s="1">
        <v>81.5</v>
      </c>
      <c r="R15" s="1">
        <v>84</v>
      </c>
      <c r="S15" s="1">
        <v>78</v>
      </c>
      <c r="T15" s="1">
        <f t="shared" si="6"/>
        <v>79.900000000000006</v>
      </c>
      <c r="U15" s="1">
        <v>5</v>
      </c>
      <c r="V15" s="1">
        <v>8.5</v>
      </c>
      <c r="W15" s="1">
        <v>5.5</v>
      </c>
      <c r="X15" s="1">
        <v>7</v>
      </c>
      <c r="Y15" s="1">
        <v>9</v>
      </c>
      <c r="Z15" s="1">
        <f t="shared" si="7"/>
        <v>7</v>
      </c>
      <c r="AA15" s="1">
        <v>11</v>
      </c>
      <c r="AB15" s="1">
        <v>10.5</v>
      </c>
      <c r="AC15" s="1">
        <v>13.8</v>
      </c>
      <c r="AD15" s="1">
        <v>13</v>
      </c>
      <c r="AE15" s="1">
        <v>13</v>
      </c>
      <c r="AF15" s="1">
        <f t="shared" si="8"/>
        <v>12.26</v>
      </c>
      <c r="AG15" s="1">
        <v>6.5</v>
      </c>
      <c r="AH15" s="1">
        <v>3</v>
      </c>
      <c r="AI15" s="1">
        <v>5.5</v>
      </c>
      <c r="AJ15" s="1">
        <v>5.6</v>
      </c>
      <c r="AK15" s="1">
        <v>7</v>
      </c>
      <c r="AL15" s="1">
        <f t="shared" si="18"/>
        <v>5.5200000000000005</v>
      </c>
      <c r="AM15" s="1">
        <v>7</v>
      </c>
      <c r="AN15" s="1">
        <v>13</v>
      </c>
      <c r="AO15" s="1">
        <v>10.5</v>
      </c>
      <c r="AP15" s="1">
        <v>13.6</v>
      </c>
      <c r="AQ15" s="1">
        <v>13.4</v>
      </c>
      <c r="AR15" s="1">
        <v>12.5</v>
      </c>
      <c r="AS15" s="1">
        <f t="shared" si="9"/>
        <v>12.6</v>
      </c>
      <c r="AT15" s="1">
        <v>1.3</v>
      </c>
      <c r="AU15" s="1">
        <v>0.9</v>
      </c>
      <c r="AV15" s="1">
        <v>1.2</v>
      </c>
      <c r="AW15" s="1">
        <v>1.3</v>
      </c>
      <c r="AX15" s="1">
        <v>1.3</v>
      </c>
      <c r="AY15" s="1">
        <f t="shared" si="10"/>
        <v>1.2</v>
      </c>
      <c r="AZ15" s="1">
        <v>5</v>
      </c>
      <c r="BA15" s="1">
        <v>3</v>
      </c>
      <c r="BB15" s="1">
        <v>2</v>
      </c>
      <c r="BC15" s="1">
        <v>3</v>
      </c>
      <c r="BD15" s="1">
        <v>4</v>
      </c>
      <c r="BE15" s="1">
        <v>4</v>
      </c>
      <c r="BF15" s="1">
        <v>3</v>
      </c>
      <c r="BG15" s="1">
        <v>3</v>
      </c>
      <c r="BH15" s="1">
        <v>5</v>
      </c>
      <c r="BI15" s="1">
        <v>11</v>
      </c>
      <c r="BJ15" s="1">
        <v>11</v>
      </c>
      <c r="BK15" s="1">
        <v>12</v>
      </c>
      <c r="BL15" s="1">
        <v>10</v>
      </c>
      <c r="BM15" s="1">
        <v>10</v>
      </c>
      <c r="BN15" s="1">
        <v>11</v>
      </c>
      <c r="BO15" s="1">
        <v>1</v>
      </c>
      <c r="BP15" s="1">
        <v>3</v>
      </c>
      <c r="BQ15" s="1">
        <v>3</v>
      </c>
      <c r="BR15" s="1">
        <v>3</v>
      </c>
      <c r="BS15" s="1">
        <v>3</v>
      </c>
      <c r="BT15" s="1">
        <v>3</v>
      </c>
      <c r="BU15" s="1">
        <v>3</v>
      </c>
      <c r="BV15" s="1">
        <f t="shared" si="19"/>
        <v>3</v>
      </c>
      <c r="BW15" s="1">
        <v>44</v>
      </c>
      <c r="BX15" s="1">
        <v>34</v>
      </c>
      <c r="BY15" s="1">
        <v>42</v>
      </c>
      <c r="BZ15" s="1">
        <v>34</v>
      </c>
      <c r="CA15" s="1">
        <v>32</v>
      </c>
      <c r="CB15" s="1">
        <v>37</v>
      </c>
      <c r="CC15" s="1">
        <v>1</v>
      </c>
      <c r="CD15" s="1">
        <v>5</v>
      </c>
      <c r="CE15" s="1">
        <v>6.05</v>
      </c>
      <c r="CF15" s="1">
        <v>6</v>
      </c>
      <c r="CG15" s="1">
        <v>6.26</v>
      </c>
      <c r="CH15" s="1">
        <v>6.28</v>
      </c>
      <c r="CI15" s="1">
        <v>6.03</v>
      </c>
      <c r="CJ15" s="1">
        <f t="shared" si="13"/>
        <v>6.1240000000000006</v>
      </c>
      <c r="CK15" s="1">
        <v>3.45</v>
      </c>
      <c r="CL15" s="1">
        <v>3.35</v>
      </c>
      <c r="CM15" s="1">
        <v>3.5</v>
      </c>
      <c r="CN15" s="1">
        <v>3.59</v>
      </c>
      <c r="CO15" s="1">
        <v>3.35</v>
      </c>
      <c r="CP15" s="1">
        <f t="shared" si="14"/>
        <v>3.4480000000000004</v>
      </c>
      <c r="CQ15" s="1">
        <v>2.85</v>
      </c>
      <c r="CR15" s="1">
        <v>2.82</v>
      </c>
      <c r="CS15" s="1">
        <v>2.74</v>
      </c>
      <c r="CT15" s="1">
        <v>2.84</v>
      </c>
      <c r="CU15" s="1">
        <v>2.94</v>
      </c>
      <c r="CV15" s="1">
        <f t="shared" si="15"/>
        <v>2.8380000000000001</v>
      </c>
      <c r="CW15" s="1">
        <v>39.4</v>
      </c>
      <c r="CX15" s="1">
        <v>9.9</v>
      </c>
      <c r="CY15" s="1">
        <v>0.47499999999999998</v>
      </c>
      <c r="CZ15" s="1">
        <f t="shared" si="16"/>
        <v>1.0555555555555556</v>
      </c>
      <c r="DA15" s="1">
        <f t="shared" si="2"/>
        <v>0.90099999999999991</v>
      </c>
      <c r="DB15" s="1">
        <f t="shared" si="3"/>
        <v>1.0994861913937057</v>
      </c>
    </row>
    <row r="16" spans="1:106" ht="16" thickBot="1" x14ac:dyDescent="0.4">
      <c r="A16" s="1">
        <v>14</v>
      </c>
      <c r="B16" s="7" t="s">
        <v>139</v>
      </c>
      <c r="C16" s="10"/>
      <c r="D16" s="10"/>
      <c r="E16" s="3">
        <v>45289</v>
      </c>
      <c r="F16" s="3">
        <f t="shared" si="17"/>
        <v>45274</v>
      </c>
      <c r="G16" s="1">
        <f t="shared" si="4"/>
        <v>15</v>
      </c>
      <c r="H16" s="1">
        <f t="shared" si="0"/>
        <v>110</v>
      </c>
      <c r="I16" s="1">
        <v>7</v>
      </c>
      <c r="J16" s="3">
        <v>45384</v>
      </c>
      <c r="K16" s="3">
        <v>45387</v>
      </c>
      <c r="L16" s="15">
        <f t="shared" si="5"/>
        <v>113</v>
      </c>
      <c r="M16" s="13">
        <f t="shared" si="1"/>
        <v>140</v>
      </c>
      <c r="N16" s="3">
        <v>45414</v>
      </c>
      <c r="O16" s="1">
        <v>81</v>
      </c>
      <c r="P16" s="1">
        <v>81.5</v>
      </c>
      <c r="Q16" s="1">
        <v>76</v>
      </c>
      <c r="R16" s="1">
        <v>71</v>
      </c>
      <c r="S16" s="1">
        <v>77.5</v>
      </c>
      <c r="T16" s="1">
        <f t="shared" si="6"/>
        <v>77.400000000000006</v>
      </c>
      <c r="U16" s="1">
        <v>5.9</v>
      </c>
      <c r="V16" s="1">
        <v>17.5</v>
      </c>
      <c r="W16" s="1">
        <v>12.5</v>
      </c>
      <c r="X16" s="1">
        <v>15.3</v>
      </c>
      <c r="Y16" s="1">
        <v>20.5</v>
      </c>
      <c r="Z16" s="1">
        <f t="shared" si="7"/>
        <v>14.34</v>
      </c>
      <c r="AA16" s="1">
        <v>11.5</v>
      </c>
      <c r="AB16" s="1">
        <v>11.3</v>
      </c>
      <c r="AC16" s="1">
        <v>10.5</v>
      </c>
      <c r="AD16" s="1">
        <v>10.5</v>
      </c>
      <c r="AE16" s="1">
        <v>10.5</v>
      </c>
      <c r="AF16" s="1">
        <f t="shared" si="8"/>
        <v>10.86</v>
      </c>
      <c r="AG16" s="1">
        <v>6</v>
      </c>
      <c r="AH16" s="1">
        <v>4</v>
      </c>
      <c r="AI16" s="1">
        <v>6</v>
      </c>
      <c r="AJ16" s="1">
        <v>5.3</v>
      </c>
      <c r="AK16" s="1">
        <v>5.4</v>
      </c>
      <c r="AL16" s="1">
        <f t="shared" si="18"/>
        <v>5.3400000000000007</v>
      </c>
      <c r="AM16" s="1">
        <v>7</v>
      </c>
      <c r="AN16" s="1">
        <v>17.5</v>
      </c>
      <c r="AO16" s="1">
        <v>10</v>
      </c>
      <c r="AP16" s="1">
        <v>17.3</v>
      </c>
      <c r="AQ16" s="1">
        <v>20</v>
      </c>
      <c r="AR16" s="1">
        <v>13</v>
      </c>
      <c r="AS16" s="1">
        <f t="shared" si="9"/>
        <v>15.559999999999999</v>
      </c>
      <c r="AT16" s="1">
        <v>1.2</v>
      </c>
      <c r="AU16" s="1">
        <v>1</v>
      </c>
      <c r="AV16" s="1">
        <v>0.7</v>
      </c>
      <c r="AW16" s="1">
        <v>0.9</v>
      </c>
      <c r="AX16" s="1">
        <v>0.8</v>
      </c>
      <c r="AY16" s="1">
        <f t="shared" si="10"/>
        <v>0.92000000000000015</v>
      </c>
      <c r="AZ16" s="1">
        <v>5</v>
      </c>
      <c r="BA16" s="1">
        <v>3</v>
      </c>
      <c r="BB16" s="1">
        <v>8</v>
      </c>
      <c r="BC16" s="1">
        <v>5</v>
      </c>
      <c r="BD16" s="1">
        <v>3</v>
      </c>
      <c r="BE16" s="1">
        <v>1</v>
      </c>
      <c r="BF16" s="1">
        <v>5</v>
      </c>
      <c r="BG16" s="1">
        <v>4</v>
      </c>
      <c r="BH16" s="1">
        <v>7</v>
      </c>
      <c r="BI16" s="1">
        <v>12</v>
      </c>
      <c r="BJ16" s="1">
        <v>11</v>
      </c>
      <c r="BK16" s="1">
        <v>9</v>
      </c>
      <c r="BL16" s="1">
        <v>8</v>
      </c>
      <c r="BM16" s="1">
        <v>10</v>
      </c>
      <c r="BN16" s="1">
        <f t="shared" si="12"/>
        <v>10</v>
      </c>
      <c r="BO16" s="1">
        <v>1</v>
      </c>
      <c r="BP16" s="1">
        <v>0</v>
      </c>
      <c r="BQ16" s="1">
        <v>3</v>
      </c>
      <c r="BR16" s="1">
        <v>3</v>
      </c>
      <c r="BS16" s="1">
        <v>3</v>
      </c>
      <c r="BT16" s="1">
        <v>3</v>
      </c>
      <c r="BU16" s="1">
        <v>2</v>
      </c>
      <c r="BV16" s="1">
        <v>3</v>
      </c>
      <c r="BW16" s="1">
        <v>32</v>
      </c>
      <c r="BX16" s="1">
        <v>48</v>
      </c>
      <c r="BY16" s="1">
        <v>35</v>
      </c>
      <c r="BZ16" s="1">
        <v>45</v>
      </c>
      <c r="CA16" s="1">
        <v>25</v>
      </c>
      <c r="CB16" s="1">
        <f t="shared" si="20"/>
        <v>37</v>
      </c>
      <c r="CC16" s="1">
        <v>1</v>
      </c>
      <c r="CD16" s="1">
        <v>7</v>
      </c>
      <c r="CE16" s="1">
        <v>6.12</v>
      </c>
      <c r="CF16" s="1">
        <v>6.82</v>
      </c>
      <c r="CG16" s="1">
        <v>5.82</v>
      </c>
      <c r="CH16" s="1">
        <v>5.82</v>
      </c>
      <c r="CI16" s="1">
        <v>5.14</v>
      </c>
      <c r="CJ16" s="1">
        <f t="shared" si="13"/>
        <v>5.9440000000000008</v>
      </c>
      <c r="CK16" s="1">
        <v>3.07</v>
      </c>
      <c r="CL16" s="1">
        <v>3.79</v>
      </c>
      <c r="CM16" s="1">
        <v>3.19</v>
      </c>
      <c r="CN16" s="1">
        <v>3.17</v>
      </c>
      <c r="CO16" s="1">
        <v>3.2</v>
      </c>
      <c r="CP16" s="1">
        <f t="shared" si="14"/>
        <v>3.2839999999999998</v>
      </c>
      <c r="CQ16" s="1">
        <v>2.66</v>
      </c>
      <c r="CR16" s="1">
        <v>3.01</v>
      </c>
      <c r="CS16" s="1">
        <v>2.61</v>
      </c>
      <c r="CT16" s="1">
        <v>2.52</v>
      </c>
      <c r="CU16" s="1">
        <v>3.07</v>
      </c>
      <c r="CV16" s="1">
        <f t="shared" si="15"/>
        <v>2.774</v>
      </c>
      <c r="CW16" s="1">
        <v>40.1</v>
      </c>
      <c r="CX16" s="1">
        <v>9</v>
      </c>
      <c r="CY16" s="1">
        <v>0.46500000000000002</v>
      </c>
      <c r="CZ16" s="1">
        <f t="shared" si="16"/>
        <v>1.0333333333333332</v>
      </c>
      <c r="DA16" s="1">
        <f t="shared" si="2"/>
        <v>0.91</v>
      </c>
      <c r="DB16" s="1">
        <f t="shared" si="3"/>
        <v>1.0870905587668593</v>
      </c>
    </row>
    <row r="17" spans="1:106" ht="16" thickBot="1" x14ac:dyDescent="0.4">
      <c r="A17" s="1">
        <v>15</v>
      </c>
      <c r="B17" s="7" t="s">
        <v>140</v>
      </c>
      <c r="C17" s="11" t="s">
        <v>60</v>
      </c>
      <c r="D17" s="10" t="s">
        <v>81</v>
      </c>
      <c r="E17" s="3">
        <v>45289</v>
      </c>
      <c r="F17" s="3">
        <f t="shared" si="17"/>
        <v>45274</v>
      </c>
      <c r="G17" s="1">
        <f t="shared" si="4"/>
        <v>15</v>
      </c>
      <c r="H17" s="1">
        <f t="shared" si="0"/>
        <v>110</v>
      </c>
      <c r="I17" s="1">
        <v>7</v>
      </c>
      <c r="J17" s="3">
        <v>45384</v>
      </c>
      <c r="K17" s="3">
        <v>45390</v>
      </c>
      <c r="L17" s="15">
        <f t="shared" si="5"/>
        <v>116</v>
      </c>
      <c r="M17" s="13">
        <f t="shared" si="1"/>
        <v>142</v>
      </c>
      <c r="N17" s="3">
        <v>45416</v>
      </c>
      <c r="O17" s="1">
        <v>94.5</v>
      </c>
      <c r="P17" s="1">
        <v>86.6</v>
      </c>
      <c r="Q17" s="1">
        <v>77</v>
      </c>
      <c r="R17" s="1">
        <v>76.8</v>
      </c>
      <c r="S17" s="1">
        <v>86</v>
      </c>
      <c r="T17" s="1">
        <f t="shared" si="6"/>
        <v>84.18</v>
      </c>
      <c r="U17" s="1">
        <v>18.5</v>
      </c>
      <c r="V17" s="1">
        <v>21</v>
      </c>
      <c r="W17" s="1">
        <v>15.5</v>
      </c>
      <c r="X17" s="1">
        <v>19</v>
      </c>
      <c r="Y17" s="1">
        <v>23</v>
      </c>
      <c r="Z17" s="1">
        <f t="shared" si="7"/>
        <v>19.399999999999999</v>
      </c>
      <c r="AA17" s="1">
        <v>8.5</v>
      </c>
      <c r="AB17" s="1">
        <v>10.5</v>
      </c>
      <c r="AC17" s="1">
        <v>10.199999999999999</v>
      </c>
      <c r="AD17" s="1">
        <v>8.5</v>
      </c>
      <c r="AE17" s="1">
        <v>10</v>
      </c>
      <c r="AF17" s="1">
        <f t="shared" si="8"/>
        <v>9.5400000000000009</v>
      </c>
      <c r="AG17" s="1">
        <v>6.5</v>
      </c>
      <c r="AH17" s="1">
        <v>5.9</v>
      </c>
      <c r="AI17" s="1">
        <v>4.7</v>
      </c>
      <c r="AJ17" s="1">
        <v>5.5</v>
      </c>
      <c r="AK17" s="1">
        <v>5</v>
      </c>
      <c r="AL17" s="1">
        <f t="shared" si="18"/>
        <v>5.5200000000000005</v>
      </c>
      <c r="AM17" s="1">
        <v>7</v>
      </c>
      <c r="AN17" s="1">
        <v>15</v>
      </c>
      <c r="AO17" s="1">
        <v>10.5</v>
      </c>
      <c r="AP17" s="1">
        <v>15.1</v>
      </c>
      <c r="AQ17" s="1">
        <v>18</v>
      </c>
      <c r="AR17" s="1">
        <v>16</v>
      </c>
      <c r="AS17" s="1">
        <f t="shared" si="9"/>
        <v>14.919999999999998</v>
      </c>
      <c r="AT17" s="1">
        <v>0.6</v>
      </c>
      <c r="AU17" s="1">
        <v>0.9</v>
      </c>
      <c r="AV17" s="1">
        <v>0.7</v>
      </c>
      <c r="AW17" s="1">
        <v>1.2</v>
      </c>
      <c r="AX17" s="1">
        <v>0.8</v>
      </c>
      <c r="AY17" s="1">
        <f t="shared" si="10"/>
        <v>0.84000000000000008</v>
      </c>
      <c r="AZ17" s="1">
        <v>5</v>
      </c>
      <c r="BA17" s="1">
        <v>3</v>
      </c>
      <c r="BB17" s="1">
        <v>4</v>
      </c>
      <c r="BC17" s="1">
        <v>13</v>
      </c>
      <c r="BD17" s="1">
        <v>3</v>
      </c>
      <c r="BE17" s="1">
        <v>3</v>
      </c>
      <c r="BF17" s="1">
        <v>2</v>
      </c>
      <c r="BG17" s="1">
        <f t="shared" si="11"/>
        <v>5</v>
      </c>
      <c r="BH17" s="1">
        <v>5</v>
      </c>
      <c r="BI17" s="1">
        <v>9</v>
      </c>
      <c r="BJ17" s="1">
        <v>10</v>
      </c>
      <c r="BK17" s="1">
        <v>10</v>
      </c>
      <c r="BL17" s="1">
        <v>8</v>
      </c>
      <c r="BM17" s="1">
        <v>9</v>
      </c>
      <c r="BN17" s="1">
        <v>9</v>
      </c>
      <c r="BO17" s="1">
        <v>1</v>
      </c>
      <c r="BP17" s="1">
        <v>0</v>
      </c>
      <c r="BQ17" s="1">
        <v>3</v>
      </c>
      <c r="BR17" s="1">
        <v>3</v>
      </c>
      <c r="BS17" s="1">
        <v>3</v>
      </c>
      <c r="BT17" s="1">
        <v>3</v>
      </c>
      <c r="BU17" s="1">
        <v>2</v>
      </c>
      <c r="BV17" s="1">
        <v>3</v>
      </c>
      <c r="BW17" s="1">
        <v>42</v>
      </c>
      <c r="BX17" s="1">
        <v>44</v>
      </c>
      <c r="BY17" s="1">
        <v>43</v>
      </c>
      <c r="BZ17" s="1">
        <v>25</v>
      </c>
      <c r="CA17" s="1">
        <v>45</v>
      </c>
      <c r="CB17" s="1">
        <v>40</v>
      </c>
      <c r="CC17" s="1">
        <v>1</v>
      </c>
      <c r="CD17" s="1">
        <v>5</v>
      </c>
      <c r="CE17" s="1">
        <v>5.42</v>
      </c>
      <c r="CF17" s="1">
        <v>6.81</v>
      </c>
      <c r="CG17" s="1">
        <v>6.63</v>
      </c>
      <c r="CH17" s="1">
        <v>5.64</v>
      </c>
      <c r="CI17" s="1">
        <v>5.69</v>
      </c>
      <c r="CJ17" s="1">
        <f t="shared" si="13"/>
        <v>6.0380000000000003</v>
      </c>
      <c r="CK17" s="1">
        <v>2.79</v>
      </c>
      <c r="CL17" s="1">
        <v>3.2</v>
      </c>
      <c r="CM17" s="1">
        <v>3.35</v>
      </c>
      <c r="CN17" s="1">
        <v>3.01</v>
      </c>
      <c r="CO17" s="1">
        <v>2.73</v>
      </c>
      <c r="CP17" s="1">
        <f t="shared" si="14"/>
        <v>3.016</v>
      </c>
      <c r="CQ17" s="1">
        <v>2.23</v>
      </c>
      <c r="CR17" s="1">
        <v>2.5</v>
      </c>
      <c r="CS17" s="1">
        <v>3.04</v>
      </c>
      <c r="CT17" s="1">
        <v>2.68</v>
      </c>
      <c r="CU17" s="1">
        <v>2.42</v>
      </c>
      <c r="CV17" s="1">
        <f t="shared" si="15"/>
        <v>2.5740000000000003</v>
      </c>
      <c r="CW17" s="1">
        <v>35.6</v>
      </c>
      <c r="CX17" s="1">
        <v>8.5</v>
      </c>
      <c r="CY17" s="1">
        <v>0.19500000000000001</v>
      </c>
      <c r="CZ17" s="1">
        <f t="shared" si="16"/>
        <v>0.43333333333333335</v>
      </c>
      <c r="DA17" s="1">
        <f t="shared" si="2"/>
        <v>0.91500000000000004</v>
      </c>
      <c r="DB17" s="1">
        <f t="shared" si="3"/>
        <v>0.45838150289017343</v>
      </c>
    </row>
    <row r="18" spans="1:106" ht="16" thickBot="1" x14ac:dyDescent="0.4">
      <c r="A18" s="1">
        <v>16</v>
      </c>
      <c r="B18" s="7" t="s">
        <v>141</v>
      </c>
      <c r="C18" s="11" t="s">
        <v>61</v>
      </c>
      <c r="D18" s="10" t="s">
        <v>81</v>
      </c>
      <c r="E18" s="3">
        <v>45289</v>
      </c>
      <c r="F18" s="3">
        <f t="shared" si="17"/>
        <v>45274</v>
      </c>
      <c r="G18" s="1">
        <f t="shared" si="4"/>
        <v>15</v>
      </c>
      <c r="H18" s="1">
        <f t="shared" si="0"/>
        <v>112</v>
      </c>
      <c r="I18" s="1">
        <v>7</v>
      </c>
      <c r="J18" s="3">
        <v>45386</v>
      </c>
      <c r="K18" s="3">
        <v>45390</v>
      </c>
      <c r="L18" s="15">
        <f t="shared" si="5"/>
        <v>116</v>
      </c>
      <c r="M18" s="13">
        <f t="shared" si="1"/>
        <v>142</v>
      </c>
      <c r="N18" s="3">
        <v>45416</v>
      </c>
      <c r="O18" s="1">
        <v>81.5</v>
      </c>
      <c r="P18" s="1">
        <v>77.5</v>
      </c>
      <c r="Q18" s="1">
        <v>78.5</v>
      </c>
      <c r="R18" s="1">
        <v>79.5</v>
      </c>
      <c r="S18" s="1">
        <v>71.5</v>
      </c>
      <c r="T18" s="1">
        <f t="shared" si="6"/>
        <v>77.7</v>
      </c>
      <c r="U18" s="1">
        <v>9.1999999999999993</v>
      </c>
      <c r="V18" s="1">
        <v>6</v>
      </c>
      <c r="W18" s="1">
        <v>11</v>
      </c>
      <c r="X18" s="1">
        <v>6.3</v>
      </c>
      <c r="Y18" s="1">
        <v>6</v>
      </c>
      <c r="Z18" s="1">
        <f t="shared" si="7"/>
        <v>7.7</v>
      </c>
      <c r="AA18" s="1">
        <v>8.5</v>
      </c>
      <c r="AB18" s="1">
        <v>8.1999999999999993</v>
      </c>
      <c r="AC18" s="1">
        <v>9.5</v>
      </c>
      <c r="AD18" s="1">
        <v>9.4</v>
      </c>
      <c r="AE18" s="1">
        <v>8.4</v>
      </c>
      <c r="AF18" s="1">
        <f t="shared" si="8"/>
        <v>8.8000000000000007</v>
      </c>
      <c r="AG18" s="1">
        <v>5.4</v>
      </c>
      <c r="AH18" s="1">
        <v>5.2</v>
      </c>
      <c r="AI18" s="1">
        <v>6.2</v>
      </c>
      <c r="AJ18" s="1">
        <v>6.3</v>
      </c>
      <c r="AK18" s="1">
        <v>5.4</v>
      </c>
      <c r="AL18" s="1">
        <f t="shared" si="18"/>
        <v>5.7</v>
      </c>
      <c r="AM18" s="1">
        <v>7</v>
      </c>
      <c r="AN18" s="1">
        <v>16</v>
      </c>
      <c r="AO18" s="1">
        <v>14</v>
      </c>
      <c r="AP18" s="1">
        <v>19</v>
      </c>
      <c r="AQ18" s="1">
        <v>12.2</v>
      </c>
      <c r="AR18" s="1">
        <v>14.5</v>
      </c>
      <c r="AS18" s="1">
        <f t="shared" si="9"/>
        <v>15.14</v>
      </c>
      <c r="AT18" s="1">
        <v>1</v>
      </c>
      <c r="AU18" s="1">
        <v>0.8</v>
      </c>
      <c r="AV18" s="1">
        <v>0.6</v>
      </c>
      <c r="AW18" s="1">
        <v>0.6</v>
      </c>
      <c r="AX18" s="1">
        <v>1.3</v>
      </c>
      <c r="AY18" s="1">
        <f t="shared" si="10"/>
        <v>0.86</v>
      </c>
      <c r="AZ18" s="1">
        <v>5</v>
      </c>
      <c r="BA18" s="1">
        <v>3</v>
      </c>
      <c r="BB18" s="1">
        <v>10</v>
      </c>
      <c r="BC18" s="1">
        <v>7</v>
      </c>
      <c r="BD18" s="1">
        <v>2</v>
      </c>
      <c r="BE18" s="1">
        <v>8</v>
      </c>
      <c r="BF18" s="1">
        <v>6</v>
      </c>
      <c r="BG18" s="1">
        <v>7</v>
      </c>
      <c r="BH18" s="1">
        <v>5</v>
      </c>
      <c r="BI18" s="1">
        <v>11</v>
      </c>
      <c r="BJ18" s="1">
        <v>9</v>
      </c>
      <c r="BK18" s="1">
        <v>9</v>
      </c>
      <c r="BL18" s="1">
        <v>9</v>
      </c>
      <c r="BM18" s="1">
        <v>8</v>
      </c>
      <c r="BN18" s="1">
        <v>9</v>
      </c>
      <c r="BO18" s="1">
        <v>1</v>
      </c>
      <c r="BP18" s="1">
        <v>0</v>
      </c>
      <c r="BQ18" s="1">
        <v>3</v>
      </c>
      <c r="BR18" s="1">
        <v>3</v>
      </c>
      <c r="BS18" s="1">
        <v>3</v>
      </c>
      <c r="BT18" s="1">
        <v>3</v>
      </c>
      <c r="BU18" s="1">
        <v>2</v>
      </c>
      <c r="BV18" s="1">
        <v>3</v>
      </c>
      <c r="BW18" s="1">
        <v>36</v>
      </c>
      <c r="BX18" s="1">
        <v>39</v>
      </c>
      <c r="BY18" s="1">
        <v>27</v>
      </c>
      <c r="BZ18" s="1">
        <v>32</v>
      </c>
      <c r="CA18" s="1">
        <v>45</v>
      </c>
      <c r="CB18" s="1">
        <v>36</v>
      </c>
      <c r="CC18" s="1">
        <v>1</v>
      </c>
      <c r="CD18" s="1">
        <v>7</v>
      </c>
      <c r="CE18" s="1">
        <v>5.97</v>
      </c>
      <c r="CF18" s="1">
        <v>6.08</v>
      </c>
      <c r="CG18" s="1">
        <v>6.31</v>
      </c>
      <c r="CH18" s="1">
        <v>5.84</v>
      </c>
      <c r="CI18" s="1">
        <v>5.8</v>
      </c>
      <c r="CJ18" s="1">
        <f t="shared" si="13"/>
        <v>6</v>
      </c>
      <c r="CK18" s="1">
        <v>3.7</v>
      </c>
      <c r="CL18" s="1">
        <v>3.9</v>
      </c>
      <c r="CM18" s="1">
        <v>3.69</v>
      </c>
      <c r="CN18" s="1">
        <v>3.56</v>
      </c>
      <c r="CO18" s="1">
        <v>3.26</v>
      </c>
      <c r="CP18" s="1">
        <f t="shared" si="14"/>
        <v>3.6219999999999999</v>
      </c>
      <c r="CQ18" s="1">
        <v>3.1</v>
      </c>
      <c r="CR18" s="1">
        <v>2.79</v>
      </c>
      <c r="CS18" s="1">
        <v>3.49</v>
      </c>
      <c r="CT18" s="1">
        <v>2.96</v>
      </c>
      <c r="CU18" s="1">
        <v>2.93</v>
      </c>
      <c r="CV18" s="1">
        <f t="shared" si="15"/>
        <v>3.0539999999999998</v>
      </c>
      <c r="CW18" s="1">
        <v>47.8</v>
      </c>
      <c r="CX18" s="1">
        <v>6.7</v>
      </c>
      <c r="CY18" s="1">
        <v>0.85</v>
      </c>
      <c r="CZ18" s="1">
        <f t="shared" si="16"/>
        <v>1.8888888888888888</v>
      </c>
      <c r="DA18" s="1">
        <f t="shared" si="2"/>
        <v>0.93299999999999994</v>
      </c>
      <c r="DB18" s="1">
        <f t="shared" si="3"/>
        <v>2.0373795761078997</v>
      </c>
    </row>
    <row r="19" spans="1:106" ht="16" thickBot="1" x14ac:dyDescent="0.4">
      <c r="A19" s="1">
        <v>17</v>
      </c>
      <c r="B19" s="7" t="s">
        <v>142</v>
      </c>
      <c r="C19" s="10"/>
      <c r="D19" s="10"/>
      <c r="E19" s="3">
        <v>45289</v>
      </c>
      <c r="F19" s="3">
        <f t="shared" si="17"/>
        <v>45274</v>
      </c>
      <c r="G19" s="1">
        <f t="shared" si="4"/>
        <v>15</v>
      </c>
      <c r="H19" s="1">
        <f t="shared" si="0"/>
        <v>103</v>
      </c>
      <c r="I19" s="1">
        <v>7</v>
      </c>
      <c r="J19" s="3">
        <v>45377</v>
      </c>
      <c r="K19" s="3">
        <v>45382</v>
      </c>
      <c r="L19" s="15">
        <f t="shared" si="5"/>
        <v>108</v>
      </c>
      <c r="M19" s="13">
        <f t="shared" si="1"/>
        <v>138</v>
      </c>
      <c r="N19" s="3">
        <v>45412</v>
      </c>
      <c r="O19" s="1">
        <v>103</v>
      </c>
      <c r="P19" s="1">
        <v>100</v>
      </c>
      <c r="Q19" s="1">
        <v>92</v>
      </c>
      <c r="R19" s="1">
        <v>100</v>
      </c>
      <c r="S19" s="1">
        <v>100</v>
      </c>
      <c r="T19" s="1">
        <f t="shared" si="6"/>
        <v>99</v>
      </c>
      <c r="U19" s="1">
        <v>16</v>
      </c>
      <c r="V19" s="1">
        <v>20.5</v>
      </c>
      <c r="W19" s="1">
        <v>19.5</v>
      </c>
      <c r="X19" s="1">
        <v>12</v>
      </c>
      <c r="Y19" s="1">
        <v>16.5</v>
      </c>
      <c r="Z19" s="1">
        <f t="shared" si="7"/>
        <v>16.899999999999999</v>
      </c>
      <c r="AA19" s="1">
        <v>7.5</v>
      </c>
      <c r="AB19" s="1">
        <v>9.4</v>
      </c>
      <c r="AC19" s="1">
        <v>8</v>
      </c>
      <c r="AD19" s="1">
        <v>8</v>
      </c>
      <c r="AE19" s="1">
        <v>8</v>
      </c>
      <c r="AF19" s="1">
        <f t="shared" si="8"/>
        <v>8.18</v>
      </c>
      <c r="AL19" s="1" t="s">
        <v>43</v>
      </c>
      <c r="AM19" s="1">
        <v>0</v>
      </c>
      <c r="AN19" s="1">
        <v>16.899999999999999</v>
      </c>
      <c r="AO19" s="1">
        <v>14.6</v>
      </c>
      <c r="AP19" s="1">
        <v>12.2</v>
      </c>
      <c r="AQ19" s="1">
        <v>14.5</v>
      </c>
      <c r="AR19" s="1">
        <v>19</v>
      </c>
      <c r="AS19" s="1">
        <f t="shared" si="9"/>
        <v>15.440000000000001</v>
      </c>
      <c r="AT19" s="1">
        <v>1</v>
      </c>
      <c r="AU19" s="1">
        <v>0.8</v>
      </c>
      <c r="AV19" s="1">
        <v>0.9</v>
      </c>
      <c r="AW19" s="1">
        <v>0.8</v>
      </c>
      <c r="AX19" s="1">
        <v>1</v>
      </c>
      <c r="AY19" s="1">
        <f t="shared" si="10"/>
        <v>0.9</v>
      </c>
      <c r="AZ19" s="1">
        <v>3</v>
      </c>
      <c r="BA19" s="1">
        <v>3</v>
      </c>
      <c r="BB19" s="1">
        <v>5</v>
      </c>
      <c r="BC19" s="1">
        <v>4</v>
      </c>
      <c r="BD19" s="1">
        <v>2</v>
      </c>
      <c r="BE19" s="1">
        <v>15</v>
      </c>
      <c r="BF19" s="1">
        <v>14</v>
      </c>
      <c r="BG19" s="1">
        <f t="shared" si="11"/>
        <v>8</v>
      </c>
      <c r="BH19" s="1">
        <v>7</v>
      </c>
      <c r="BI19" s="1">
        <v>10</v>
      </c>
      <c r="BJ19" s="1">
        <v>9</v>
      </c>
      <c r="BK19" s="1">
        <v>8</v>
      </c>
      <c r="BL19" s="1">
        <v>8</v>
      </c>
      <c r="BM19" s="1">
        <v>10</v>
      </c>
      <c r="BN19" s="1">
        <f t="shared" si="12"/>
        <v>9</v>
      </c>
      <c r="BO19" s="1">
        <v>1</v>
      </c>
      <c r="BP19" s="1">
        <v>0</v>
      </c>
      <c r="BQ19" s="1">
        <v>3</v>
      </c>
      <c r="BR19" s="1">
        <v>2</v>
      </c>
      <c r="BS19" s="1">
        <v>3</v>
      </c>
      <c r="BT19" s="1">
        <v>3</v>
      </c>
      <c r="BU19" s="1">
        <v>3</v>
      </c>
      <c r="BV19" s="1">
        <v>3</v>
      </c>
      <c r="BW19" s="1">
        <v>31</v>
      </c>
      <c r="BX19" s="1">
        <v>31</v>
      </c>
      <c r="BY19" s="1">
        <v>35</v>
      </c>
      <c r="BZ19" s="1">
        <v>45</v>
      </c>
      <c r="CA19" s="1">
        <v>29</v>
      </c>
      <c r="CB19" s="1">
        <v>34</v>
      </c>
      <c r="CC19" s="1">
        <v>1</v>
      </c>
      <c r="CD19" s="1">
        <v>5</v>
      </c>
      <c r="CE19" s="1">
        <v>6.96</v>
      </c>
      <c r="CF19" s="1">
        <v>6.5</v>
      </c>
      <c r="CG19" s="1">
        <v>5.84</v>
      </c>
      <c r="CH19" s="1">
        <v>5.44</v>
      </c>
      <c r="CI19" s="1">
        <v>5.27</v>
      </c>
      <c r="CJ19" s="1">
        <f t="shared" si="13"/>
        <v>6.0020000000000007</v>
      </c>
      <c r="CK19" s="1">
        <v>3.56</v>
      </c>
      <c r="CL19" s="1">
        <v>3.44</v>
      </c>
      <c r="CM19" s="1">
        <v>3.48</v>
      </c>
      <c r="CN19" s="1">
        <v>3.17</v>
      </c>
      <c r="CO19" s="1">
        <v>3.55</v>
      </c>
      <c r="CP19" s="1">
        <f t="shared" si="14"/>
        <v>3.44</v>
      </c>
      <c r="CQ19" s="1">
        <v>2.5099999999999998</v>
      </c>
      <c r="CR19" s="1">
        <v>3.12</v>
      </c>
      <c r="CS19" s="1">
        <v>2.73</v>
      </c>
      <c r="CT19" s="1">
        <v>2.5</v>
      </c>
      <c r="CU19" s="1">
        <v>2.73</v>
      </c>
      <c r="CV19" s="1">
        <f t="shared" si="15"/>
        <v>2.718</v>
      </c>
      <c r="CW19" s="1">
        <v>40.4</v>
      </c>
      <c r="CX19" s="1">
        <v>8.6</v>
      </c>
      <c r="CY19" s="1">
        <v>0.37</v>
      </c>
      <c r="CZ19" s="1">
        <f t="shared" si="16"/>
        <v>0.82222222222222219</v>
      </c>
      <c r="DA19" s="1">
        <f t="shared" si="2"/>
        <v>0.91400000000000003</v>
      </c>
      <c r="DB19" s="1">
        <f t="shared" si="3"/>
        <v>0.86879897238278747</v>
      </c>
    </row>
    <row r="20" spans="1:106" ht="16" thickBot="1" x14ac:dyDescent="0.4">
      <c r="A20" s="1">
        <v>18</v>
      </c>
      <c r="B20" s="7" t="s">
        <v>143</v>
      </c>
      <c r="C20" s="10"/>
      <c r="D20" s="10"/>
      <c r="E20" s="3">
        <v>45289</v>
      </c>
      <c r="F20" s="3">
        <f t="shared" si="17"/>
        <v>45274</v>
      </c>
      <c r="G20" s="1">
        <f t="shared" si="4"/>
        <v>15</v>
      </c>
      <c r="H20" s="1">
        <f t="shared" si="0"/>
        <v>99</v>
      </c>
      <c r="I20" s="1">
        <v>7</v>
      </c>
      <c r="J20" s="3">
        <v>45373</v>
      </c>
      <c r="K20" s="3">
        <v>45380</v>
      </c>
      <c r="L20" s="15">
        <f t="shared" si="5"/>
        <v>106</v>
      </c>
      <c r="M20" s="13">
        <f t="shared" si="1"/>
        <v>132</v>
      </c>
      <c r="N20" s="3">
        <v>45406</v>
      </c>
      <c r="O20" s="1">
        <v>93</v>
      </c>
      <c r="P20" s="1">
        <v>86</v>
      </c>
      <c r="Q20" s="1">
        <v>84.5</v>
      </c>
      <c r="R20" s="1">
        <v>93</v>
      </c>
      <c r="S20" s="1">
        <v>91</v>
      </c>
      <c r="T20" s="1">
        <f t="shared" si="6"/>
        <v>89.5</v>
      </c>
      <c r="U20" s="1">
        <v>16</v>
      </c>
      <c r="V20" s="1">
        <v>20.5</v>
      </c>
      <c r="W20" s="1">
        <v>17.5</v>
      </c>
      <c r="X20" s="1">
        <v>16.5</v>
      </c>
      <c r="Y20" s="1">
        <v>17</v>
      </c>
      <c r="Z20" s="1">
        <f t="shared" si="7"/>
        <v>17.5</v>
      </c>
      <c r="AA20" s="1">
        <v>10</v>
      </c>
      <c r="AB20" s="1">
        <v>9.6</v>
      </c>
      <c r="AC20" s="1">
        <v>8.9</v>
      </c>
      <c r="AD20" s="1">
        <v>8.9</v>
      </c>
      <c r="AE20" s="1">
        <v>9.5</v>
      </c>
      <c r="AF20" s="1">
        <f t="shared" si="8"/>
        <v>9.379999999999999</v>
      </c>
      <c r="AG20" s="1">
        <v>4.4000000000000004</v>
      </c>
      <c r="AH20" s="1">
        <v>3.5</v>
      </c>
      <c r="AI20" s="1">
        <v>3</v>
      </c>
      <c r="AJ20" s="1">
        <v>5.6</v>
      </c>
      <c r="AK20" s="1">
        <v>5.6</v>
      </c>
      <c r="AL20" s="1">
        <f t="shared" si="18"/>
        <v>4.42</v>
      </c>
      <c r="AM20" s="1">
        <v>7</v>
      </c>
      <c r="AN20" s="1">
        <v>12.9</v>
      </c>
      <c r="AO20" s="1">
        <v>17.600000000000001</v>
      </c>
      <c r="AP20" s="1">
        <v>17</v>
      </c>
      <c r="AQ20" s="1">
        <v>17</v>
      </c>
      <c r="AR20" s="1">
        <v>15.3</v>
      </c>
      <c r="AS20" s="1">
        <f t="shared" si="9"/>
        <v>15.959999999999999</v>
      </c>
      <c r="AT20" s="1">
        <v>0.9</v>
      </c>
      <c r="AU20" s="1">
        <v>0.8</v>
      </c>
      <c r="AV20" s="1">
        <v>0.9</v>
      </c>
      <c r="AW20" s="1">
        <v>0.9</v>
      </c>
      <c r="AX20" s="1">
        <v>1</v>
      </c>
      <c r="AY20" s="1">
        <f t="shared" si="10"/>
        <v>0.9</v>
      </c>
      <c r="AZ20" s="1">
        <v>5</v>
      </c>
      <c r="BA20" s="1">
        <v>3</v>
      </c>
      <c r="BB20" s="1">
        <v>9</v>
      </c>
      <c r="BC20" s="1">
        <v>3</v>
      </c>
      <c r="BD20" s="1">
        <v>9</v>
      </c>
      <c r="BE20" s="1">
        <v>15</v>
      </c>
      <c r="BF20" s="1">
        <v>4</v>
      </c>
      <c r="BG20" s="1">
        <f t="shared" si="11"/>
        <v>8</v>
      </c>
      <c r="BH20" s="1">
        <v>3</v>
      </c>
      <c r="BI20" s="1">
        <v>8</v>
      </c>
      <c r="BJ20" s="1">
        <v>8</v>
      </c>
      <c r="BK20" s="1">
        <v>9</v>
      </c>
      <c r="BL20" s="1">
        <v>9</v>
      </c>
      <c r="BM20" s="1">
        <v>10</v>
      </c>
      <c r="BN20" s="1">
        <v>9</v>
      </c>
      <c r="BO20" s="1">
        <v>1</v>
      </c>
      <c r="BP20" s="1">
        <v>3</v>
      </c>
      <c r="BQ20" s="1">
        <v>3</v>
      </c>
      <c r="BR20" s="1">
        <v>3</v>
      </c>
      <c r="BS20" s="1">
        <v>2</v>
      </c>
      <c r="BT20" s="1">
        <v>3</v>
      </c>
      <c r="BU20" s="1">
        <v>3</v>
      </c>
      <c r="BV20" s="1">
        <v>3</v>
      </c>
      <c r="BW20" s="1">
        <v>35</v>
      </c>
      <c r="BX20" s="1">
        <v>29</v>
      </c>
      <c r="BY20" s="1">
        <v>30</v>
      </c>
      <c r="BZ20" s="1">
        <v>40</v>
      </c>
      <c r="CA20" s="1">
        <v>26</v>
      </c>
      <c r="CB20" s="1">
        <f t="shared" si="20"/>
        <v>32</v>
      </c>
      <c r="CC20" s="1">
        <v>1</v>
      </c>
      <c r="CD20" s="1">
        <v>5</v>
      </c>
      <c r="CE20" s="1">
        <v>7.1</v>
      </c>
      <c r="CF20" s="1">
        <v>7.11</v>
      </c>
      <c r="CG20" s="1">
        <v>6.54</v>
      </c>
      <c r="CH20" s="1">
        <v>6.65</v>
      </c>
      <c r="CI20" s="1">
        <v>6.58</v>
      </c>
      <c r="CJ20" s="1">
        <f t="shared" si="13"/>
        <v>6.7959999999999994</v>
      </c>
      <c r="CK20" s="1">
        <v>3.56</v>
      </c>
      <c r="CL20" s="1">
        <v>3.54</v>
      </c>
      <c r="CM20" s="1">
        <v>3.57</v>
      </c>
      <c r="CN20" s="1">
        <v>3.48</v>
      </c>
      <c r="CO20" s="1">
        <v>3.4</v>
      </c>
      <c r="CP20" s="1">
        <f t="shared" si="14"/>
        <v>3.5100000000000002</v>
      </c>
      <c r="CQ20" s="1">
        <v>3.16</v>
      </c>
      <c r="CR20" s="1">
        <v>2.73</v>
      </c>
      <c r="CS20" s="1">
        <v>2.66</v>
      </c>
      <c r="CT20" s="1">
        <v>2.9</v>
      </c>
      <c r="CU20" s="1">
        <v>2.9</v>
      </c>
      <c r="CV20" s="1">
        <f t="shared" si="15"/>
        <v>2.87</v>
      </c>
      <c r="CW20" s="1">
        <v>44.6</v>
      </c>
      <c r="CX20" s="1">
        <v>9.5</v>
      </c>
      <c r="CY20" s="1">
        <v>0.22500000000000001</v>
      </c>
      <c r="CZ20" s="1">
        <f t="shared" si="16"/>
        <v>0.5</v>
      </c>
      <c r="DA20" s="1">
        <f t="shared" si="2"/>
        <v>0.90500000000000003</v>
      </c>
      <c r="DB20" s="1">
        <f t="shared" si="3"/>
        <v>0.52312138728323698</v>
      </c>
    </row>
    <row r="21" spans="1:106" ht="16" thickBot="1" x14ac:dyDescent="0.4">
      <c r="A21" s="1">
        <v>19</v>
      </c>
      <c r="B21" s="7" t="s">
        <v>144</v>
      </c>
      <c r="C21" s="11" t="s">
        <v>52</v>
      </c>
      <c r="D21" s="10" t="s">
        <v>84</v>
      </c>
      <c r="E21" s="3">
        <v>45289</v>
      </c>
      <c r="F21" s="3">
        <f t="shared" si="17"/>
        <v>45274</v>
      </c>
      <c r="G21" s="1">
        <f t="shared" si="4"/>
        <v>15</v>
      </c>
      <c r="H21" s="1">
        <f t="shared" si="0"/>
        <v>102</v>
      </c>
      <c r="I21" s="1">
        <v>7</v>
      </c>
      <c r="J21" s="3">
        <v>45376</v>
      </c>
      <c r="K21" s="3">
        <v>45382</v>
      </c>
      <c r="L21" s="15">
        <f t="shared" si="5"/>
        <v>108</v>
      </c>
      <c r="M21" s="13">
        <f t="shared" si="1"/>
        <v>134</v>
      </c>
      <c r="N21" s="3">
        <v>45408</v>
      </c>
      <c r="O21" s="1">
        <v>106</v>
      </c>
      <c r="P21" s="1">
        <v>110</v>
      </c>
      <c r="Q21" s="1">
        <v>110.4</v>
      </c>
      <c r="R21" s="1">
        <v>115.5</v>
      </c>
      <c r="S21" s="1">
        <v>125.5</v>
      </c>
      <c r="T21" s="1">
        <f t="shared" si="6"/>
        <v>113.47999999999999</v>
      </c>
      <c r="U21" s="1">
        <v>20</v>
      </c>
      <c r="V21" s="1">
        <v>26</v>
      </c>
      <c r="W21" s="1">
        <v>28</v>
      </c>
      <c r="X21" s="1">
        <v>24.5</v>
      </c>
      <c r="Y21" s="1">
        <v>23.5</v>
      </c>
      <c r="Z21" s="1">
        <f t="shared" si="7"/>
        <v>24.4</v>
      </c>
      <c r="AA21" s="1">
        <v>9</v>
      </c>
      <c r="AB21" s="1">
        <v>9.5</v>
      </c>
      <c r="AC21" s="1">
        <v>7.5</v>
      </c>
      <c r="AD21" s="1">
        <v>8</v>
      </c>
      <c r="AE21" s="1">
        <v>7.8</v>
      </c>
      <c r="AF21" s="1">
        <f t="shared" si="8"/>
        <v>8.36</v>
      </c>
      <c r="AL21" s="1" t="s">
        <v>43</v>
      </c>
      <c r="AM21" s="1">
        <v>0</v>
      </c>
      <c r="AN21" s="1">
        <v>14.5</v>
      </c>
      <c r="AO21" s="1">
        <v>14</v>
      </c>
      <c r="AP21" s="1">
        <v>16.399999999999999</v>
      </c>
      <c r="AQ21" s="1">
        <v>15.8</v>
      </c>
      <c r="AR21" s="1">
        <v>16.399999999999999</v>
      </c>
      <c r="AS21" s="1">
        <f t="shared" si="9"/>
        <v>15.419999999999998</v>
      </c>
      <c r="AT21" s="1">
        <v>1</v>
      </c>
      <c r="AU21" s="1">
        <v>0.8</v>
      </c>
      <c r="AV21" s="1">
        <v>1</v>
      </c>
      <c r="AW21" s="1">
        <v>0.8</v>
      </c>
      <c r="AX21" s="1">
        <v>0.9</v>
      </c>
      <c r="AY21" s="1">
        <f t="shared" si="10"/>
        <v>0.9</v>
      </c>
      <c r="AZ21" s="1">
        <v>3</v>
      </c>
      <c r="BA21" s="1">
        <v>3</v>
      </c>
      <c r="BB21" s="1">
        <v>7</v>
      </c>
      <c r="BC21" s="1">
        <v>11</v>
      </c>
      <c r="BD21" s="1">
        <v>7</v>
      </c>
      <c r="BE21" s="1">
        <v>7</v>
      </c>
      <c r="BF21" s="1">
        <v>5</v>
      </c>
      <c r="BG21" s="1">
        <v>7</v>
      </c>
      <c r="BH21" s="1">
        <v>9</v>
      </c>
      <c r="BI21" s="1">
        <v>11</v>
      </c>
      <c r="BJ21" s="1">
        <v>10</v>
      </c>
      <c r="BK21" s="1">
        <v>10</v>
      </c>
      <c r="BL21" s="1">
        <v>9</v>
      </c>
      <c r="BM21" s="1">
        <v>9</v>
      </c>
      <c r="BN21" s="1">
        <v>10</v>
      </c>
      <c r="BO21" s="1">
        <v>1</v>
      </c>
      <c r="BP21" s="1">
        <v>0</v>
      </c>
      <c r="BQ21" s="1">
        <v>3</v>
      </c>
      <c r="BR21" s="1">
        <v>3</v>
      </c>
      <c r="BS21" s="1">
        <v>3</v>
      </c>
      <c r="BT21" s="1">
        <v>3</v>
      </c>
      <c r="BU21" s="1">
        <v>2</v>
      </c>
      <c r="BV21" s="1">
        <v>3</v>
      </c>
      <c r="BW21" s="1">
        <v>37</v>
      </c>
      <c r="BX21" s="1">
        <v>38</v>
      </c>
      <c r="BY21" s="1">
        <v>43</v>
      </c>
      <c r="BZ21" s="1">
        <v>25</v>
      </c>
      <c r="CA21" s="1">
        <v>45</v>
      </c>
      <c r="CB21" s="1">
        <v>38</v>
      </c>
      <c r="CC21" s="1">
        <v>1</v>
      </c>
      <c r="CD21" s="1">
        <v>5</v>
      </c>
      <c r="CE21" s="1">
        <v>6.36</v>
      </c>
      <c r="CF21" s="1">
        <v>6.57</v>
      </c>
      <c r="CG21" s="1">
        <v>6</v>
      </c>
      <c r="CH21" s="1">
        <v>6.3</v>
      </c>
      <c r="CI21" s="1">
        <v>5.47</v>
      </c>
      <c r="CJ21" s="1">
        <f t="shared" si="13"/>
        <v>6.14</v>
      </c>
      <c r="CK21" s="1">
        <v>3.54</v>
      </c>
      <c r="CL21" s="1">
        <v>3.31</v>
      </c>
      <c r="CM21" s="1">
        <v>3.26</v>
      </c>
      <c r="CN21" s="1">
        <v>3.51</v>
      </c>
      <c r="CO21" s="1">
        <v>3.25</v>
      </c>
      <c r="CP21" s="1">
        <f t="shared" si="14"/>
        <v>3.3739999999999997</v>
      </c>
      <c r="CQ21" s="1">
        <v>2.94</v>
      </c>
      <c r="CR21" s="1">
        <v>2.94</v>
      </c>
      <c r="CS21" s="1">
        <v>2.54</v>
      </c>
      <c r="CT21" s="1">
        <v>2.0099999999999998</v>
      </c>
      <c r="CU21" s="1">
        <v>2.33</v>
      </c>
      <c r="CV21" s="1">
        <f t="shared" si="15"/>
        <v>2.552</v>
      </c>
      <c r="CW21" s="1">
        <v>35.9</v>
      </c>
      <c r="CX21" s="1">
        <v>9.1</v>
      </c>
      <c r="CY21" s="1">
        <v>0.32500000000000001</v>
      </c>
      <c r="CZ21" s="1">
        <f t="shared" si="16"/>
        <v>0.72222222222222232</v>
      </c>
      <c r="DA21" s="1">
        <f t="shared" si="2"/>
        <v>0.90900000000000003</v>
      </c>
      <c r="DB21" s="1">
        <f t="shared" si="3"/>
        <v>0.75895953757225443</v>
      </c>
    </row>
    <row r="22" spans="1:106" ht="16" thickBot="1" x14ac:dyDescent="0.4">
      <c r="A22" s="1">
        <v>20</v>
      </c>
      <c r="B22" s="7" t="s">
        <v>145</v>
      </c>
      <c r="C22" s="11" t="s">
        <v>52</v>
      </c>
      <c r="D22" s="10" t="s">
        <v>87</v>
      </c>
      <c r="E22" s="3">
        <v>45289</v>
      </c>
      <c r="F22" s="3">
        <f t="shared" si="17"/>
        <v>45274</v>
      </c>
      <c r="G22" s="1">
        <f t="shared" si="4"/>
        <v>15</v>
      </c>
      <c r="H22" s="1">
        <f t="shared" si="0"/>
        <v>125</v>
      </c>
      <c r="I22" s="1">
        <v>5</v>
      </c>
      <c r="J22" s="3">
        <v>45399</v>
      </c>
      <c r="K22" s="3">
        <v>45409</v>
      </c>
      <c r="L22" s="15">
        <f t="shared" si="5"/>
        <v>135</v>
      </c>
      <c r="M22" s="13">
        <f t="shared" si="1"/>
        <v>161</v>
      </c>
      <c r="N22" s="3">
        <v>45435</v>
      </c>
      <c r="O22" s="1">
        <v>66</v>
      </c>
      <c r="P22" s="1">
        <v>64.5</v>
      </c>
      <c r="Q22" s="1">
        <v>70</v>
      </c>
      <c r="R22" s="1">
        <v>71</v>
      </c>
      <c r="S22" s="1">
        <v>57</v>
      </c>
      <c r="T22" s="1">
        <f t="shared" si="6"/>
        <v>65.7</v>
      </c>
      <c r="U22" s="1">
        <v>12.6</v>
      </c>
      <c r="V22" s="1">
        <v>11</v>
      </c>
      <c r="W22" s="1">
        <v>12</v>
      </c>
      <c r="X22" s="1">
        <v>11</v>
      </c>
      <c r="Y22" s="1">
        <v>14</v>
      </c>
      <c r="Z22" s="1">
        <f t="shared" si="7"/>
        <v>12.120000000000001</v>
      </c>
      <c r="AA22" s="1">
        <v>9</v>
      </c>
      <c r="AB22" s="1">
        <v>9</v>
      </c>
      <c r="AC22" s="1">
        <v>7.5</v>
      </c>
      <c r="AD22" s="1">
        <v>11</v>
      </c>
      <c r="AE22" s="1">
        <v>11</v>
      </c>
      <c r="AF22" s="1">
        <f t="shared" si="8"/>
        <v>9.5</v>
      </c>
      <c r="AG22" s="1">
        <v>8</v>
      </c>
      <c r="AH22" s="1">
        <v>9</v>
      </c>
      <c r="AI22" s="1">
        <v>9</v>
      </c>
      <c r="AJ22" s="1">
        <v>10.199999999999999</v>
      </c>
      <c r="AK22" s="1">
        <v>8.5</v>
      </c>
      <c r="AL22" s="1">
        <f t="shared" si="18"/>
        <v>8.9400000000000013</v>
      </c>
      <c r="AM22" s="1">
        <v>7</v>
      </c>
      <c r="AN22" s="1">
        <v>19</v>
      </c>
      <c r="AO22" s="1">
        <v>20</v>
      </c>
      <c r="AP22" s="1">
        <v>17</v>
      </c>
      <c r="AQ22" s="1">
        <v>18</v>
      </c>
      <c r="AR22" s="1">
        <v>22</v>
      </c>
      <c r="AS22" s="1">
        <f t="shared" si="9"/>
        <v>19.2</v>
      </c>
      <c r="AT22" s="1">
        <v>1.1000000000000001</v>
      </c>
      <c r="AU22" s="1">
        <v>1.2</v>
      </c>
      <c r="AV22" s="1">
        <v>1</v>
      </c>
      <c r="AW22" s="1">
        <v>1.3</v>
      </c>
      <c r="AX22" s="1">
        <v>1.2</v>
      </c>
      <c r="AY22" s="1">
        <f t="shared" si="10"/>
        <v>1.1599999999999999</v>
      </c>
      <c r="AZ22" s="1">
        <v>7</v>
      </c>
      <c r="BA22" s="1">
        <v>3</v>
      </c>
      <c r="BB22" s="1">
        <v>4</v>
      </c>
      <c r="BC22" s="1">
        <v>6</v>
      </c>
      <c r="BD22" s="1">
        <v>8</v>
      </c>
      <c r="BE22" s="1">
        <v>4</v>
      </c>
      <c r="BF22" s="1">
        <v>8</v>
      </c>
      <c r="BG22" s="1">
        <f t="shared" si="11"/>
        <v>6</v>
      </c>
      <c r="BH22" s="1">
        <v>7</v>
      </c>
      <c r="BI22" s="1">
        <v>12</v>
      </c>
      <c r="BJ22" s="1">
        <v>9</v>
      </c>
      <c r="BK22" s="1">
        <v>10</v>
      </c>
      <c r="BL22" s="1">
        <v>10</v>
      </c>
      <c r="BM22" s="1">
        <v>11</v>
      </c>
      <c r="BN22" s="1">
        <v>10</v>
      </c>
      <c r="BO22" s="1">
        <v>1</v>
      </c>
      <c r="BP22" s="1">
        <v>0</v>
      </c>
      <c r="BQ22" s="1">
        <v>3</v>
      </c>
      <c r="BR22" s="1">
        <v>3</v>
      </c>
      <c r="BS22" s="1">
        <v>3</v>
      </c>
      <c r="BT22" s="1">
        <v>3</v>
      </c>
      <c r="BU22" s="1">
        <v>4</v>
      </c>
      <c r="BV22" s="1">
        <v>3</v>
      </c>
      <c r="BW22" s="1">
        <v>64</v>
      </c>
      <c r="BX22" s="1">
        <v>57</v>
      </c>
      <c r="BY22" s="1">
        <v>39</v>
      </c>
      <c r="BZ22" s="1">
        <v>44</v>
      </c>
      <c r="CA22" s="1">
        <v>48</v>
      </c>
      <c r="CB22" s="1">
        <v>50</v>
      </c>
      <c r="CC22" s="1">
        <v>1</v>
      </c>
      <c r="CD22" s="1">
        <v>7</v>
      </c>
      <c r="CE22" s="1">
        <v>6.34</v>
      </c>
      <c r="CF22" s="1">
        <v>6.44</v>
      </c>
      <c r="CG22" s="1">
        <v>6.56</v>
      </c>
      <c r="CH22" s="1">
        <v>6.04</v>
      </c>
      <c r="CI22" s="1">
        <v>5.95</v>
      </c>
      <c r="CJ22" s="1">
        <f t="shared" si="13"/>
        <v>6.266</v>
      </c>
      <c r="CK22" s="1">
        <v>3.61</v>
      </c>
      <c r="CL22" s="1">
        <v>3.42</v>
      </c>
      <c r="CM22" s="1">
        <v>3.21</v>
      </c>
      <c r="CN22" s="1">
        <v>3.64</v>
      </c>
      <c r="CO22" s="1">
        <v>3.4</v>
      </c>
      <c r="CP22" s="1">
        <f t="shared" si="14"/>
        <v>3.4559999999999995</v>
      </c>
      <c r="CQ22" s="1">
        <v>2.99</v>
      </c>
      <c r="CR22" s="1">
        <v>3.52</v>
      </c>
      <c r="CS22" s="1">
        <v>3.02</v>
      </c>
      <c r="CT22" s="1">
        <v>3.43</v>
      </c>
      <c r="CU22" s="1">
        <v>3.2</v>
      </c>
      <c r="CV22" s="1">
        <f t="shared" si="15"/>
        <v>3.2320000000000002</v>
      </c>
      <c r="CW22" s="1">
        <v>32.5</v>
      </c>
      <c r="CX22" s="1">
        <v>8.8000000000000007</v>
      </c>
      <c r="CY22" s="1">
        <v>0.24</v>
      </c>
      <c r="CZ22" s="1">
        <f t="shared" si="16"/>
        <v>0.53333333333333333</v>
      </c>
      <c r="DA22" s="1">
        <f t="shared" si="2"/>
        <v>0.91200000000000003</v>
      </c>
      <c r="DB22" s="1">
        <f t="shared" si="3"/>
        <v>0.56231213872832375</v>
      </c>
    </row>
    <row r="23" spans="1:106" ht="16" thickBot="1" x14ac:dyDescent="0.4">
      <c r="A23" s="1">
        <v>21</v>
      </c>
      <c r="B23" s="7" t="s">
        <v>146</v>
      </c>
      <c r="C23" s="11" t="s">
        <v>52</v>
      </c>
      <c r="D23" s="10" t="s">
        <v>88</v>
      </c>
      <c r="E23" s="3">
        <v>45289</v>
      </c>
      <c r="F23" s="3">
        <f t="shared" si="17"/>
        <v>45274</v>
      </c>
      <c r="G23" s="1">
        <f t="shared" si="4"/>
        <v>15</v>
      </c>
      <c r="H23" s="1">
        <f t="shared" si="0"/>
        <v>102</v>
      </c>
      <c r="I23" s="1">
        <v>7</v>
      </c>
      <c r="J23" s="3">
        <v>45376</v>
      </c>
      <c r="K23" s="3">
        <v>45382</v>
      </c>
      <c r="L23" s="15">
        <f t="shared" si="5"/>
        <v>108</v>
      </c>
      <c r="M23" s="13">
        <f t="shared" si="1"/>
        <v>136</v>
      </c>
      <c r="N23" s="3">
        <v>45410</v>
      </c>
      <c r="O23" s="1">
        <v>111</v>
      </c>
      <c r="P23" s="1">
        <v>119</v>
      </c>
      <c r="Q23" s="1">
        <v>114.2</v>
      </c>
      <c r="R23" s="1">
        <v>121.4</v>
      </c>
      <c r="S23" s="1">
        <v>116</v>
      </c>
      <c r="T23" s="1">
        <f t="shared" si="6"/>
        <v>116.32000000000001</v>
      </c>
      <c r="U23" s="1">
        <v>22</v>
      </c>
      <c r="V23" s="1">
        <v>25.4</v>
      </c>
      <c r="W23" s="1">
        <v>32</v>
      </c>
      <c r="X23" s="1">
        <v>21</v>
      </c>
      <c r="Y23" s="1">
        <v>42</v>
      </c>
      <c r="Z23" s="1">
        <f t="shared" si="7"/>
        <v>28.48</v>
      </c>
      <c r="AA23" s="1">
        <v>6.5</v>
      </c>
      <c r="AB23" s="1">
        <v>9</v>
      </c>
      <c r="AC23" s="1">
        <v>9.5</v>
      </c>
      <c r="AD23" s="1">
        <v>8.5</v>
      </c>
      <c r="AE23" s="1">
        <v>8.5</v>
      </c>
      <c r="AF23" s="1">
        <f t="shared" si="8"/>
        <v>8.4</v>
      </c>
      <c r="AL23" s="1" t="s">
        <v>43</v>
      </c>
      <c r="AM23" s="1">
        <v>0</v>
      </c>
      <c r="AN23" s="1">
        <v>17.399999999999999</v>
      </c>
      <c r="AO23" s="1">
        <v>13.4</v>
      </c>
      <c r="AP23" s="1">
        <v>14.5</v>
      </c>
      <c r="AQ23" s="1">
        <v>13.8</v>
      </c>
      <c r="AR23" s="1">
        <v>15.5</v>
      </c>
      <c r="AS23" s="1">
        <f t="shared" si="9"/>
        <v>14.919999999999998</v>
      </c>
      <c r="AT23" s="1">
        <v>0.8</v>
      </c>
      <c r="AU23" s="1">
        <v>0.9</v>
      </c>
      <c r="AV23" s="1">
        <v>0.5</v>
      </c>
      <c r="AW23" s="1">
        <v>0.8</v>
      </c>
      <c r="AX23" s="1">
        <v>0.9</v>
      </c>
      <c r="AY23" s="1">
        <f t="shared" si="10"/>
        <v>0.78</v>
      </c>
      <c r="AZ23" s="1">
        <v>3</v>
      </c>
      <c r="BA23" s="1">
        <v>3</v>
      </c>
      <c r="BB23" s="1">
        <v>16</v>
      </c>
      <c r="BC23" s="1">
        <v>21</v>
      </c>
      <c r="BD23" s="1">
        <v>22</v>
      </c>
      <c r="BE23" s="1">
        <v>18</v>
      </c>
      <c r="BF23" s="1">
        <v>10</v>
      </c>
      <c r="BG23" s="1">
        <v>17</v>
      </c>
      <c r="BH23" s="1">
        <v>7</v>
      </c>
      <c r="BI23" s="1">
        <v>10</v>
      </c>
      <c r="BJ23" s="1">
        <v>10</v>
      </c>
      <c r="BK23" s="1">
        <v>10</v>
      </c>
      <c r="BL23" s="1">
        <v>10</v>
      </c>
      <c r="BM23" s="1">
        <v>11</v>
      </c>
      <c r="BN23" s="1">
        <v>10</v>
      </c>
      <c r="BO23" s="1">
        <v>1</v>
      </c>
      <c r="BP23" s="1">
        <v>3</v>
      </c>
      <c r="BQ23" s="1">
        <v>2</v>
      </c>
      <c r="BR23" s="1">
        <v>3</v>
      </c>
      <c r="BS23" s="1">
        <v>3</v>
      </c>
      <c r="BT23" s="1">
        <v>2</v>
      </c>
      <c r="BU23" s="1">
        <v>3</v>
      </c>
      <c r="BV23" s="1">
        <v>3</v>
      </c>
      <c r="BW23" s="1">
        <v>38</v>
      </c>
      <c r="BX23" s="1">
        <v>43</v>
      </c>
      <c r="BY23" s="1">
        <v>36</v>
      </c>
      <c r="BZ23" s="1">
        <v>53</v>
      </c>
      <c r="CA23" s="1">
        <v>45</v>
      </c>
      <c r="CB23" s="1">
        <f t="shared" si="20"/>
        <v>43</v>
      </c>
      <c r="CC23" s="1">
        <v>2</v>
      </c>
      <c r="CD23" s="1">
        <v>5</v>
      </c>
      <c r="CE23" s="1">
        <v>6.22</v>
      </c>
      <c r="CF23" s="1">
        <v>5.3</v>
      </c>
      <c r="CG23" s="1">
        <v>6.54</v>
      </c>
      <c r="CH23" s="1">
        <v>5.33</v>
      </c>
      <c r="CI23" s="1">
        <v>5.47</v>
      </c>
      <c r="CJ23" s="1">
        <f t="shared" si="13"/>
        <v>5.7720000000000002</v>
      </c>
      <c r="CK23" s="1">
        <v>3.07</v>
      </c>
      <c r="CL23" s="1">
        <v>3.84</v>
      </c>
      <c r="CM23" s="1">
        <v>3.54</v>
      </c>
      <c r="CN23" s="1">
        <v>3.39</v>
      </c>
      <c r="CO23" s="1">
        <v>3.49</v>
      </c>
      <c r="CP23" s="1">
        <f t="shared" si="14"/>
        <v>3.4659999999999997</v>
      </c>
      <c r="CQ23" s="1">
        <v>3.04</v>
      </c>
      <c r="CR23" s="1">
        <v>3.32</v>
      </c>
      <c r="CS23" s="1">
        <v>3.06</v>
      </c>
      <c r="CT23" s="1">
        <v>3.26</v>
      </c>
      <c r="CU23" s="1">
        <v>3.08</v>
      </c>
      <c r="CV23" s="1">
        <f t="shared" si="15"/>
        <v>3.1520000000000001</v>
      </c>
      <c r="CW23" s="1">
        <v>33.4</v>
      </c>
      <c r="CX23" s="1">
        <v>12.2</v>
      </c>
      <c r="CY23" s="1">
        <v>0.34</v>
      </c>
      <c r="CZ23" s="1">
        <f t="shared" si="16"/>
        <v>0.75555555555555554</v>
      </c>
      <c r="DA23" s="1">
        <f t="shared" si="2"/>
        <v>0.878</v>
      </c>
      <c r="DB23" s="1">
        <f t="shared" si="3"/>
        <v>0.76691072575465635</v>
      </c>
    </row>
    <row r="24" spans="1:106" ht="16" thickBot="1" x14ac:dyDescent="0.4">
      <c r="A24" s="1">
        <v>22</v>
      </c>
      <c r="B24" s="7" t="s">
        <v>147</v>
      </c>
      <c r="C24" s="11" t="s">
        <v>52</v>
      </c>
      <c r="D24" s="10" t="s">
        <v>85</v>
      </c>
      <c r="E24" s="3">
        <v>45289</v>
      </c>
      <c r="F24" s="3">
        <f t="shared" si="17"/>
        <v>45274</v>
      </c>
      <c r="G24" s="1">
        <f t="shared" si="4"/>
        <v>15</v>
      </c>
      <c r="H24" s="1">
        <f t="shared" si="0"/>
        <v>106</v>
      </c>
      <c r="I24" s="1">
        <v>7</v>
      </c>
      <c r="J24" s="3">
        <v>45380</v>
      </c>
      <c r="K24" s="3">
        <v>45384</v>
      </c>
      <c r="L24" s="15">
        <f t="shared" si="5"/>
        <v>110</v>
      </c>
      <c r="M24" s="13">
        <f t="shared" si="1"/>
        <v>135</v>
      </c>
      <c r="N24" s="3">
        <v>45409</v>
      </c>
      <c r="O24" s="1">
        <v>91</v>
      </c>
      <c r="P24" s="1">
        <v>114</v>
      </c>
      <c r="Q24" s="1">
        <v>112.4</v>
      </c>
      <c r="R24" s="1">
        <v>105.4</v>
      </c>
      <c r="S24" s="1">
        <v>119.4</v>
      </c>
      <c r="T24" s="1">
        <f t="shared" si="6"/>
        <v>108.43999999999998</v>
      </c>
      <c r="U24" s="1">
        <v>15</v>
      </c>
      <c r="V24" s="1">
        <v>16.5</v>
      </c>
      <c r="W24" s="1">
        <v>14</v>
      </c>
      <c r="X24" s="1">
        <v>26.5</v>
      </c>
      <c r="Y24" s="1">
        <v>19</v>
      </c>
      <c r="Z24" s="1">
        <f t="shared" si="7"/>
        <v>18.2</v>
      </c>
      <c r="AA24" s="1">
        <v>6.5</v>
      </c>
      <c r="AB24" s="1">
        <v>8.5</v>
      </c>
      <c r="AC24" s="1">
        <v>10</v>
      </c>
      <c r="AD24" s="1">
        <v>5.5</v>
      </c>
      <c r="AE24" s="1">
        <v>8</v>
      </c>
      <c r="AF24" s="1">
        <f t="shared" si="8"/>
        <v>7.7</v>
      </c>
      <c r="AL24" s="1" t="s">
        <v>43</v>
      </c>
      <c r="AM24" s="1">
        <v>0</v>
      </c>
      <c r="AN24" s="1">
        <v>13.5</v>
      </c>
      <c r="AO24" s="1">
        <v>14.6</v>
      </c>
      <c r="AP24" s="1">
        <v>14</v>
      </c>
      <c r="AQ24" s="1">
        <v>13.5</v>
      </c>
      <c r="AR24" s="1">
        <v>15.5</v>
      </c>
      <c r="AS24" s="1">
        <f t="shared" si="9"/>
        <v>14.219999999999999</v>
      </c>
      <c r="AT24" s="1">
        <v>1</v>
      </c>
      <c r="AU24" s="1">
        <v>1.1000000000000001</v>
      </c>
      <c r="AV24" s="1">
        <v>0.9</v>
      </c>
      <c r="AW24" s="1">
        <v>1</v>
      </c>
      <c r="AX24" s="1">
        <v>1</v>
      </c>
      <c r="AY24" s="1">
        <f t="shared" si="10"/>
        <v>1</v>
      </c>
      <c r="AZ24" s="1">
        <v>5</v>
      </c>
      <c r="BA24" s="1">
        <v>3</v>
      </c>
      <c r="BB24" s="1">
        <v>5</v>
      </c>
      <c r="BC24" s="1">
        <v>18</v>
      </c>
      <c r="BD24" s="1">
        <v>10</v>
      </c>
      <c r="BE24" s="1">
        <v>4</v>
      </c>
      <c r="BF24" s="1">
        <v>15</v>
      </c>
      <c r="BG24" s="1">
        <v>10</v>
      </c>
      <c r="BH24" s="1">
        <v>5</v>
      </c>
      <c r="BI24" s="1">
        <v>9</v>
      </c>
      <c r="BJ24" s="1">
        <v>7</v>
      </c>
      <c r="BK24" s="1">
        <v>10</v>
      </c>
      <c r="BL24" s="1">
        <v>10</v>
      </c>
      <c r="BM24" s="1">
        <v>10</v>
      </c>
      <c r="BN24" s="1">
        <v>9</v>
      </c>
      <c r="BO24" s="1">
        <v>1</v>
      </c>
      <c r="BP24" s="1">
        <v>0</v>
      </c>
      <c r="BQ24" s="1">
        <v>3</v>
      </c>
      <c r="BR24" s="1">
        <v>2</v>
      </c>
      <c r="BS24" s="1">
        <v>3</v>
      </c>
      <c r="BT24" s="1">
        <v>3</v>
      </c>
      <c r="BU24" s="1">
        <v>3</v>
      </c>
      <c r="BV24" s="1">
        <v>3</v>
      </c>
      <c r="BW24" s="1">
        <v>30</v>
      </c>
      <c r="BX24" s="1">
        <v>51</v>
      </c>
      <c r="BY24" s="1">
        <v>48</v>
      </c>
      <c r="BZ24" s="1">
        <v>33</v>
      </c>
      <c r="CA24" s="1">
        <v>22</v>
      </c>
      <c r="CB24" s="1">
        <v>37</v>
      </c>
      <c r="CC24" s="1">
        <v>1</v>
      </c>
      <c r="CD24" s="1">
        <v>7</v>
      </c>
      <c r="CE24" s="1">
        <v>5.72</v>
      </c>
      <c r="CF24" s="1">
        <v>5.9</v>
      </c>
      <c r="CG24" s="1">
        <v>6.08</v>
      </c>
      <c r="CH24" s="1">
        <v>5.78</v>
      </c>
      <c r="CI24" s="1">
        <v>5.16</v>
      </c>
      <c r="CJ24" s="1">
        <f t="shared" si="13"/>
        <v>5.7280000000000006</v>
      </c>
      <c r="CK24" s="1">
        <v>3.49</v>
      </c>
      <c r="CL24" s="1">
        <v>3.14</v>
      </c>
      <c r="CM24" s="1">
        <v>3.78</v>
      </c>
      <c r="CN24" s="1">
        <v>3.43</v>
      </c>
      <c r="CO24" s="1">
        <v>2.63</v>
      </c>
      <c r="CP24" s="1">
        <f t="shared" si="14"/>
        <v>3.2939999999999996</v>
      </c>
      <c r="CQ24" s="1">
        <v>2.81</v>
      </c>
      <c r="CR24" s="1">
        <v>2.75</v>
      </c>
      <c r="CS24" s="1">
        <v>2.57</v>
      </c>
      <c r="CT24" s="1">
        <v>2.9</v>
      </c>
      <c r="CU24" s="1">
        <v>2.11</v>
      </c>
      <c r="CV24" s="1">
        <f t="shared" si="15"/>
        <v>2.6280000000000001</v>
      </c>
      <c r="CW24" s="1">
        <v>34.6</v>
      </c>
      <c r="CX24" s="1">
        <v>10.1</v>
      </c>
      <c r="CY24" s="1">
        <v>0.435</v>
      </c>
      <c r="CZ24" s="1">
        <f t="shared" si="16"/>
        <v>0.96666666666666667</v>
      </c>
      <c r="DA24" s="1">
        <f t="shared" si="2"/>
        <v>0.89900000000000002</v>
      </c>
      <c r="DB24" s="1">
        <f t="shared" si="3"/>
        <v>1.0046628131021194</v>
      </c>
    </row>
    <row r="25" spans="1:106" ht="16" thickBot="1" x14ac:dyDescent="0.4">
      <c r="A25" s="1">
        <v>23</v>
      </c>
      <c r="B25" s="7" t="s">
        <v>148</v>
      </c>
      <c r="C25" s="11" t="s">
        <v>52</v>
      </c>
      <c r="D25" s="10" t="s">
        <v>89</v>
      </c>
      <c r="E25" s="3">
        <v>45289</v>
      </c>
      <c r="F25" s="3">
        <f t="shared" si="17"/>
        <v>45274</v>
      </c>
      <c r="G25" s="1">
        <f t="shared" si="4"/>
        <v>15</v>
      </c>
      <c r="H25" s="1">
        <f t="shared" si="0"/>
        <v>102</v>
      </c>
      <c r="I25" s="1">
        <v>7</v>
      </c>
      <c r="J25" s="3">
        <v>45376</v>
      </c>
      <c r="K25" s="3">
        <v>45382</v>
      </c>
      <c r="L25" s="15">
        <f t="shared" si="5"/>
        <v>108</v>
      </c>
      <c r="M25" s="13">
        <f t="shared" si="1"/>
        <v>134</v>
      </c>
      <c r="N25" s="3">
        <v>45408</v>
      </c>
      <c r="O25" s="1">
        <v>91</v>
      </c>
      <c r="P25" s="1">
        <v>83</v>
      </c>
      <c r="Q25" s="1">
        <v>94</v>
      </c>
      <c r="R25" s="1">
        <v>88</v>
      </c>
      <c r="S25" s="1">
        <v>107</v>
      </c>
      <c r="T25" s="1">
        <f t="shared" si="6"/>
        <v>92.6</v>
      </c>
      <c r="U25" s="1">
        <v>18.5</v>
      </c>
      <c r="V25" s="1">
        <v>6</v>
      </c>
      <c r="W25" s="1">
        <v>19</v>
      </c>
      <c r="X25" s="1">
        <v>18.5</v>
      </c>
      <c r="Y25" s="1">
        <v>26</v>
      </c>
      <c r="Z25" s="1">
        <f t="shared" si="7"/>
        <v>17.600000000000001</v>
      </c>
      <c r="AA25" s="1">
        <v>7</v>
      </c>
      <c r="AB25" s="1">
        <v>7</v>
      </c>
      <c r="AC25" s="1">
        <v>7.5</v>
      </c>
      <c r="AD25" s="1">
        <v>7.5</v>
      </c>
      <c r="AE25" s="1">
        <v>8</v>
      </c>
      <c r="AF25" s="1">
        <f t="shared" si="8"/>
        <v>7.4</v>
      </c>
      <c r="AL25" s="1" t="s">
        <v>43</v>
      </c>
      <c r="AM25" s="1">
        <v>0</v>
      </c>
      <c r="AN25" s="1">
        <v>12</v>
      </c>
      <c r="AO25" s="1">
        <v>9.5</v>
      </c>
      <c r="AP25" s="1">
        <v>12</v>
      </c>
      <c r="AQ25" s="1">
        <v>13</v>
      </c>
      <c r="AR25" s="1">
        <v>12.5</v>
      </c>
      <c r="AS25" s="1">
        <f t="shared" si="9"/>
        <v>11.8</v>
      </c>
      <c r="AT25" s="1">
        <v>1.3</v>
      </c>
      <c r="AU25" s="1">
        <v>1</v>
      </c>
      <c r="AV25" s="1">
        <v>0.9</v>
      </c>
      <c r="AW25" s="1">
        <v>1</v>
      </c>
      <c r="AX25" s="1">
        <v>1.1000000000000001</v>
      </c>
      <c r="AY25" s="1">
        <f t="shared" si="10"/>
        <v>1.0599999999999998</v>
      </c>
      <c r="AZ25" s="1">
        <v>7</v>
      </c>
      <c r="BA25" s="1">
        <v>3</v>
      </c>
      <c r="BB25" s="1">
        <v>7</v>
      </c>
      <c r="BC25" s="1">
        <v>3</v>
      </c>
      <c r="BD25" s="1">
        <v>8</v>
      </c>
      <c r="BE25" s="1">
        <v>9</v>
      </c>
      <c r="BF25" s="1">
        <v>5</v>
      </c>
      <c r="BG25" s="1">
        <v>6</v>
      </c>
      <c r="BH25" s="1">
        <v>7</v>
      </c>
      <c r="BI25" s="1">
        <v>9</v>
      </c>
      <c r="BJ25" s="1">
        <v>9</v>
      </c>
      <c r="BK25" s="1">
        <v>9</v>
      </c>
      <c r="BL25" s="1">
        <v>8</v>
      </c>
      <c r="BM25" s="1">
        <v>8</v>
      </c>
      <c r="BN25" s="1">
        <v>9</v>
      </c>
      <c r="BO25" s="1">
        <v>3</v>
      </c>
      <c r="BP25" s="1">
        <v>0</v>
      </c>
      <c r="BQ25" s="1">
        <v>3</v>
      </c>
      <c r="BR25" s="1">
        <v>3</v>
      </c>
      <c r="BS25" s="1">
        <v>2</v>
      </c>
      <c r="BT25" s="1">
        <v>2</v>
      </c>
      <c r="BU25" s="1">
        <v>2</v>
      </c>
      <c r="BV25" s="1">
        <v>2</v>
      </c>
      <c r="BW25" s="1">
        <v>40</v>
      </c>
      <c r="BX25" s="1">
        <v>32</v>
      </c>
      <c r="BY25" s="1">
        <v>41</v>
      </c>
      <c r="BZ25" s="1">
        <v>20</v>
      </c>
      <c r="CA25" s="1">
        <v>34</v>
      </c>
      <c r="CB25" s="1">
        <v>34</v>
      </c>
      <c r="CC25" s="1">
        <v>1</v>
      </c>
      <c r="CD25" s="1">
        <v>3</v>
      </c>
      <c r="CE25" s="1">
        <v>6.28</v>
      </c>
      <c r="CF25" s="1">
        <v>6.1</v>
      </c>
      <c r="CG25" s="1">
        <v>5.48</v>
      </c>
      <c r="CH25" s="1">
        <v>5.62</v>
      </c>
      <c r="CI25" s="1">
        <v>5.61</v>
      </c>
      <c r="CJ25" s="1">
        <f t="shared" si="13"/>
        <v>5.8179999999999996</v>
      </c>
      <c r="CK25" s="1">
        <v>3.49</v>
      </c>
      <c r="CL25" s="1">
        <v>3.53</v>
      </c>
      <c r="CM25" s="1">
        <v>3.53</v>
      </c>
      <c r="CN25" s="1">
        <v>3.35</v>
      </c>
      <c r="CO25" s="1">
        <v>2.65</v>
      </c>
      <c r="CP25" s="1">
        <f t="shared" si="14"/>
        <v>3.3099999999999996</v>
      </c>
      <c r="CQ25" s="1">
        <v>3.1</v>
      </c>
      <c r="CR25" s="1">
        <v>3.26</v>
      </c>
      <c r="CS25" s="1">
        <v>2.75</v>
      </c>
      <c r="CT25" s="1">
        <v>2.76</v>
      </c>
      <c r="CU25" s="1">
        <v>2.37</v>
      </c>
      <c r="CV25" s="1">
        <f t="shared" si="15"/>
        <v>2.8479999999999999</v>
      </c>
      <c r="CW25" s="1">
        <v>34.700000000000003</v>
      </c>
      <c r="CX25" s="1">
        <v>8.9</v>
      </c>
      <c r="CY25" s="1">
        <v>0.33500000000000002</v>
      </c>
      <c r="CZ25" s="1">
        <f t="shared" si="16"/>
        <v>0.74444444444444446</v>
      </c>
      <c r="DA25" s="1">
        <f t="shared" si="2"/>
        <v>0.91099999999999992</v>
      </c>
      <c r="DB25" s="1">
        <f t="shared" si="3"/>
        <v>0.78403339755940904</v>
      </c>
    </row>
    <row r="26" spans="1:106" ht="16" thickBot="1" x14ac:dyDescent="0.4">
      <c r="A26" s="1">
        <v>24</v>
      </c>
      <c r="B26" s="7" t="s">
        <v>149</v>
      </c>
      <c r="C26" s="11" t="s">
        <v>52</v>
      </c>
      <c r="D26" s="10" t="s">
        <v>90</v>
      </c>
      <c r="E26" s="3">
        <v>45289</v>
      </c>
      <c r="F26" s="3">
        <f t="shared" si="17"/>
        <v>45274</v>
      </c>
      <c r="G26" s="1">
        <f t="shared" si="4"/>
        <v>15</v>
      </c>
      <c r="H26" s="1">
        <f t="shared" si="0"/>
        <v>106</v>
      </c>
      <c r="I26" s="1">
        <v>7</v>
      </c>
      <c r="J26" s="3">
        <v>45380</v>
      </c>
      <c r="K26" s="3">
        <v>45385</v>
      </c>
      <c r="L26" s="15">
        <f t="shared" si="5"/>
        <v>111</v>
      </c>
      <c r="M26" s="13">
        <f t="shared" si="1"/>
        <v>140</v>
      </c>
      <c r="N26" s="3">
        <v>45414</v>
      </c>
      <c r="O26" s="1">
        <v>84</v>
      </c>
      <c r="P26" s="1">
        <v>86</v>
      </c>
      <c r="Q26" s="1">
        <v>85</v>
      </c>
      <c r="R26" s="1">
        <v>90</v>
      </c>
      <c r="S26" s="1">
        <v>87</v>
      </c>
      <c r="T26" s="1">
        <f t="shared" si="6"/>
        <v>86.4</v>
      </c>
      <c r="U26" s="1">
        <v>5</v>
      </c>
      <c r="V26" s="1">
        <v>10</v>
      </c>
      <c r="W26" s="1">
        <v>5.9</v>
      </c>
      <c r="X26" s="1">
        <v>9</v>
      </c>
      <c r="Y26" s="1">
        <v>7</v>
      </c>
      <c r="Z26" s="1">
        <f t="shared" si="7"/>
        <v>7.38</v>
      </c>
      <c r="AA26" s="1">
        <v>12</v>
      </c>
      <c r="AB26" s="1">
        <v>12</v>
      </c>
      <c r="AC26" s="1">
        <v>13</v>
      </c>
      <c r="AD26" s="1">
        <v>13</v>
      </c>
      <c r="AE26" s="1">
        <v>12</v>
      </c>
      <c r="AF26" s="1">
        <f t="shared" si="8"/>
        <v>12.4</v>
      </c>
      <c r="AG26" s="1">
        <v>6</v>
      </c>
      <c r="AH26" s="1">
        <v>5.5</v>
      </c>
      <c r="AI26" s="1">
        <v>5</v>
      </c>
      <c r="AJ26" s="1">
        <v>3</v>
      </c>
      <c r="AK26" s="1">
        <v>4.5</v>
      </c>
      <c r="AL26" s="1">
        <f t="shared" si="18"/>
        <v>4.8</v>
      </c>
      <c r="AM26" s="1">
        <v>7</v>
      </c>
      <c r="AN26" s="1">
        <v>13</v>
      </c>
      <c r="AO26" s="1">
        <v>15</v>
      </c>
      <c r="AP26" s="1">
        <v>12.5</v>
      </c>
      <c r="AQ26" s="1">
        <v>15.5</v>
      </c>
      <c r="AR26" s="1">
        <v>13</v>
      </c>
      <c r="AS26" s="1">
        <f t="shared" si="9"/>
        <v>13.8</v>
      </c>
      <c r="AT26" s="1">
        <v>1.1000000000000001</v>
      </c>
      <c r="AU26" s="1">
        <v>1.2</v>
      </c>
      <c r="AV26" s="1">
        <v>1</v>
      </c>
      <c r="AW26" s="1">
        <v>1.1000000000000001</v>
      </c>
      <c r="AX26" s="1">
        <v>1.3</v>
      </c>
      <c r="AY26" s="1">
        <f t="shared" si="10"/>
        <v>1.1400000000000001</v>
      </c>
      <c r="AZ26" s="1">
        <v>7</v>
      </c>
      <c r="BA26" s="1">
        <v>3</v>
      </c>
      <c r="BB26" s="1">
        <v>4</v>
      </c>
      <c r="BC26" s="1">
        <v>3</v>
      </c>
      <c r="BD26" s="1">
        <v>11</v>
      </c>
      <c r="BE26" s="1">
        <v>3</v>
      </c>
      <c r="BF26" s="1">
        <v>4</v>
      </c>
      <c r="BG26" s="1">
        <f t="shared" si="11"/>
        <v>5</v>
      </c>
      <c r="BH26" s="1">
        <v>7</v>
      </c>
      <c r="BI26" s="1">
        <v>10</v>
      </c>
      <c r="BJ26" s="1">
        <v>10</v>
      </c>
      <c r="BK26" s="1">
        <v>11</v>
      </c>
      <c r="BL26" s="1">
        <v>10</v>
      </c>
      <c r="BM26" s="1">
        <v>10</v>
      </c>
      <c r="BN26" s="1">
        <v>10</v>
      </c>
      <c r="BO26" s="1">
        <v>1</v>
      </c>
      <c r="BP26" s="1">
        <v>0</v>
      </c>
      <c r="BQ26" s="1">
        <v>3</v>
      </c>
      <c r="BR26" s="1">
        <v>4</v>
      </c>
      <c r="BS26" s="1">
        <v>4</v>
      </c>
      <c r="BT26" s="1">
        <v>3</v>
      </c>
      <c r="BU26" s="1">
        <v>4</v>
      </c>
      <c r="BV26" s="1">
        <v>4</v>
      </c>
      <c r="BW26" s="1">
        <v>57</v>
      </c>
      <c r="BX26" s="1">
        <v>48</v>
      </c>
      <c r="BY26" s="1">
        <v>58</v>
      </c>
      <c r="BZ26" s="1">
        <v>49</v>
      </c>
      <c r="CA26" s="1">
        <v>48</v>
      </c>
      <c r="CB26" s="1">
        <f t="shared" si="20"/>
        <v>52</v>
      </c>
      <c r="CC26" s="1">
        <v>2</v>
      </c>
      <c r="CD26" s="1">
        <v>7</v>
      </c>
      <c r="CE26" s="1">
        <v>5.63</v>
      </c>
      <c r="CF26" s="1">
        <v>6.95</v>
      </c>
      <c r="CG26" s="1">
        <v>7.39</v>
      </c>
      <c r="CH26" s="1">
        <v>7.67</v>
      </c>
      <c r="CI26" s="1">
        <v>7.06</v>
      </c>
      <c r="CJ26" s="1">
        <f t="shared" si="13"/>
        <v>6.94</v>
      </c>
      <c r="CK26" s="1">
        <v>3.24</v>
      </c>
      <c r="CL26" s="1">
        <v>3.54</v>
      </c>
      <c r="CM26" s="1">
        <v>3.8</v>
      </c>
      <c r="CN26" s="1">
        <v>3.75</v>
      </c>
      <c r="CO26" s="1">
        <v>3.66</v>
      </c>
      <c r="CP26" s="1">
        <f t="shared" si="14"/>
        <v>3.5980000000000003</v>
      </c>
      <c r="CQ26" s="1">
        <v>2.4</v>
      </c>
      <c r="CR26" s="1">
        <v>2.62</v>
      </c>
      <c r="CS26" s="1">
        <v>2.74</v>
      </c>
      <c r="CT26" s="1">
        <v>2.67</v>
      </c>
      <c r="CU26" s="1">
        <v>2.8</v>
      </c>
      <c r="CV26" s="1">
        <f t="shared" si="15"/>
        <v>2.6459999999999999</v>
      </c>
      <c r="CW26" s="1">
        <v>52.6</v>
      </c>
      <c r="CX26" s="1">
        <v>10</v>
      </c>
      <c r="CY26" s="1">
        <v>0.56499999999999995</v>
      </c>
      <c r="CZ26" s="1">
        <f t="shared" si="16"/>
        <v>1.2555555555555553</v>
      </c>
      <c r="DA26" s="1">
        <f t="shared" si="2"/>
        <v>0.9</v>
      </c>
      <c r="DB26" s="1">
        <f t="shared" si="3"/>
        <v>1.3063583815028901</v>
      </c>
    </row>
    <row r="27" spans="1:106" ht="16" thickBot="1" x14ac:dyDescent="0.4">
      <c r="A27" s="1">
        <v>25</v>
      </c>
      <c r="B27" s="7" t="s">
        <v>150</v>
      </c>
      <c r="C27" s="11" t="s">
        <v>52</v>
      </c>
      <c r="D27" s="10" t="s">
        <v>81</v>
      </c>
      <c r="E27" s="3">
        <v>45289</v>
      </c>
      <c r="F27" s="3">
        <f t="shared" si="17"/>
        <v>45274</v>
      </c>
      <c r="G27" s="1">
        <f t="shared" si="4"/>
        <v>15</v>
      </c>
      <c r="H27" s="1">
        <f t="shared" si="0"/>
        <v>122</v>
      </c>
      <c r="I27" s="1">
        <v>3</v>
      </c>
      <c r="J27" s="3">
        <v>45396</v>
      </c>
      <c r="K27" s="3">
        <v>45408</v>
      </c>
      <c r="L27" s="15">
        <f t="shared" si="5"/>
        <v>134</v>
      </c>
      <c r="M27" s="13">
        <f t="shared" si="1"/>
        <v>161</v>
      </c>
      <c r="N27" s="3">
        <v>45435</v>
      </c>
      <c r="O27" s="1">
        <v>111</v>
      </c>
      <c r="P27" s="1">
        <v>103</v>
      </c>
      <c r="Q27" s="1">
        <v>102.2</v>
      </c>
      <c r="R27" s="1">
        <v>105.7</v>
      </c>
      <c r="S27" s="1">
        <v>102.4</v>
      </c>
      <c r="T27" s="1">
        <f t="shared" si="6"/>
        <v>104.85999999999999</v>
      </c>
      <c r="U27" s="1">
        <v>21</v>
      </c>
      <c r="V27" s="1">
        <v>27</v>
      </c>
      <c r="W27" s="1">
        <v>22</v>
      </c>
      <c r="X27" s="1">
        <v>24</v>
      </c>
      <c r="Y27" s="1">
        <v>28.5</v>
      </c>
      <c r="Z27" s="1">
        <f t="shared" si="7"/>
        <v>24.5</v>
      </c>
      <c r="AA27" s="1">
        <v>12</v>
      </c>
      <c r="AB27" s="1">
        <v>11</v>
      </c>
      <c r="AC27" s="1">
        <v>9</v>
      </c>
      <c r="AD27" s="1">
        <v>8</v>
      </c>
      <c r="AE27" s="1">
        <v>11.5</v>
      </c>
      <c r="AF27" s="1">
        <f t="shared" si="8"/>
        <v>10.3</v>
      </c>
      <c r="AG27" s="1">
        <v>3.3</v>
      </c>
      <c r="AH27" s="1">
        <v>3</v>
      </c>
      <c r="AI27" s="1">
        <v>2</v>
      </c>
      <c r="AJ27" s="1">
        <v>3</v>
      </c>
      <c r="AK27" s="1">
        <v>4</v>
      </c>
      <c r="AL27" s="1">
        <f t="shared" si="18"/>
        <v>3.06</v>
      </c>
      <c r="AM27" s="1">
        <v>7</v>
      </c>
      <c r="AN27" s="1">
        <v>17</v>
      </c>
      <c r="AO27" s="1">
        <v>17.8</v>
      </c>
      <c r="AP27" s="1">
        <v>15</v>
      </c>
      <c r="AQ27" s="1">
        <v>14.1</v>
      </c>
      <c r="AR27" s="1">
        <v>17.8</v>
      </c>
      <c r="AS27" s="1">
        <f t="shared" si="9"/>
        <v>16.34</v>
      </c>
      <c r="AT27" s="1">
        <v>1.1000000000000001</v>
      </c>
      <c r="AU27" s="1">
        <v>0.9</v>
      </c>
      <c r="AV27" s="1">
        <v>1</v>
      </c>
      <c r="AW27" s="1">
        <v>0.9</v>
      </c>
      <c r="AX27" s="1">
        <v>0.9</v>
      </c>
      <c r="AY27" s="1">
        <f t="shared" si="10"/>
        <v>0.96</v>
      </c>
      <c r="AZ27" s="1">
        <v>7</v>
      </c>
      <c r="BA27" s="1">
        <v>3</v>
      </c>
      <c r="BB27" s="1">
        <v>16</v>
      </c>
      <c r="BC27" s="1">
        <v>12</v>
      </c>
      <c r="BD27" s="1">
        <v>6</v>
      </c>
      <c r="BE27" s="1">
        <v>8</v>
      </c>
      <c r="BF27" s="1">
        <v>11</v>
      </c>
      <c r="BG27" s="1">
        <v>11</v>
      </c>
      <c r="BH27" s="1">
        <v>3</v>
      </c>
      <c r="BI27" s="1">
        <v>9</v>
      </c>
      <c r="BJ27" s="1">
        <v>9</v>
      </c>
      <c r="BK27" s="1">
        <v>8</v>
      </c>
      <c r="BL27" s="1">
        <v>9</v>
      </c>
      <c r="BM27" s="1">
        <v>9</v>
      </c>
      <c r="BN27" s="1">
        <v>9</v>
      </c>
      <c r="BO27" s="1">
        <v>1</v>
      </c>
      <c r="BP27" s="1">
        <v>0</v>
      </c>
      <c r="BQ27" s="1">
        <v>3</v>
      </c>
      <c r="BR27" s="1">
        <v>3</v>
      </c>
      <c r="BS27" s="1">
        <v>3</v>
      </c>
      <c r="BT27" s="1">
        <v>3</v>
      </c>
      <c r="BU27" s="1">
        <v>4</v>
      </c>
      <c r="BV27" s="1">
        <v>3</v>
      </c>
      <c r="BW27" s="1">
        <v>49</v>
      </c>
      <c r="BX27" s="1">
        <v>36</v>
      </c>
      <c r="BY27" s="1">
        <v>28</v>
      </c>
      <c r="BZ27" s="1">
        <v>40</v>
      </c>
      <c r="CA27" s="1">
        <v>44</v>
      </c>
      <c r="CB27" s="1">
        <v>39</v>
      </c>
      <c r="CC27" s="1">
        <v>1</v>
      </c>
      <c r="CD27" s="1">
        <v>5</v>
      </c>
      <c r="CE27" s="1">
        <v>6.81</v>
      </c>
      <c r="CF27" s="1">
        <v>6.41</v>
      </c>
      <c r="CG27" s="1">
        <v>6.36</v>
      </c>
      <c r="CH27" s="1">
        <v>6.32</v>
      </c>
      <c r="CI27" s="1">
        <v>5.72</v>
      </c>
      <c r="CJ27" s="1">
        <f t="shared" si="13"/>
        <v>6.3239999999999998</v>
      </c>
      <c r="CK27" s="1">
        <v>3.3</v>
      </c>
      <c r="CL27" s="1">
        <v>3.25</v>
      </c>
      <c r="CM27" s="1">
        <v>2.88</v>
      </c>
      <c r="CN27" s="1">
        <v>3.1</v>
      </c>
      <c r="CO27" s="1">
        <v>2.82</v>
      </c>
      <c r="CP27" s="1">
        <f t="shared" si="14"/>
        <v>3.07</v>
      </c>
      <c r="CQ27" s="1">
        <v>2.62</v>
      </c>
      <c r="CR27" s="1">
        <v>2.77</v>
      </c>
      <c r="CS27" s="1">
        <v>2.37</v>
      </c>
      <c r="CT27" s="1">
        <v>2.57</v>
      </c>
      <c r="CU27" s="1">
        <v>2.4300000000000002</v>
      </c>
      <c r="CV27" s="1">
        <f t="shared" si="15"/>
        <v>2.552</v>
      </c>
      <c r="CW27" s="1">
        <v>35.700000000000003</v>
      </c>
      <c r="CX27" s="1">
        <v>9.5</v>
      </c>
      <c r="CY27" s="1">
        <v>0.435</v>
      </c>
      <c r="CZ27" s="1">
        <f t="shared" si="16"/>
        <v>0.96666666666666667</v>
      </c>
      <c r="DA27" s="1">
        <f t="shared" si="2"/>
        <v>0.90500000000000003</v>
      </c>
      <c r="DB27" s="1">
        <f t="shared" si="3"/>
        <v>1.0113680154142581</v>
      </c>
    </row>
    <row r="28" spans="1:106" ht="16" thickBot="1" x14ac:dyDescent="0.4">
      <c r="A28" s="1">
        <v>26</v>
      </c>
      <c r="B28" s="7" t="s">
        <v>151</v>
      </c>
      <c r="C28" s="11" t="s">
        <v>52</v>
      </c>
      <c r="D28" s="10" t="s">
        <v>91</v>
      </c>
      <c r="E28" s="3">
        <v>45289</v>
      </c>
      <c r="F28" s="3">
        <f t="shared" si="17"/>
        <v>45274</v>
      </c>
      <c r="G28" s="1">
        <f t="shared" si="4"/>
        <v>15</v>
      </c>
      <c r="H28" s="1">
        <f t="shared" si="0"/>
        <v>106</v>
      </c>
      <c r="I28" s="1">
        <v>7</v>
      </c>
      <c r="J28" s="3">
        <v>45380</v>
      </c>
      <c r="K28" s="3">
        <v>45385</v>
      </c>
      <c r="L28" s="15">
        <f t="shared" si="5"/>
        <v>111</v>
      </c>
      <c r="M28" s="13">
        <f t="shared" si="1"/>
        <v>140</v>
      </c>
      <c r="N28" s="3">
        <v>45414</v>
      </c>
      <c r="O28" s="1">
        <v>98</v>
      </c>
      <c r="P28" s="1">
        <v>114</v>
      </c>
      <c r="Q28" s="1">
        <v>93.5</v>
      </c>
      <c r="R28" s="1">
        <v>93</v>
      </c>
      <c r="S28" s="1">
        <v>91</v>
      </c>
      <c r="T28" s="1">
        <f t="shared" si="6"/>
        <v>97.9</v>
      </c>
      <c r="U28" s="1">
        <v>4.5</v>
      </c>
      <c r="V28" s="1">
        <v>17.5</v>
      </c>
      <c r="W28" s="1">
        <v>9</v>
      </c>
      <c r="X28" s="1">
        <v>15</v>
      </c>
      <c r="Y28" s="1">
        <v>13.5</v>
      </c>
      <c r="Z28" s="1">
        <f t="shared" si="7"/>
        <v>11.9</v>
      </c>
      <c r="AA28" s="1">
        <v>12</v>
      </c>
      <c r="AB28" s="1">
        <v>8</v>
      </c>
      <c r="AC28" s="1">
        <v>12.5</v>
      </c>
      <c r="AD28" s="1">
        <v>12</v>
      </c>
      <c r="AE28" s="1">
        <v>12.5</v>
      </c>
      <c r="AF28" s="1">
        <f t="shared" si="8"/>
        <v>11.4</v>
      </c>
      <c r="AG28" s="1">
        <v>4.3</v>
      </c>
      <c r="AH28" s="1">
        <v>1</v>
      </c>
      <c r="AI28" s="1">
        <v>3.8</v>
      </c>
      <c r="AJ28" s="1">
        <v>4</v>
      </c>
      <c r="AK28" s="1">
        <v>3</v>
      </c>
      <c r="AL28" s="1">
        <f t="shared" si="18"/>
        <v>3.22</v>
      </c>
      <c r="AM28" s="1">
        <v>7</v>
      </c>
      <c r="AN28" s="1">
        <v>12.3</v>
      </c>
      <c r="AO28" s="1">
        <v>12</v>
      </c>
      <c r="AP28" s="1">
        <v>11.5</v>
      </c>
      <c r="AQ28" s="1">
        <v>10.5</v>
      </c>
      <c r="AR28" s="1">
        <v>13</v>
      </c>
      <c r="AS28" s="1">
        <f t="shared" si="9"/>
        <v>11.86</v>
      </c>
      <c r="AT28" s="1">
        <v>1.3</v>
      </c>
      <c r="AU28" s="1">
        <v>1</v>
      </c>
      <c r="AV28" s="1">
        <v>1.1000000000000001</v>
      </c>
      <c r="AW28" s="1">
        <v>1</v>
      </c>
      <c r="AX28" s="1">
        <v>1.1000000000000001</v>
      </c>
      <c r="AY28" s="1">
        <f t="shared" si="10"/>
        <v>1.1000000000000001</v>
      </c>
      <c r="AZ28" s="1">
        <v>5</v>
      </c>
      <c r="BA28" s="1">
        <v>3</v>
      </c>
      <c r="BB28" s="1">
        <v>5</v>
      </c>
      <c r="BC28" s="1">
        <v>7</v>
      </c>
      <c r="BD28" s="1">
        <v>3</v>
      </c>
      <c r="BE28" s="1">
        <v>5</v>
      </c>
      <c r="BF28" s="1">
        <v>4</v>
      </c>
      <c r="BG28" s="1">
        <v>5</v>
      </c>
      <c r="BH28" s="1">
        <v>5</v>
      </c>
      <c r="BI28" s="1">
        <v>10</v>
      </c>
      <c r="BJ28" s="1">
        <v>11</v>
      </c>
      <c r="BK28" s="1">
        <v>11</v>
      </c>
      <c r="BL28" s="1">
        <v>11</v>
      </c>
      <c r="BM28" s="1">
        <v>11</v>
      </c>
      <c r="BN28" s="1">
        <v>11</v>
      </c>
      <c r="BO28" s="1">
        <v>1</v>
      </c>
      <c r="BP28" s="1">
        <v>0</v>
      </c>
      <c r="BQ28" s="1">
        <v>3</v>
      </c>
      <c r="BR28" s="1">
        <v>3</v>
      </c>
      <c r="BS28" s="1">
        <v>3</v>
      </c>
      <c r="BT28" s="1">
        <v>3</v>
      </c>
      <c r="BU28" s="1">
        <v>3</v>
      </c>
      <c r="BV28" s="1">
        <f t="shared" si="19"/>
        <v>3</v>
      </c>
      <c r="BW28" s="1">
        <v>41</v>
      </c>
      <c r="BX28" s="1">
        <v>52</v>
      </c>
      <c r="BY28" s="1">
        <v>42</v>
      </c>
      <c r="BZ28" s="1">
        <v>51</v>
      </c>
      <c r="CA28" s="1">
        <v>52</v>
      </c>
      <c r="CB28" s="1">
        <v>48</v>
      </c>
      <c r="CC28" s="1">
        <v>1</v>
      </c>
      <c r="CD28" s="1">
        <v>7</v>
      </c>
      <c r="CE28" s="1">
        <v>6.15</v>
      </c>
      <c r="CF28" s="1">
        <v>7.57</v>
      </c>
      <c r="CG28" s="1">
        <v>6.93</v>
      </c>
      <c r="CH28" s="1">
        <v>6.5</v>
      </c>
      <c r="CI28" s="1">
        <v>5.26</v>
      </c>
      <c r="CJ28" s="1">
        <f t="shared" si="13"/>
        <v>6.4819999999999993</v>
      </c>
      <c r="CK28" s="1">
        <v>3.13</v>
      </c>
      <c r="CL28" s="1">
        <v>3.95</v>
      </c>
      <c r="CM28" s="1">
        <v>3.54</v>
      </c>
      <c r="CN28" s="1">
        <v>3.53</v>
      </c>
      <c r="CO28" s="1">
        <v>2.82</v>
      </c>
      <c r="CP28" s="1">
        <f t="shared" si="14"/>
        <v>3.3939999999999997</v>
      </c>
      <c r="CQ28" s="1">
        <v>2.67</v>
      </c>
      <c r="CR28" s="1">
        <v>2.77</v>
      </c>
      <c r="CS28" s="1">
        <v>2.62</v>
      </c>
      <c r="CT28" s="1">
        <v>2.82</v>
      </c>
      <c r="CU28" s="1">
        <v>2.2400000000000002</v>
      </c>
      <c r="CV28" s="1">
        <f t="shared" si="15"/>
        <v>2.6239999999999997</v>
      </c>
      <c r="CW28" s="1">
        <v>48.8</v>
      </c>
      <c r="CX28" s="1">
        <v>9.8000000000000007</v>
      </c>
      <c r="CY28" s="1">
        <v>0.68500000000000005</v>
      </c>
      <c r="CZ28" s="1">
        <f t="shared" si="16"/>
        <v>1.5222222222222224</v>
      </c>
      <c r="DA28" s="1">
        <f t="shared" si="2"/>
        <v>0.90200000000000002</v>
      </c>
      <c r="DB28" s="1">
        <f t="shared" si="3"/>
        <v>1.5873346178548491</v>
      </c>
    </row>
    <row r="29" spans="1:106" ht="16" thickBot="1" x14ac:dyDescent="0.4">
      <c r="A29" s="1">
        <v>27</v>
      </c>
      <c r="B29" s="7" t="s">
        <v>152</v>
      </c>
      <c r="C29" s="11" t="s">
        <v>52</v>
      </c>
      <c r="D29" s="10" t="s">
        <v>91</v>
      </c>
      <c r="E29" s="3">
        <v>45289</v>
      </c>
      <c r="F29" s="3">
        <f t="shared" si="17"/>
        <v>45274</v>
      </c>
      <c r="G29" s="1">
        <f t="shared" si="4"/>
        <v>15</v>
      </c>
      <c r="H29" s="1">
        <f t="shared" si="0"/>
        <v>104</v>
      </c>
      <c r="I29" s="1">
        <v>7</v>
      </c>
      <c r="J29" s="3">
        <v>45378</v>
      </c>
      <c r="K29" s="3">
        <v>45383</v>
      </c>
      <c r="L29" s="15">
        <f t="shared" si="5"/>
        <v>109</v>
      </c>
      <c r="M29" s="13">
        <f t="shared" si="1"/>
        <v>138</v>
      </c>
      <c r="N29" s="3">
        <v>45412</v>
      </c>
      <c r="O29" s="1">
        <v>94</v>
      </c>
      <c r="P29" s="1">
        <v>105</v>
      </c>
      <c r="Q29" s="1">
        <v>101.2</v>
      </c>
      <c r="R29" s="1">
        <v>84</v>
      </c>
      <c r="S29" s="1">
        <v>100</v>
      </c>
      <c r="T29" s="1">
        <f t="shared" si="6"/>
        <v>96.84</v>
      </c>
      <c r="U29" s="1">
        <v>13</v>
      </c>
      <c r="V29" s="1">
        <v>19.5</v>
      </c>
      <c r="W29" s="1">
        <v>20</v>
      </c>
      <c r="X29" s="1">
        <v>14</v>
      </c>
      <c r="Y29" s="1">
        <v>13.9</v>
      </c>
      <c r="Z29" s="1">
        <f t="shared" si="7"/>
        <v>16.080000000000002</v>
      </c>
      <c r="AA29" s="1">
        <v>8</v>
      </c>
      <c r="AB29" s="1">
        <v>8.5</v>
      </c>
      <c r="AC29" s="1">
        <v>8.5</v>
      </c>
      <c r="AD29" s="1">
        <v>8.5</v>
      </c>
      <c r="AE29" s="1">
        <v>5.9</v>
      </c>
      <c r="AF29" s="1">
        <f t="shared" si="8"/>
        <v>7.88</v>
      </c>
      <c r="AG29" s="1">
        <v>5.3</v>
      </c>
      <c r="AH29" s="1">
        <v>6.4</v>
      </c>
      <c r="AI29" s="1">
        <v>7</v>
      </c>
      <c r="AJ29" s="1">
        <v>5.8</v>
      </c>
      <c r="AK29" s="1">
        <v>3.2</v>
      </c>
      <c r="AL29" s="1">
        <f t="shared" si="18"/>
        <v>5.54</v>
      </c>
      <c r="AM29" s="1">
        <v>7</v>
      </c>
      <c r="AN29" s="1">
        <v>12</v>
      </c>
      <c r="AO29" s="1">
        <v>12.3</v>
      </c>
      <c r="AP29" s="1">
        <v>13.3</v>
      </c>
      <c r="AQ29" s="1">
        <v>10</v>
      </c>
      <c r="AR29" s="1">
        <v>8.3000000000000007</v>
      </c>
      <c r="AS29" s="1">
        <f t="shared" si="9"/>
        <v>11.180000000000001</v>
      </c>
      <c r="AT29" s="1">
        <v>1.3</v>
      </c>
      <c r="AU29" s="1">
        <v>1</v>
      </c>
      <c r="AV29" s="1">
        <v>1.2</v>
      </c>
      <c r="AW29" s="1">
        <v>0.7</v>
      </c>
      <c r="AX29" s="1">
        <v>1</v>
      </c>
      <c r="AY29" s="1">
        <f t="shared" si="10"/>
        <v>1.04</v>
      </c>
      <c r="AZ29" s="1">
        <v>5</v>
      </c>
      <c r="BA29" s="1">
        <v>3</v>
      </c>
      <c r="BB29" s="1">
        <v>5</v>
      </c>
      <c r="BC29" s="1">
        <v>4</v>
      </c>
      <c r="BD29" s="1">
        <v>15</v>
      </c>
      <c r="BE29" s="1">
        <v>20</v>
      </c>
      <c r="BF29" s="1">
        <v>8</v>
      </c>
      <c r="BG29" s="1">
        <v>10</v>
      </c>
      <c r="BH29" s="1">
        <v>5</v>
      </c>
      <c r="BI29" s="1">
        <v>8</v>
      </c>
      <c r="BJ29" s="1">
        <v>9</v>
      </c>
      <c r="BK29" s="1">
        <v>10</v>
      </c>
      <c r="BL29" s="1">
        <v>8</v>
      </c>
      <c r="BM29" s="1">
        <v>9</v>
      </c>
      <c r="BN29" s="1">
        <v>9</v>
      </c>
      <c r="BO29" s="1">
        <v>1</v>
      </c>
      <c r="BP29" s="1">
        <v>0</v>
      </c>
      <c r="BQ29" s="1">
        <v>4</v>
      </c>
      <c r="BR29" s="1">
        <v>4</v>
      </c>
      <c r="BS29" s="1">
        <v>3</v>
      </c>
      <c r="BT29" s="1">
        <v>3</v>
      </c>
      <c r="BU29" s="1">
        <v>3</v>
      </c>
      <c r="BV29" s="1">
        <v>3</v>
      </c>
      <c r="BW29" s="1">
        <v>32</v>
      </c>
      <c r="BX29" s="1">
        <v>31</v>
      </c>
      <c r="BY29" s="1">
        <v>45</v>
      </c>
      <c r="BZ29" s="1">
        <v>26</v>
      </c>
      <c r="CA29" s="1">
        <v>51</v>
      </c>
      <c r="CB29" s="1">
        <f t="shared" si="20"/>
        <v>37</v>
      </c>
      <c r="CC29" s="1">
        <v>1</v>
      </c>
      <c r="CD29" s="1">
        <v>5</v>
      </c>
      <c r="CE29" s="1">
        <v>6.29</v>
      </c>
      <c r="CF29" s="1">
        <v>5.77</v>
      </c>
      <c r="CG29" s="1">
        <v>5.71</v>
      </c>
      <c r="CH29" s="1">
        <v>5.67</v>
      </c>
      <c r="CI29" s="1">
        <v>6.29</v>
      </c>
      <c r="CJ29" s="1">
        <f t="shared" si="13"/>
        <v>5.9459999999999997</v>
      </c>
      <c r="CK29" s="1">
        <v>3.51</v>
      </c>
      <c r="CL29" s="1">
        <v>3.05</v>
      </c>
      <c r="CM29" s="1">
        <v>2.76</v>
      </c>
      <c r="CN29" s="1">
        <v>2.85</v>
      </c>
      <c r="CO29" s="1">
        <v>2.98</v>
      </c>
      <c r="CP29" s="1">
        <f t="shared" si="14"/>
        <v>3.0300000000000002</v>
      </c>
      <c r="CQ29" s="1">
        <v>4.8099999999999996</v>
      </c>
      <c r="CR29" s="1">
        <v>2.5099999999999998</v>
      </c>
      <c r="CS29" s="1">
        <v>2.16</v>
      </c>
      <c r="CT29" s="1">
        <v>2.8</v>
      </c>
      <c r="CU29" s="1">
        <v>2.44</v>
      </c>
      <c r="CV29" s="1">
        <f t="shared" si="15"/>
        <v>2.944</v>
      </c>
      <c r="CW29" s="1">
        <v>35.299999999999997</v>
      </c>
      <c r="CX29" s="1">
        <v>10</v>
      </c>
      <c r="CY29" s="1">
        <v>0.91500000000000004</v>
      </c>
      <c r="CZ29" s="1">
        <f t="shared" si="16"/>
        <v>2.0333333333333332</v>
      </c>
      <c r="DA29" s="1">
        <f t="shared" si="2"/>
        <v>0.9</v>
      </c>
      <c r="DB29" s="1">
        <f t="shared" si="3"/>
        <v>2.1156069364161847</v>
      </c>
    </row>
    <row r="30" spans="1:106" ht="16" thickBot="1" x14ac:dyDescent="0.4">
      <c r="A30" s="1">
        <v>28</v>
      </c>
      <c r="B30" s="7" t="s">
        <v>153</v>
      </c>
      <c r="C30" s="11" t="s">
        <v>52</v>
      </c>
      <c r="D30" s="10" t="s">
        <v>92</v>
      </c>
      <c r="E30" s="3">
        <v>45289</v>
      </c>
      <c r="F30" s="3">
        <f t="shared" si="17"/>
        <v>45274</v>
      </c>
      <c r="G30" s="1">
        <f t="shared" si="4"/>
        <v>15</v>
      </c>
      <c r="H30" s="1">
        <f t="shared" si="0"/>
        <v>108</v>
      </c>
      <c r="I30" s="1">
        <v>5</v>
      </c>
      <c r="J30" s="3">
        <v>45382</v>
      </c>
      <c r="K30" s="3">
        <v>45385</v>
      </c>
      <c r="L30" s="15">
        <f t="shared" si="5"/>
        <v>111</v>
      </c>
      <c r="M30" s="13">
        <f t="shared" si="1"/>
        <v>161</v>
      </c>
      <c r="N30" s="3">
        <v>45435</v>
      </c>
      <c r="O30" s="1">
        <v>100</v>
      </c>
      <c r="P30" s="1">
        <v>105</v>
      </c>
      <c r="Q30" s="1">
        <v>97</v>
      </c>
      <c r="R30" s="1">
        <v>105.4</v>
      </c>
      <c r="S30" s="1">
        <v>108.5</v>
      </c>
      <c r="T30" s="1">
        <f t="shared" si="6"/>
        <v>103.17999999999999</v>
      </c>
      <c r="U30" s="1">
        <v>16</v>
      </c>
      <c r="V30" s="1">
        <v>15</v>
      </c>
      <c r="W30" s="1">
        <v>12</v>
      </c>
      <c r="X30" s="1">
        <v>19</v>
      </c>
      <c r="Y30" s="1">
        <v>18.5</v>
      </c>
      <c r="Z30" s="1">
        <f t="shared" si="7"/>
        <v>16.100000000000001</v>
      </c>
      <c r="AA30" s="1">
        <v>8</v>
      </c>
      <c r="AB30" s="1">
        <v>7</v>
      </c>
      <c r="AC30" s="1">
        <v>7.5</v>
      </c>
      <c r="AD30" s="1">
        <v>6.5</v>
      </c>
      <c r="AE30" s="1">
        <v>6.5</v>
      </c>
      <c r="AF30" s="1">
        <f t="shared" si="8"/>
        <v>7.1</v>
      </c>
      <c r="AG30" s="1">
        <v>4</v>
      </c>
      <c r="AH30" s="1">
        <v>3.9</v>
      </c>
      <c r="AI30" s="1">
        <v>2.8</v>
      </c>
      <c r="AJ30" s="1">
        <v>1</v>
      </c>
      <c r="AK30" s="1">
        <v>3</v>
      </c>
      <c r="AL30" s="1">
        <f t="shared" si="18"/>
        <v>2.94</v>
      </c>
      <c r="AM30" s="1">
        <v>7</v>
      </c>
      <c r="AN30" s="1">
        <v>8.3000000000000007</v>
      </c>
      <c r="AO30" s="1">
        <v>9.3000000000000007</v>
      </c>
      <c r="AP30" s="1">
        <v>8</v>
      </c>
      <c r="AQ30" s="1">
        <v>9.8000000000000007</v>
      </c>
      <c r="AR30" s="1">
        <v>11</v>
      </c>
      <c r="AS30" s="1">
        <f t="shared" si="9"/>
        <v>9.2800000000000011</v>
      </c>
      <c r="AT30" s="1">
        <v>0.8</v>
      </c>
      <c r="AU30" s="1">
        <v>0.8</v>
      </c>
      <c r="AV30" s="1">
        <v>0.7</v>
      </c>
      <c r="AW30" s="1">
        <v>0.8</v>
      </c>
      <c r="AX30" s="1">
        <v>0.8</v>
      </c>
      <c r="AY30" s="1">
        <f t="shared" si="10"/>
        <v>0.77999999999999992</v>
      </c>
      <c r="AZ30" s="1">
        <v>3</v>
      </c>
      <c r="BA30" s="1">
        <v>5</v>
      </c>
      <c r="BB30" s="1">
        <v>13</v>
      </c>
      <c r="BC30" s="1">
        <v>5</v>
      </c>
      <c r="BD30" s="1">
        <v>17</v>
      </c>
      <c r="BE30" s="1">
        <v>12</v>
      </c>
      <c r="BF30" s="1">
        <v>12</v>
      </c>
      <c r="BG30" s="1">
        <v>12</v>
      </c>
      <c r="BH30" s="1">
        <v>7</v>
      </c>
      <c r="BI30" s="1">
        <v>8</v>
      </c>
      <c r="BJ30" s="1">
        <v>8</v>
      </c>
      <c r="BK30" s="1">
        <v>9</v>
      </c>
      <c r="BL30" s="1">
        <v>9</v>
      </c>
      <c r="BM30" s="1">
        <v>8</v>
      </c>
      <c r="BN30" s="1">
        <v>8</v>
      </c>
      <c r="BO30" s="1">
        <v>1</v>
      </c>
      <c r="BP30" s="1">
        <v>0</v>
      </c>
      <c r="BQ30" s="1">
        <v>3</v>
      </c>
      <c r="BR30" s="1">
        <v>3</v>
      </c>
      <c r="BS30" s="1">
        <v>2</v>
      </c>
      <c r="BT30" s="1">
        <v>3</v>
      </c>
      <c r="BU30" s="1">
        <v>3</v>
      </c>
      <c r="BV30" s="1">
        <v>3</v>
      </c>
      <c r="BW30" s="1">
        <v>34</v>
      </c>
      <c r="BX30" s="1">
        <v>38</v>
      </c>
      <c r="BY30" s="1">
        <v>45</v>
      </c>
      <c r="BZ30" s="1">
        <v>32</v>
      </c>
      <c r="CA30" s="1">
        <v>30</v>
      </c>
      <c r="CB30" s="1">
        <v>36</v>
      </c>
      <c r="CC30" s="1">
        <v>2</v>
      </c>
      <c r="CD30" s="1">
        <v>3</v>
      </c>
      <c r="CE30" s="1">
        <v>5.85</v>
      </c>
      <c r="CF30" s="1">
        <v>6.03</v>
      </c>
      <c r="CG30" s="1">
        <v>4.83</v>
      </c>
      <c r="CH30" s="1">
        <v>4.67</v>
      </c>
      <c r="CI30" s="1">
        <v>4.41</v>
      </c>
      <c r="CJ30" s="1">
        <f t="shared" si="13"/>
        <v>5.1580000000000004</v>
      </c>
      <c r="CK30" s="1">
        <v>2.76</v>
      </c>
      <c r="CL30" s="1">
        <v>2.8</v>
      </c>
      <c r="CM30" s="1">
        <v>2.63</v>
      </c>
      <c r="CN30" s="1">
        <v>2.0499999999999998</v>
      </c>
      <c r="CO30" s="1">
        <v>2</v>
      </c>
      <c r="CP30" s="1">
        <f t="shared" si="14"/>
        <v>2.4479999999999995</v>
      </c>
      <c r="CQ30" s="1">
        <v>2.2000000000000002</v>
      </c>
      <c r="CR30" s="1">
        <v>2.33</v>
      </c>
      <c r="CS30" s="1">
        <v>2.1</v>
      </c>
      <c r="CT30" s="1">
        <v>1.82</v>
      </c>
      <c r="CU30" s="1">
        <v>1.62</v>
      </c>
      <c r="CV30" s="1">
        <f t="shared" si="15"/>
        <v>2.0140000000000002</v>
      </c>
      <c r="CW30" s="1">
        <v>21.8</v>
      </c>
      <c r="CX30" s="1">
        <v>9.9</v>
      </c>
      <c r="CY30" s="1">
        <v>0.63</v>
      </c>
      <c r="CZ30" s="1">
        <f t="shared" si="16"/>
        <v>1.4000000000000001</v>
      </c>
      <c r="DA30" s="1">
        <f t="shared" si="2"/>
        <v>0.90099999999999991</v>
      </c>
      <c r="DB30" s="1">
        <f t="shared" si="3"/>
        <v>1.4582658959537573</v>
      </c>
    </row>
    <row r="31" spans="1:106" ht="16" thickBot="1" x14ac:dyDescent="0.4">
      <c r="A31" s="1">
        <v>29</v>
      </c>
      <c r="B31" s="7" t="s">
        <v>154</v>
      </c>
      <c r="C31" s="11" t="s">
        <v>52</v>
      </c>
      <c r="D31" s="10" t="s">
        <v>93</v>
      </c>
      <c r="E31" s="3">
        <v>45292</v>
      </c>
      <c r="F31" s="3">
        <f t="shared" si="17"/>
        <v>45274</v>
      </c>
      <c r="G31" s="1">
        <f t="shared" si="4"/>
        <v>18</v>
      </c>
      <c r="H31" s="1">
        <f t="shared" si="0"/>
        <v>130</v>
      </c>
      <c r="I31" s="1">
        <v>3</v>
      </c>
      <c r="J31" s="3">
        <v>45404</v>
      </c>
      <c r="K31" s="3">
        <v>45416</v>
      </c>
      <c r="L31" s="15">
        <f t="shared" si="5"/>
        <v>142</v>
      </c>
      <c r="M31" s="13">
        <f t="shared" si="1"/>
        <v>146</v>
      </c>
      <c r="N31" s="3">
        <v>45420</v>
      </c>
      <c r="O31" s="1">
        <v>113</v>
      </c>
      <c r="P31" s="1">
        <v>103</v>
      </c>
      <c r="Q31" s="1">
        <v>100</v>
      </c>
      <c r="R31" s="1">
        <v>112.4</v>
      </c>
      <c r="S31" s="1">
        <v>106.4</v>
      </c>
      <c r="T31" s="1">
        <f t="shared" si="6"/>
        <v>106.96</v>
      </c>
      <c r="U31" s="1">
        <v>17</v>
      </c>
      <c r="V31" s="1">
        <v>14.5</v>
      </c>
      <c r="W31" s="1">
        <v>21</v>
      </c>
      <c r="X31" s="1">
        <v>25</v>
      </c>
      <c r="Y31" s="1">
        <v>25</v>
      </c>
      <c r="Z31" s="1">
        <f t="shared" si="7"/>
        <v>20.5</v>
      </c>
      <c r="AA31" s="1">
        <v>14</v>
      </c>
      <c r="AB31" s="1">
        <v>10.5</v>
      </c>
      <c r="AC31" s="1">
        <v>12</v>
      </c>
      <c r="AD31" s="1">
        <v>11</v>
      </c>
      <c r="AE31" s="1">
        <v>12.5</v>
      </c>
      <c r="AF31" s="1">
        <f t="shared" si="8"/>
        <v>12</v>
      </c>
      <c r="AG31" s="1">
        <v>1.5</v>
      </c>
      <c r="AH31" s="1">
        <v>4.3</v>
      </c>
      <c r="AI31" s="1">
        <v>3.5</v>
      </c>
      <c r="AJ31" s="1">
        <v>3.3</v>
      </c>
      <c r="AK31" s="1">
        <v>3</v>
      </c>
      <c r="AL31" s="1">
        <f t="shared" si="18"/>
        <v>3.12</v>
      </c>
      <c r="AM31" s="1">
        <v>7</v>
      </c>
      <c r="AN31" s="1">
        <v>12.1</v>
      </c>
      <c r="AO31" s="1">
        <v>12.3</v>
      </c>
      <c r="AP31" s="1">
        <v>10.4</v>
      </c>
      <c r="AQ31" s="1">
        <v>11.2</v>
      </c>
      <c r="AR31" s="1">
        <v>10.6</v>
      </c>
      <c r="AS31" s="1">
        <f t="shared" si="9"/>
        <v>11.32</v>
      </c>
      <c r="AT31" s="1">
        <v>1.1000000000000001</v>
      </c>
      <c r="AU31" s="1">
        <v>0.8</v>
      </c>
      <c r="AV31" s="1">
        <v>1.1000000000000001</v>
      </c>
      <c r="AY31" s="1">
        <f t="shared" si="10"/>
        <v>1</v>
      </c>
      <c r="AZ31" s="1">
        <v>7</v>
      </c>
      <c r="BA31" s="1">
        <v>5</v>
      </c>
      <c r="BB31" s="1">
        <v>10</v>
      </c>
      <c r="BC31" s="1">
        <v>8</v>
      </c>
      <c r="BD31" s="1">
        <v>11</v>
      </c>
      <c r="BE31" s="1">
        <v>7</v>
      </c>
      <c r="BF31" s="1">
        <v>6</v>
      </c>
      <c r="BG31" s="1">
        <v>8</v>
      </c>
      <c r="BH31" s="1">
        <v>7</v>
      </c>
      <c r="BI31" s="1">
        <v>10</v>
      </c>
      <c r="BJ31" s="1">
        <v>9</v>
      </c>
      <c r="BK31" s="1">
        <v>10</v>
      </c>
      <c r="BL31" s="1">
        <v>11</v>
      </c>
      <c r="BM31" s="1">
        <v>11</v>
      </c>
      <c r="BN31" s="1">
        <v>10</v>
      </c>
      <c r="BO31" s="1">
        <v>2</v>
      </c>
      <c r="BP31" s="1">
        <v>0</v>
      </c>
      <c r="BQ31" s="1">
        <v>3</v>
      </c>
      <c r="BR31" s="1">
        <v>3</v>
      </c>
      <c r="BS31" s="1">
        <v>3</v>
      </c>
      <c r="BT31" s="1">
        <v>3</v>
      </c>
      <c r="BU31" s="1">
        <v>3</v>
      </c>
      <c r="BV31" s="1">
        <f t="shared" si="19"/>
        <v>3</v>
      </c>
      <c r="BW31" s="1">
        <v>29</v>
      </c>
      <c r="BX31" s="1">
        <v>49</v>
      </c>
      <c r="BY31" s="1">
        <v>53</v>
      </c>
      <c r="BZ31" s="1">
        <v>60</v>
      </c>
      <c r="CA31" s="1">
        <v>41</v>
      </c>
      <c r="CB31" s="1">
        <v>46</v>
      </c>
      <c r="CC31" s="1">
        <v>2</v>
      </c>
      <c r="CD31" s="1">
        <v>7</v>
      </c>
      <c r="CE31" s="1">
        <v>6.32</v>
      </c>
      <c r="CF31" s="1">
        <v>6.03</v>
      </c>
      <c r="CG31" s="1">
        <v>5.82</v>
      </c>
      <c r="CH31" s="1">
        <v>6.46</v>
      </c>
      <c r="CI31" s="1">
        <v>5.37</v>
      </c>
      <c r="CJ31" s="1">
        <f t="shared" si="13"/>
        <v>6.0000000000000009</v>
      </c>
      <c r="CK31" s="1">
        <v>2.54</v>
      </c>
      <c r="CL31" s="1">
        <v>3.05</v>
      </c>
      <c r="CM31" s="1">
        <v>2.95</v>
      </c>
      <c r="CN31" s="1">
        <v>2.27</v>
      </c>
      <c r="CO31" s="1">
        <v>2.23</v>
      </c>
      <c r="CP31" s="1">
        <f t="shared" si="14"/>
        <v>2.6079999999999997</v>
      </c>
      <c r="CQ31" s="1">
        <v>2.48</v>
      </c>
      <c r="CR31" s="1">
        <v>2.68</v>
      </c>
      <c r="CS31" s="1">
        <v>2.39</v>
      </c>
      <c r="CT31" s="1">
        <v>2.25</v>
      </c>
      <c r="CU31" s="1">
        <v>1.61</v>
      </c>
      <c r="CV31" s="1">
        <f t="shared" si="15"/>
        <v>2.282</v>
      </c>
      <c r="CW31" s="1">
        <v>29.7</v>
      </c>
      <c r="CX31" s="1">
        <v>7.8</v>
      </c>
      <c r="CY31" s="1">
        <v>1.05</v>
      </c>
      <c r="CZ31" s="1">
        <f t="shared" si="16"/>
        <v>2.3333333333333335</v>
      </c>
      <c r="DA31" s="1">
        <f t="shared" si="2"/>
        <v>0.92200000000000004</v>
      </c>
      <c r="DB31" s="1">
        <f t="shared" si="3"/>
        <v>2.4870905587668597</v>
      </c>
    </row>
    <row r="32" spans="1:106" ht="16" thickBot="1" x14ac:dyDescent="0.4">
      <c r="A32" s="1">
        <v>30</v>
      </c>
      <c r="B32" s="7" t="s">
        <v>155</v>
      </c>
      <c r="C32" s="11" t="s">
        <v>52</v>
      </c>
      <c r="D32" s="10" t="s">
        <v>94</v>
      </c>
      <c r="E32" s="3">
        <v>45289</v>
      </c>
      <c r="F32" s="3">
        <f t="shared" si="17"/>
        <v>45274</v>
      </c>
      <c r="G32" s="1">
        <f t="shared" si="4"/>
        <v>15</v>
      </c>
      <c r="H32" s="1">
        <f t="shared" si="0"/>
        <v>108</v>
      </c>
      <c r="I32" s="1">
        <v>3</v>
      </c>
      <c r="J32" s="3">
        <v>45382</v>
      </c>
      <c r="K32" s="3">
        <v>45386</v>
      </c>
      <c r="L32" s="15">
        <f t="shared" si="5"/>
        <v>112</v>
      </c>
      <c r="M32" s="13">
        <f t="shared" si="1"/>
        <v>140</v>
      </c>
      <c r="N32" s="3">
        <v>45414</v>
      </c>
      <c r="O32" s="1">
        <v>85</v>
      </c>
      <c r="P32" s="1">
        <v>83.5</v>
      </c>
      <c r="Q32" s="1">
        <v>83.5</v>
      </c>
      <c r="R32" s="1">
        <v>94</v>
      </c>
      <c r="S32" s="1">
        <v>90</v>
      </c>
      <c r="T32" s="1">
        <f t="shared" si="6"/>
        <v>87.2</v>
      </c>
      <c r="U32" s="1">
        <v>11.5</v>
      </c>
      <c r="V32" s="1">
        <v>13</v>
      </c>
      <c r="W32" s="1">
        <v>13.5</v>
      </c>
      <c r="X32" s="1">
        <v>14</v>
      </c>
      <c r="Y32" s="1">
        <v>10.5</v>
      </c>
      <c r="Z32" s="1">
        <f t="shared" si="7"/>
        <v>12.5</v>
      </c>
      <c r="AA32" s="1">
        <v>10</v>
      </c>
      <c r="AB32" s="1">
        <v>8.5</v>
      </c>
      <c r="AC32" s="1">
        <v>9</v>
      </c>
      <c r="AD32" s="1">
        <v>11</v>
      </c>
      <c r="AE32" s="1">
        <v>11</v>
      </c>
      <c r="AF32" s="1">
        <f t="shared" si="8"/>
        <v>9.9</v>
      </c>
      <c r="AL32" s="1" t="s">
        <v>43</v>
      </c>
      <c r="AM32" s="1">
        <v>0</v>
      </c>
      <c r="AN32" s="1">
        <v>13.1</v>
      </c>
      <c r="AO32" s="1">
        <v>12</v>
      </c>
      <c r="AP32" s="1">
        <v>9.5</v>
      </c>
      <c r="AQ32" s="1">
        <v>11.5</v>
      </c>
      <c r="AR32" s="1">
        <v>10.1</v>
      </c>
      <c r="AS32" s="1">
        <f t="shared" si="9"/>
        <v>11.24</v>
      </c>
      <c r="AT32" s="1">
        <v>1.1000000000000001</v>
      </c>
      <c r="AU32" s="1">
        <v>1.1000000000000001</v>
      </c>
      <c r="AV32" s="1">
        <v>1</v>
      </c>
      <c r="AW32" s="1">
        <v>1</v>
      </c>
      <c r="AX32" s="1">
        <v>1.1000000000000001</v>
      </c>
      <c r="AY32" s="1">
        <f t="shared" si="10"/>
        <v>1.06</v>
      </c>
      <c r="AZ32" s="1">
        <v>5</v>
      </c>
      <c r="BA32" s="1">
        <v>3</v>
      </c>
      <c r="BB32" s="1">
        <v>4</v>
      </c>
      <c r="BC32" s="1">
        <v>4</v>
      </c>
      <c r="BD32" s="1">
        <v>3</v>
      </c>
      <c r="BE32" s="1">
        <v>4</v>
      </c>
      <c r="BF32" s="1">
        <v>5</v>
      </c>
      <c r="BG32" s="1">
        <f t="shared" si="11"/>
        <v>4</v>
      </c>
      <c r="BH32" s="1">
        <v>5</v>
      </c>
      <c r="BI32" s="1">
        <v>10</v>
      </c>
      <c r="BJ32" s="1">
        <v>11</v>
      </c>
      <c r="BK32" s="1">
        <v>10</v>
      </c>
      <c r="BL32" s="1">
        <v>11</v>
      </c>
      <c r="BM32" s="1">
        <v>10</v>
      </c>
      <c r="BN32" s="1">
        <v>10</v>
      </c>
      <c r="BO32" s="1">
        <v>1</v>
      </c>
      <c r="BP32" s="1">
        <v>0</v>
      </c>
      <c r="BQ32" s="1">
        <v>3</v>
      </c>
      <c r="BR32" s="1">
        <v>3</v>
      </c>
      <c r="BS32" s="1">
        <v>4</v>
      </c>
      <c r="BT32" s="1">
        <v>4</v>
      </c>
      <c r="BU32" s="1">
        <v>4</v>
      </c>
      <c r="BV32" s="1">
        <v>4</v>
      </c>
      <c r="BW32" s="1">
        <v>51</v>
      </c>
      <c r="BX32" s="1">
        <v>68</v>
      </c>
      <c r="BY32" s="1">
        <v>57</v>
      </c>
      <c r="BZ32" s="1">
        <v>48</v>
      </c>
      <c r="CA32" s="1">
        <v>45</v>
      </c>
      <c r="CB32" s="1">
        <v>54</v>
      </c>
      <c r="CC32" s="1">
        <v>2</v>
      </c>
      <c r="CD32" s="1">
        <v>7</v>
      </c>
      <c r="CE32" s="1">
        <v>5.52</v>
      </c>
      <c r="CF32" s="1">
        <v>6.03</v>
      </c>
      <c r="CG32" s="1">
        <v>5.84</v>
      </c>
      <c r="CH32" s="1">
        <v>6.18</v>
      </c>
      <c r="CI32" s="1">
        <v>5.48</v>
      </c>
      <c r="CJ32" s="1">
        <f t="shared" si="13"/>
        <v>5.8100000000000005</v>
      </c>
      <c r="CK32" s="1">
        <v>2.98</v>
      </c>
      <c r="CL32" s="1">
        <v>2.79</v>
      </c>
      <c r="CM32" s="1">
        <v>3.2</v>
      </c>
      <c r="CN32" s="1">
        <v>3.05</v>
      </c>
      <c r="CO32" s="1">
        <v>3.01</v>
      </c>
      <c r="CP32" s="1">
        <f t="shared" si="14"/>
        <v>3.0059999999999998</v>
      </c>
      <c r="CQ32" s="1">
        <v>2.72</v>
      </c>
      <c r="CR32" s="1">
        <v>2.85</v>
      </c>
      <c r="CS32" s="1">
        <v>2.4</v>
      </c>
      <c r="CT32" s="1">
        <v>2.48</v>
      </c>
      <c r="CU32" s="1">
        <v>2.56</v>
      </c>
      <c r="CV32" s="1">
        <f t="shared" si="15"/>
        <v>2.6020000000000003</v>
      </c>
      <c r="CW32" s="1">
        <v>38.4</v>
      </c>
      <c r="CX32" s="1">
        <v>11.6</v>
      </c>
      <c r="CY32" s="1">
        <v>0.59499999999999997</v>
      </c>
      <c r="CZ32" s="1">
        <f t="shared" si="16"/>
        <v>1.3222222222222222</v>
      </c>
      <c r="DA32" s="1">
        <f t="shared" si="2"/>
        <v>0.88400000000000001</v>
      </c>
      <c r="DB32" s="1">
        <f t="shared" si="3"/>
        <v>1.3512652536929992</v>
      </c>
    </row>
    <row r="33" spans="1:106" ht="16" thickBot="1" x14ac:dyDescent="0.4">
      <c r="A33" s="1">
        <v>31</v>
      </c>
      <c r="B33" s="7" t="s">
        <v>156</v>
      </c>
      <c r="C33" s="11" t="s">
        <v>52</v>
      </c>
      <c r="D33" s="10" t="s">
        <v>80</v>
      </c>
      <c r="E33" s="3">
        <v>45289</v>
      </c>
      <c r="F33" s="3">
        <f t="shared" si="17"/>
        <v>45274</v>
      </c>
      <c r="G33" s="1">
        <f t="shared" si="4"/>
        <v>15</v>
      </c>
      <c r="H33" s="1">
        <f t="shared" si="0"/>
        <v>108</v>
      </c>
      <c r="I33" s="1">
        <v>3</v>
      </c>
      <c r="J33" s="3">
        <v>45382</v>
      </c>
      <c r="K33" s="3">
        <v>45385</v>
      </c>
      <c r="L33" s="15">
        <f t="shared" si="5"/>
        <v>111</v>
      </c>
      <c r="M33" s="13">
        <f t="shared" si="1"/>
        <v>140</v>
      </c>
      <c r="N33" s="3">
        <v>45414</v>
      </c>
      <c r="O33" s="1">
        <v>84</v>
      </c>
      <c r="P33" s="1">
        <v>85</v>
      </c>
      <c r="Q33" s="1">
        <v>86</v>
      </c>
      <c r="R33" s="1">
        <v>92</v>
      </c>
      <c r="S33" s="1">
        <v>90</v>
      </c>
      <c r="T33" s="1">
        <f t="shared" si="6"/>
        <v>87.4</v>
      </c>
      <c r="U33" s="1">
        <v>11.5</v>
      </c>
      <c r="V33" s="1">
        <v>12</v>
      </c>
      <c r="W33" s="1">
        <v>13</v>
      </c>
      <c r="X33" s="1">
        <v>14</v>
      </c>
      <c r="Y33" s="1">
        <v>15</v>
      </c>
      <c r="Z33" s="1">
        <f t="shared" si="7"/>
        <v>13.1</v>
      </c>
      <c r="AA33" s="1">
        <v>9.5</v>
      </c>
      <c r="AB33" s="1">
        <v>9</v>
      </c>
      <c r="AC33" s="1">
        <v>10</v>
      </c>
      <c r="AD33" s="1">
        <v>12</v>
      </c>
      <c r="AE33" s="1">
        <v>9</v>
      </c>
      <c r="AF33" s="1">
        <f t="shared" si="8"/>
        <v>9.9</v>
      </c>
      <c r="AL33" s="1" t="s">
        <v>43</v>
      </c>
      <c r="AM33" s="1">
        <v>0</v>
      </c>
      <c r="AN33" s="1">
        <v>10.6</v>
      </c>
      <c r="AO33" s="1">
        <v>8.5</v>
      </c>
      <c r="AP33" s="1">
        <v>9.5</v>
      </c>
      <c r="AQ33" s="1">
        <v>11.4</v>
      </c>
      <c r="AR33" s="1">
        <v>10.6</v>
      </c>
      <c r="AS33" s="1">
        <f t="shared" si="9"/>
        <v>10.120000000000001</v>
      </c>
      <c r="AT33" s="1">
        <v>1.1000000000000001</v>
      </c>
      <c r="AU33" s="1">
        <v>1.1000000000000001</v>
      </c>
      <c r="AV33" s="1">
        <v>1</v>
      </c>
      <c r="AW33" s="1">
        <v>1</v>
      </c>
      <c r="AX33" s="1">
        <v>1.1000000000000001</v>
      </c>
      <c r="AY33" s="1">
        <f t="shared" si="10"/>
        <v>1.06</v>
      </c>
      <c r="AZ33" s="1">
        <v>5</v>
      </c>
      <c r="BA33" s="1">
        <v>3</v>
      </c>
      <c r="BB33" s="1">
        <v>3</v>
      </c>
      <c r="BC33" s="1">
        <v>5</v>
      </c>
      <c r="BD33" s="1">
        <v>4</v>
      </c>
      <c r="BE33" s="1">
        <v>10</v>
      </c>
      <c r="BF33" s="1">
        <v>3</v>
      </c>
      <c r="BG33" s="1">
        <f t="shared" si="11"/>
        <v>5</v>
      </c>
      <c r="BH33" s="1">
        <v>9</v>
      </c>
      <c r="BI33" s="1">
        <v>10</v>
      </c>
      <c r="BJ33" s="1">
        <v>11</v>
      </c>
      <c r="BK33" s="1">
        <v>11</v>
      </c>
      <c r="BL33" s="1">
        <v>10</v>
      </c>
      <c r="BM33" s="1">
        <v>10</v>
      </c>
      <c r="BN33" s="1">
        <v>10</v>
      </c>
      <c r="BO33" s="1">
        <v>1</v>
      </c>
      <c r="BP33" s="1">
        <v>0</v>
      </c>
      <c r="BQ33" s="1">
        <v>3</v>
      </c>
      <c r="BR33" s="1">
        <v>3</v>
      </c>
      <c r="BS33" s="1">
        <v>3</v>
      </c>
      <c r="BT33" s="1">
        <v>3</v>
      </c>
      <c r="BU33" s="1">
        <v>3</v>
      </c>
      <c r="BV33" s="1">
        <f t="shared" si="19"/>
        <v>3</v>
      </c>
      <c r="BW33" s="1">
        <v>49</v>
      </c>
      <c r="BX33" s="1">
        <v>45</v>
      </c>
      <c r="BY33" s="1">
        <v>49</v>
      </c>
      <c r="BZ33" s="1">
        <v>48</v>
      </c>
      <c r="CA33" s="1">
        <v>48</v>
      </c>
      <c r="CB33" s="1">
        <v>48</v>
      </c>
      <c r="CC33" s="1">
        <v>2</v>
      </c>
      <c r="CD33" s="1">
        <v>5</v>
      </c>
      <c r="CE33" s="1">
        <v>6.1</v>
      </c>
      <c r="CF33" s="1">
        <v>4.9400000000000004</v>
      </c>
      <c r="CG33" s="1">
        <v>6.38</v>
      </c>
      <c r="CH33" s="1">
        <v>5.77</v>
      </c>
      <c r="CI33" s="1">
        <v>5.58</v>
      </c>
      <c r="CJ33" s="1">
        <f t="shared" si="13"/>
        <v>5.7539999999999996</v>
      </c>
      <c r="CK33" s="1">
        <v>3.32</v>
      </c>
      <c r="CL33" s="1">
        <v>2.36</v>
      </c>
      <c r="CM33" s="1">
        <v>3.16</v>
      </c>
      <c r="CN33" s="1">
        <v>3.34</v>
      </c>
      <c r="CO33" s="1">
        <v>2.75</v>
      </c>
      <c r="CP33" s="1">
        <f t="shared" si="14"/>
        <v>2.9859999999999998</v>
      </c>
      <c r="CQ33" s="1">
        <v>2.11</v>
      </c>
      <c r="CR33" s="1">
        <v>2.14</v>
      </c>
      <c r="CS33" s="1">
        <v>2.72</v>
      </c>
      <c r="CT33" s="1">
        <v>2.71</v>
      </c>
      <c r="CU33" s="1">
        <v>2.66</v>
      </c>
      <c r="CV33" s="1">
        <f t="shared" si="15"/>
        <v>2.468</v>
      </c>
      <c r="CW33" s="1">
        <v>39.1</v>
      </c>
      <c r="CX33" s="1">
        <v>9.8000000000000007</v>
      </c>
      <c r="CY33" s="1">
        <v>0.55000000000000004</v>
      </c>
      <c r="CZ33" s="1">
        <f t="shared" si="16"/>
        <v>1.2222222222222223</v>
      </c>
      <c r="DA33" s="1">
        <f t="shared" si="2"/>
        <v>0.90200000000000002</v>
      </c>
      <c r="DB33" s="1">
        <f t="shared" si="3"/>
        <v>1.2745022479126527</v>
      </c>
    </row>
    <row r="34" spans="1:106" ht="16" thickBot="1" x14ac:dyDescent="0.4">
      <c r="A34" s="1">
        <v>32</v>
      </c>
      <c r="B34" s="7" t="s">
        <v>157</v>
      </c>
      <c r="C34" s="11" t="s">
        <v>52</v>
      </c>
      <c r="D34" s="10" t="s">
        <v>95</v>
      </c>
      <c r="E34" s="3">
        <v>45292</v>
      </c>
      <c r="F34" s="3">
        <f t="shared" si="17"/>
        <v>45274</v>
      </c>
      <c r="G34" s="1">
        <f t="shared" si="4"/>
        <v>18</v>
      </c>
      <c r="H34" s="1">
        <f t="shared" si="0"/>
        <v>114</v>
      </c>
      <c r="I34" s="1">
        <v>5</v>
      </c>
      <c r="J34" s="3">
        <v>45388</v>
      </c>
      <c r="K34" s="3">
        <v>45391</v>
      </c>
      <c r="L34" s="15">
        <f t="shared" si="5"/>
        <v>117</v>
      </c>
      <c r="M34" s="13">
        <f t="shared" si="1"/>
        <v>146</v>
      </c>
      <c r="N34" s="3">
        <v>45420</v>
      </c>
      <c r="O34" s="1">
        <v>71</v>
      </c>
      <c r="P34" s="1">
        <v>74</v>
      </c>
      <c r="Q34" s="1">
        <v>77</v>
      </c>
      <c r="R34" s="1">
        <v>74</v>
      </c>
      <c r="S34" s="1">
        <v>82</v>
      </c>
      <c r="T34" s="1">
        <f t="shared" si="6"/>
        <v>75.599999999999994</v>
      </c>
      <c r="U34" s="1">
        <v>8.5</v>
      </c>
      <c r="V34" s="1">
        <v>8</v>
      </c>
      <c r="W34" s="1">
        <v>6</v>
      </c>
      <c r="X34" s="1">
        <v>9</v>
      </c>
      <c r="Y34" s="1">
        <v>7.5</v>
      </c>
      <c r="Z34" s="1">
        <f t="shared" si="7"/>
        <v>7.8</v>
      </c>
      <c r="AA34" s="1">
        <v>8</v>
      </c>
      <c r="AB34" s="1">
        <v>8.5</v>
      </c>
      <c r="AC34" s="1">
        <v>10</v>
      </c>
      <c r="AD34" s="1">
        <v>9</v>
      </c>
      <c r="AE34" s="1">
        <v>11</v>
      </c>
      <c r="AF34" s="1">
        <f t="shared" si="8"/>
        <v>9.3000000000000007</v>
      </c>
      <c r="AG34" s="1">
        <v>8.8000000000000007</v>
      </c>
      <c r="AH34" s="1">
        <v>7</v>
      </c>
      <c r="AI34" s="1">
        <v>5.5</v>
      </c>
      <c r="AJ34" s="1">
        <v>5.9</v>
      </c>
      <c r="AK34" s="1">
        <v>7</v>
      </c>
      <c r="AL34" s="1">
        <f t="shared" si="18"/>
        <v>6.8400000000000007</v>
      </c>
      <c r="AM34" s="1">
        <v>7</v>
      </c>
      <c r="AN34" s="1">
        <v>11.6</v>
      </c>
      <c r="AO34" s="1">
        <v>13</v>
      </c>
      <c r="AP34" s="1">
        <v>14</v>
      </c>
      <c r="AQ34" s="1">
        <v>11</v>
      </c>
      <c r="AR34" s="1">
        <v>14.6</v>
      </c>
      <c r="AS34" s="1">
        <f t="shared" si="9"/>
        <v>12.84</v>
      </c>
      <c r="AT34" s="1">
        <v>1.2</v>
      </c>
      <c r="AU34" s="1">
        <v>1.2</v>
      </c>
      <c r="AV34" s="1">
        <v>1.5</v>
      </c>
      <c r="AW34" s="1">
        <v>1.1000000000000001</v>
      </c>
      <c r="AX34" s="1">
        <v>1.6</v>
      </c>
      <c r="AY34" s="1">
        <f t="shared" si="10"/>
        <v>1.3199999999999998</v>
      </c>
      <c r="AZ34" s="1">
        <v>5</v>
      </c>
      <c r="BA34" s="1">
        <v>3</v>
      </c>
      <c r="BB34" s="1">
        <v>10</v>
      </c>
      <c r="BC34" s="1">
        <v>4</v>
      </c>
      <c r="BD34" s="1">
        <v>9</v>
      </c>
      <c r="BE34" s="1">
        <v>12</v>
      </c>
      <c r="BF34" s="1">
        <v>2</v>
      </c>
      <c r="BG34" s="1">
        <v>7</v>
      </c>
      <c r="BH34" s="1">
        <v>9</v>
      </c>
      <c r="BI34" s="1">
        <v>10</v>
      </c>
      <c r="BJ34" s="1">
        <v>9</v>
      </c>
      <c r="BK34" s="1">
        <v>9</v>
      </c>
      <c r="BL34" s="1">
        <v>9</v>
      </c>
      <c r="BM34" s="1">
        <v>10</v>
      </c>
      <c r="BN34" s="1">
        <v>9</v>
      </c>
      <c r="BO34" s="1">
        <v>2</v>
      </c>
      <c r="BP34" s="1">
        <v>0</v>
      </c>
      <c r="BQ34" s="1">
        <v>4</v>
      </c>
      <c r="BR34" s="1">
        <v>4</v>
      </c>
      <c r="BS34" s="1">
        <v>3</v>
      </c>
      <c r="BT34" s="1">
        <v>4</v>
      </c>
      <c r="BU34" s="1">
        <v>3</v>
      </c>
      <c r="BV34" s="1">
        <v>4</v>
      </c>
      <c r="BW34" s="1">
        <v>45</v>
      </c>
      <c r="BX34" s="1">
        <v>42</v>
      </c>
      <c r="BY34" s="1">
        <v>54</v>
      </c>
      <c r="BZ34" s="1">
        <v>39</v>
      </c>
      <c r="CA34" s="1">
        <v>44</v>
      </c>
      <c r="CB34" s="1">
        <v>45</v>
      </c>
      <c r="CC34" s="1">
        <v>2</v>
      </c>
      <c r="CD34" s="1">
        <v>7</v>
      </c>
      <c r="CE34" s="1">
        <v>5.8</v>
      </c>
      <c r="CF34" s="1">
        <v>5.92</v>
      </c>
      <c r="CG34" s="1">
        <v>5.8</v>
      </c>
      <c r="CH34" s="1">
        <v>6.05</v>
      </c>
      <c r="CI34" s="1">
        <v>6.33</v>
      </c>
      <c r="CJ34" s="1">
        <f t="shared" si="13"/>
        <v>5.9799999999999995</v>
      </c>
      <c r="CK34" s="1">
        <v>3.42</v>
      </c>
      <c r="CL34" s="1">
        <v>3.43</v>
      </c>
      <c r="CM34" s="1">
        <v>3.52</v>
      </c>
      <c r="CN34" s="1">
        <v>3.69</v>
      </c>
      <c r="CO34" s="1">
        <v>3.86</v>
      </c>
      <c r="CP34" s="1">
        <f t="shared" si="14"/>
        <v>3.5839999999999996</v>
      </c>
      <c r="CQ34" s="1">
        <v>2.77</v>
      </c>
      <c r="CR34" s="1">
        <v>2.77</v>
      </c>
      <c r="CS34" s="1">
        <v>3</v>
      </c>
      <c r="CT34" s="1">
        <v>3.05</v>
      </c>
      <c r="CU34" s="1">
        <v>3.55</v>
      </c>
      <c r="CV34" s="1">
        <f t="shared" si="15"/>
        <v>3.028</v>
      </c>
      <c r="CW34" s="1">
        <v>46.8</v>
      </c>
      <c r="CX34" s="1">
        <v>9.6</v>
      </c>
      <c r="CY34" s="1">
        <v>0.73499999999999999</v>
      </c>
      <c r="CZ34" s="1">
        <f t="shared" si="16"/>
        <v>1.6333333333333333</v>
      </c>
      <c r="DA34" s="1">
        <f t="shared" si="2"/>
        <v>0.90400000000000003</v>
      </c>
      <c r="DB34" s="1">
        <f t="shared" si="3"/>
        <v>1.7069749518304431</v>
      </c>
    </row>
    <row r="35" spans="1:106" ht="16" thickBot="1" x14ac:dyDescent="0.4">
      <c r="A35" s="1">
        <v>33</v>
      </c>
      <c r="B35" s="7" t="s">
        <v>158</v>
      </c>
      <c r="C35" s="11" t="s">
        <v>52</v>
      </c>
      <c r="D35" s="10" t="s">
        <v>95</v>
      </c>
      <c r="E35" s="3">
        <v>45292</v>
      </c>
      <c r="F35" s="3">
        <f t="shared" si="17"/>
        <v>45274</v>
      </c>
      <c r="G35" s="1">
        <f t="shared" si="4"/>
        <v>18</v>
      </c>
      <c r="H35" s="1">
        <f t="shared" ref="H35:H66" si="21">J35-F35</f>
        <v>106</v>
      </c>
      <c r="I35" s="1">
        <v>3</v>
      </c>
      <c r="J35" s="3">
        <v>45380</v>
      </c>
      <c r="K35" s="3">
        <v>45385</v>
      </c>
      <c r="L35" s="15">
        <f t="shared" si="5"/>
        <v>111</v>
      </c>
      <c r="M35" s="13">
        <f t="shared" ref="M35:M66" si="22">N35-F35</f>
        <v>145</v>
      </c>
      <c r="N35" s="3">
        <v>45419</v>
      </c>
      <c r="O35" s="1">
        <v>84</v>
      </c>
      <c r="P35" s="1">
        <v>94</v>
      </c>
      <c r="Q35" s="1">
        <v>84</v>
      </c>
      <c r="R35" s="1">
        <v>88</v>
      </c>
      <c r="S35" s="1">
        <v>91</v>
      </c>
      <c r="T35" s="1">
        <f t="shared" si="6"/>
        <v>88.2</v>
      </c>
      <c r="U35" s="1">
        <v>15</v>
      </c>
      <c r="V35" s="1">
        <v>12</v>
      </c>
      <c r="W35" s="1">
        <v>16</v>
      </c>
      <c r="X35" s="1">
        <v>7.5</v>
      </c>
      <c r="Y35" s="1">
        <v>16.5</v>
      </c>
      <c r="Z35" s="1">
        <f t="shared" si="7"/>
        <v>13.4</v>
      </c>
      <c r="AA35" s="1">
        <v>8.5</v>
      </c>
      <c r="AB35" s="1">
        <v>7</v>
      </c>
      <c r="AC35" s="1">
        <v>6</v>
      </c>
      <c r="AD35" s="1">
        <v>8</v>
      </c>
      <c r="AE35" s="1">
        <v>9.5</v>
      </c>
      <c r="AF35" s="1">
        <f t="shared" si="8"/>
        <v>7.8</v>
      </c>
      <c r="AL35" s="1" t="s">
        <v>43</v>
      </c>
      <c r="AM35" s="1">
        <v>0</v>
      </c>
      <c r="AN35" s="1">
        <v>12.5</v>
      </c>
      <c r="AO35" s="1">
        <v>10</v>
      </c>
      <c r="AP35" s="1">
        <v>9</v>
      </c>
      <c r="AQ35" s="1">
        <v>9.5</v>
      </c>
      <c r="AR35" s="1">
        <v>7.5</v>
      </c>
      <c r="AS35" s="1">
        <f t="shared" si="9"/>
        <v>9.6999999999999993</v>
      </c>
      <c r="AT35" s="1">
        <v>1</v>
      </c>
      <c r="AU35" s="1">
        <v>0.8</v>
      </c>
      <c r="AV35" s="1">
        <v>0.7</v>
      </c>
      <c r="AW35" s="1">
        <v>0.8</v>
      </c>
      <c r="AX35" s="1">
        <v>0.7</v>
      </c>
      <c r="AY35" s="1">
        <f t="shared" si="10"/>
        <v>0.8</v>
      </c>
      <c r="AZ35" s="1">
        <v>5</v>
      </c>
      <c r="BA35" s="1">
        <v>3</v>
      </c>
      <c r="BB35" s="1">
        <v>3</v>
      </c>
      <c r="BC35" s="1">
        <v>6</v>
      </c>
      <c r="BD35" s="1">
        <v>9</v>
      </c>
      <c r="BE35" s="1">
        <v>9</v>
      </c>
      <c r="BF35" s="1">
        <v>5</v>
      </c>
      <c r="BG35" s="1">
        <v>6</v>
      </c>
      <c r="BH35" s="1">
        <v>7</v>
      </c>
      <c r="BI35" s="1">
        <v>8</v>
      </c>
      <c r="BJ35" s="1">
        <v>10</v>
      </c>
      <c r="BK35" s="1">
        <v>10</v>
      </c>
      <c r="BL35" s="1">
        <v>9</v>
      </c>
      <c r="BM35" s="1">
        <v>9</v>
      </c>
      <c r="BN35" s="1">
        <v>9</v>
      </c>
      <c r="BO35" s="1">
        <v>1</v>
      </c>
      <c r="BP35" s="1">
        <v>3</v>
      </c>
      <c r="BQ35" s="1">
        <v>2</v>
      </c>
      <c r="BR35" s="1">
        <v>3</v>
      </c>
      <c r="BS35" s="1">
        <v>3</v>
      </c>
      <c r="BT35" s="1">
        <v>3</v>
      </c>
      <c r="BU35" s="1">
        <v>3</v>
      </c>
      <c r="BV35" s="1">
        <v>3</v>
      </c>
      <c r="BW35" s="1">
        <v>36</v>
      </c>
      <c r="BX35" s="1">
        <v>40</v>
      </c>
      <c r="BY35" s="1">
        <v>41</v>
      </c>
      <c r="BZ35" s="1">
        <v>37</v>
      </c>
      <c r="CA35" s="1">
        <v>41</v>
      </c>
      <c r="CB35" s="1">
        <f t="shared" si="20"/>
        <v>39</v>
      </c>
      <c r="CC35" s="1">
        <v>2</v>
      </c>
      <c r="CD35" s="1">
        <v>5</v>
      </c>
      <c r="CE35" s="1">
        <v>6.28</v>
      </c>
      <c r="CF35" s="1">
        <v>5.99</v>
      </c>
      <c r="CG35" s="1">
        <v>6.11</v>
      </c>
      <c r="CH35" s="1">
        <v>5.38</v>
      </c>
      <c r="CI35" s="1">
        <v>5.61</v>
      </c>
      <c r="CJ35" s="1">
        <f t="shared" si="13"/>
        <v>5.8739999999999997</v>
      </c>
      <c r="CK35" s="1">
        <v>3.51</v>
      </c>
      <c r="CL35" s="1">
        <v>3.53</v>
      </c>
      <c r="CM35" s="1">
        <v>3.35</v>
      </c>
      <c r="CN35" s="1">
        <v>2.44</v>
      </c>
      <c r="CO35" s="1">
        <v>3.34</v>
      </c>
      <c r="CP35" s="1">
        <f t="shared" si="14"/>
        <v>3.2339999999999995</v>
      </c>
      <c r="CQ35" s="1">
        <v>2.75</v>
      </c>
      <c r="CR35" s="1">
        <v>2.71</v>
      </c>
      <c r="CS35" s="1">
        <v>2.56</v>
      </c>
      <c r="CT35" s="1">
        <v>2.15</v>
      </c>
      <c r="CU35" s="1">
        <v>2.79</v>
      </c>
      <c r="CV35" s="1">
        <f t="shared" si="15"/>
        <v>2.5920000000000001</v>
      </c>
      <c r="CW35" s="1">
        <v>31.7</v>
      </c>
      <c r="CX35" s="1">
        <v>10</v>
      </c>
      <c r="CY35" s="1">
        <v>0.8</v>
      </c>
      <c r="CZ35" s="1">
        <f t="shared" si="16"/>
        <v>1.7777777777777779</v>
      </c>
      <c r="DA35" s="1">
        <f t="shared" ref="DA35:DA66" si="23">(100-CX35)/100</f>
        <v>0.9</v>
      </c>
      <c r="DB35" s="1">
        <f t="shared" ref="DB35:DB66" si="24">(CZ35*DA35)/0.865</f>
        <v>1.8497109826589597</v>
      </c>
    </row>
    <row r="36" spans="1:106" ht="16" thickBot="1" x14ac:dyDescent="0.4">
      <c r="A36" s="1">
        <v>34</v>
      </c>
      <c r="B36" s="7" t="s">
        <v>159</v>
      </c>
      <c r="C36" s="11" t="s">
        <v>52</v>
      </c>
      <c r="D36" s="10" t="s">
        <v>96</v>
      </c>
      <c r="E36" s="3">
        <v>45292</v>
      </c>
      <c r="F36" s="3">
        <f t="shared" si="17"/>
        <v>45274</v>
      </c>
      <c r="G36" s="1">
        <f t="shared" si="4"/>
        <v>18</v>
      </c>
      <c r="H36" s="1">
        <f t="shared" si="21"/>
        <v>126</v>
      </c>
      <c r="I36" s="1">
        <v>3</v>
      </c>
      <c r="J36" s="3">
        <v>45400</v>
      </c>
      <c r="K36" s="3">
        <v>45419</v>
      </c>
      <c r="L36" s="15">
        <f t="shared" si="5"/>
        <v>145</v>
      </c>
      <c r="M36" s="13">
        <f t="shared" si="22"/>
        <v>146</v>
      </c>
      <c r="N36" s="3">
        <v>45420</v>
      </c>
      <c r="O36" s="1">
        <v>90</v>
      </c>
      <c r="P36" s="1">
        <v>93</v>
      </c>
      <c r="Q36" s="1">
        <v>95</v>
      </c>
      <c r="R36" s="1">
        <v>101.4</v>
      </c>
      <c r="S36" s="1">
        <v>100.5</v>
      </c>
      <c r="T36" s="1">
        <f t="shared" si="6"/>
        <v>95.97999999999999</v>
      </c>
      <c r="U36" s="1">
        <v>10</v>
      </c>
      <c r="V36" s="1">
        <v>9.5</v>
      </c>
      <c r="W36" s="1">
        <v>13</v>
      </c>
      <c r="X36" s="1">
        <v>23</v>
      </c>
      <c r="Y36" s="1">
        <v>8</v>
      </c>
      <c r="Z36" s="1">
        <f t="shared" si="7"/>
        <v>12.7</v>
      </c>
      <c r="AA36" s="1">
        <v>15.9</v>
      </c>
      <c r="AB36" s="1">
        <v>13</v>
      </c>
      <c r="AC36" s="1">
        <v>10.3</v>
      </c>
      <c r="AD36" s="1">
        <v>13</v>
      </c>
      <c r="AE36" s="1">
        <v>13.5</v>
      </c>
      <c r="AF36" s="1">
        <f t="shared" si="8"/>
        <v>13.14</v>
      </c>
      <c r="AG36" s="1">
        <v>2</v>
      </c>
      <c r="AH36" s="1">
        <v>1.5</v>
      </c>
      <c r="AI36" s="1">
        <v>1.3</v>
      </c>
      <c r="AJ36" s="1">
        <v>1</v>
      </c>
      <c r="AK36" s="1">
        <v>1.5</v>
      </c>
      <c r="AL36" s="1">
        <f t="shared" si="18"/>
        <v>1.46</v>
      </c>
      <c r="AM36" s="1">
        <v>3</v>
      </c>
      <c r="AN36" s="1">
        <v>16.5</v>
      </c>
      <c r="AO36" s="1">
        <v>12</v>
      </c>
      <c r="AP36" s="1">
        <v>14</v>
      </c>
      <c r="AQ36" s="1">
        <v>12</v>
      </c>
      <c r="AR36" s="1">
        <v>12.5</v>
      </c>
      <c r="AS36" s="1">
        <f t="shared" si="9"/>
        <v>13.4</v>
      </c>
      <c r="AT36" s="1">
        <v>1.1000000000000001</v>
      </c>
      <c r="AU36" s="1">
        <v>0.9</v>
      </c>
      <c r="AV36" s="1">
        <v>1</v>
      </c>
      <c r="AW36" s="1">
        <v>0.7</v>
      </c>
      <c r="AX36" s="1">
        <v>0.9</v>
      </c>
      <c r="AY36" s="1">
        <f t="shared" si="10"/>
        <v>0.92000000000000015</v>
      </c>
      <c r="AZ36" s="1">
        <v>7</v>
      </c>
      <c r="BA36" s="1">
        <v>5</v>
      </c>
      <c r="BB36" s="1">
        <v>5</v>
      </c>
      <c r="BC36" s="1">
        <v>12</v>
      </c>
      <c r="BD36" s="1">
        <v>6</v>
      </c>
      <c r="BE36" s="1">
        <v>8</v>
      </c>
      <c r="BF36" s="1">
        <v>6</v>
      </c>
      <c r="BG36" s="1">
        <v>7</v>
      </c>
      <c r="BH36" s="1">
        <v>5</v>
      </c>
      <c r="BI36" s="1">
        <v>13</v>
      </c>
      <c r="BJ36" s="1">
        <v>9</v>
      </c>
      <c r="BK36" s="1">
        <v>14</v>
      </c>
      <c r="BL36" s="1">
        <v>12</v>
      </c>
      <c r="BM36" s="1">
        <v>11</v>
      </c>
      <c r="BN36" s="1">
        <v>12</v>
      </c>
      <c r="BO36" s="1">
        <v>1</v>
      </c>
      <c r="BP36" s="1">
        <v>7</v>
      </c>
      <c r="BQ36" s="1">
        <v>4</v>
      </c>
      <c r="BR36" s="1">
        <v>2</v>
      </c>
      <c r="BS36" s="1">
        <v>4</v>
      </c>
      <c r="BT36" s="1">
        <v>3</v>
      </c>
      <c r="BU36" s="1">
        <v>3</v>
      </c>
      <c r="BV36" s="1">
        <v>3</v>
      </c>
      <c r="BW36" s="1">
        <v>37</v>
      </c>
      <c r="BX36" s="1">
        <v>65</v>
      </c>
      <c r="BY36" s="1">
        <v>75</v>
      </c>
      <c r="BZ36" s="1">
        <v>28</v>
      </c>
      <c r="CA36" s="1">
        <v>36</v>
      </c>
      <c r="CB36" s="1">
        <v>48</v>
      </c>
      <c r="CC36" s="1">
        <v>2</v>
      </c>
      <c r="CD36" s="1">
        <v>7</v>
      </c>
      <c r="CE36" s="1">
        <v>7.38</v>
      </c>
      <c r="CF36" s="1">
        <v>7.53</v>
      </c>
      <c r="CG36" s="1">
        <v>5.89</v>
      </c>
      <c r="CH36" s="1">
        <v>6.77</v>
      </c>
      <c r="CI36" s="1">
        <v>5.73</v>
      </c>
      <c r="CJ36" s="1">
        <f t="shared" si="13"/>
        <v>6.6599999999999993</v>
      </c>
      <c r="CK36" s="1">
        <v>3.32</v>
      </c>
      <c r="CL36" s="1">
        <v>4.2</v>
      </c>
      <c r="CM36" s="1">
        <v>2.4</v>
      </c>
      <c r="CN36" s="1">
        <v>2.56</v>
      </c>
      <c r="CO36" s="1">
        <v>2.38</v>
      </c>
      <c r="CP36" s="1">
        <f t="shared" si="14"/>
        <v>2.972</v>
      </c>
      <c r="CQ36" s="1">
        <v>2.5499999999999998</v>
      </c>
      <c r="CR36" s="1">
        <v>2.75</v>
      </c>
      <c r="CS36" s="1">
        <v>2.2000000000000002</v>
      </c>
      <c r="CT36" s="1">
        <v>3.02</v>
      </c>
      <c r="CU36" s="1">
        <v>2.2000000000000002</v>
      </c>
      <c r="CV36" s="1">
        <f t="shared" si="15"/>
        <v>2.5439999999999996</v>
      </c>
      <c r="CW36" s="1">
        <v>37.5</v>
      </c>
      <c r="CX36" s="1">
        <v>9.6999999999999993</v>
      </c>
      <c r="CY36" s="1">
        <v>0.28499999999999998</v>
      </c>
      <c r="CZ36" s="1">
        <f t="shared" si="16"/>
        <v>0.6333333333333333</v>
      </c>
      <c r="DA36" s="1">
        <f t="shared" si="23"/>
        <v>0.90300000000000002</v>
      </c>
      <c r="DB36" s="1">
        <f t="shared" si="24"/>
        <v>0.66115606936416182</v>
      </c>
    </row>
    <row r="37" spans="1:106" ht="16" thickBot="1" x14ac:dyDescent="0.4">
      <c r="A37" s="1">
        <v>35</v>
      </c>
      <c r="B37" s="7" t="s">
        <v>160</v>
      </c>
      <c r="C37" s="11" t="s">
        <v>52</v>
      </c>
      <c r="D37" s="10" t="s">
        <v>97</v>
      </c>
      <c r="E37" s="3">
        <v>45289</v>
      </c>
      <c r="F37" s="3">
        <f t="shared" si="17"/>
        <v>45274</v>
      </c>
      <c r="G37" s="1">
        <f t="shared" si="4"/>
        <v>15</v>
      </c>
      <c r="H37" s="1">
        <f t="shared" si="21"/>
        <v>106</v>
      </c>
      <c r="I37" s="1">
        <v>5</v>
      </c>
      <c r="J37" s="3">
        <v>45380</v>
      </c>
      <c r="K37" s="3">
        <v>45386</v>
      </c>
      <c r="L37" s="15">
        <f t="shared" si="5"/>
        <v>112</v>
      </c>
      <c r="M37" s="13">
        <f t="shared" si="22"/>
        <v>140</v>
      </c>
      <c r="N37" s="3">
        <v>45414</v>
      </c>
      <c r="O37" s="1">
        <v>102.5</v>
      </c>
      <c r="P37" s="1">
        <v>108.2</v>
      </c>
      <c r="Q37" s="1">
        <v>101</v>
      </c>
      <c r="R37" s="1">
        <v>106.4</v>
      </c>
      <c r="S37" s="1">
        <v>105</v>
      </c>
      <c r="T37" s="1">
        <f t="shared" si="6"/>
        <v>104.62</v>
      </c>
      <c r="U37" s="1">
        <v>14.5</v>
      </c>
      <c r="V37" s="1">
        <v>19</v>
      </c>
      <c r="W37" s="1">
        <v>21</v>
      </c>
      <c r="X37" s="1">
        <v>11</v>
      </c>
      <c r="Y37" s="1">
        <v>20</v>
      </c>
      <c r="Z37" s="1">
        <f t="shared" si="7"/>
        <v>17.100000000000001</v>
      </c>
      <c r="AA37" s="1">
        <v>7.5</v>
      </c>
      <c r="AB37" s="1">
        <v>8</v>
      </c>
      <c r="AC37" s="1">
        <v>8.5</v>
      </c>
      <c r="AD37" s="1">
        <v>10</v>
      </c>
      <c r="AE37" s="1">
        <v>8.5</v>
      </c>
      <c r="AF37" s="1">
        <f t="shared" si="8"/>
        <v>8.5</v>
      </c>
      <c r="AL37" s="1" t="s">
        <v>43</v>
      </c>
      <c r="AM37" s="1">
        <v>0</v>
      </c>
      <c r="AN37" s="1">
        <v>12</v>
      </c>
      <c r="AO37" s="1">
        <v>8.5</v>
      </c>
      <c r="AP37" s="1">
        <v>10</v>
      </c>
      <c r="AQ37" s="1">
        <v>11</v>
      </c>
      <c r="AR37" s="1">
        <v>11</v>
      </c>
      <c r="AS37" s="1">
        <f t="shared" si="9"/>
        <v>10.5</v>
      </c>
      <c r="AT37" s="1">
        <v>1</v>
      </c>
      <c r="AU37" s="1">
        <v>0.8</v>
      </c>
      <c r="AV37" s="1">
        <v>0.6</v>
      </c>
      <c r="AW37" s="1">
        <v>1</v>
      </c>
      <c r="AX37" s="1">
        <v>0.9</v>
      </c>
      <c r="AY37" s="1">
        <f t="shared" si="10"/>
        <v>0.86</v>
      </c>
      <c r="AZ37" s="1">
        <v>5</v>
      </c>
      <c r="BA37" s="1">
        <v>3</v>
      </c>
      <c r="BB37" s="1">
        <v>4</v>
      </c>
      <c r="BC37" s="1">
        <v>6</v>
      </c>
      <c r="BD37" s="1">
        <v>7</v>
      </c>
      <c r="BE37" s="1">
        <v>8</v>
      </c>
      <c r="BF37" s="1">
        <v>9</v>
      </c>
      <c r="BG37" s="1">
        <v>7</v>
      </c>
      <c r="BH37" s="1">
        <v>7</v>
      </c>
      <c r="BI37" s="1">
        <v>9</v>
      </c>
      <c r="BJ37" s="1">
        <v>9</v>
      </c>
      <c r="BK37" s="1">
        <v>10</v>
      </c>
      <c r="BL37" s="1">
        <v>10</v>
      </c>
      <c r="BM37" s="1">
        <v>10</v>
      </c>
      <c r="BN37" s="1">
        <v>10</v>
      </c>
      <c r="BO37" s="1">
        <v>3</v>
      </c>
      <c r="BP37" s="1">
        <v>3</v>
      </c>
      <c r="BQ37" s="1">
        <v>3</v>
      </c>
      <c r="BR37" s="1">
        <v>3</v>
      </c>
      <c r="BS37" s="1">
        <v>3</v>
      </c>
      <c r="BT37" s="1">
        <v>3</v>
      </c>
      <c r="BU37" s="1">
        <v>3</v>
      </c>
      <c r="BV37" s="1">
        <f t="shared" si="19"/>
        <v>3</v>
      </c>
      <c r="BW37" s="1">
        <v>54</v>
      </c>
      <c r="BX37" s="1">
        <v>46</v>
      </c>
      <c r="BY37" s="1">
        <v>44</v>
      </c>
      <c r="BZ37" s="1">
        <v>42</v>
      </c>
      <c r="CA37" s="1">
        <v>40</v>
      </c>
      <c r="CB37" s="1">
        <v>45</v>
      </c>
      <c r="CC37" s="1">
        <v>2</v>
      </c>
      <c r="CD37" s="1">
        <v>5</v>
      </c>
      <c r="CE37" s="1">
        <v>5.95</v>
      </c>
      <c r="CF37" s="1">
        <v>5.99</v>
      </c>
      <c r="CG37" s="1">
        <v>5.43</v>
      </c>
      <c r="CH37" s="1">
        <v>4.29</v>
      </c>
      <c r="CI37" s="1">
        <v>4.57</v>
      </c>
      <c r="CJ37" s="1">
        <f t="shared" si="13"/>
        <v>5.2460000000000004</v>
      </c>
      <c r="CK37" s="1">
        <v>3.2</v>
      </c>
      <c r="CL37" s="1">
        <v>3.22</v>
      </c>
      <c r="CM37" s="1">
        <v>4.62</v>
      </c>
      <c r="CN37" s="1">
        <v>2.4700000000000002</v>
      </c>
      <c r="CO37" s="1">
        <v>2.42</v>
      </c>
      <c r="CP37" s="1">
        <f t="shared" si="14"/>
        <v>3.1859999999999999</v>
      </c>
      <c r="CQ37" s="1">
        <v>2.69</v>
      </c>
      <c r="CR37" s="1">
        <v>2.72</v>
      </c>
      <c r="CS37" s="1">
        <v>2.14</v>
      </c>
      <c r="CT37" s="1">
        <v>2.11</v>
      </c>
      <c r="CU37" s="1">
        <v>2.39</v>
      </c>
      <c r="CV37" s="1">
        <f t="shared" si="15"/>
        <v>2.41</v>
      </c>
      <c r="CW37" s="1">
        <v>31.8</v>
      </c>
      <c r="CX37" s="1">
        <v>10.4</v>
      </c>
      <c r="CY37" s="1">
        <v>0.84499999999999997</v>
      </c>
      <c r="CZ37" s="1">
        <f t="shared" si="16"/>
        <v>1.8777777777777778</v>
      </c>
      <c r="DA37" s="1">
        <f t="shared" si="23"/>
        <v>0.89599999999999991</v>
      </c>
      <c r="DB37" s="1">
        <f t="shared" si="24"/>
        <v>1.9450738599871547</v>
      </c>
    </row>
    <row r="38" spans="1:106" ht="16" thickBot="1" x14ac:dyDescent="0.4">
      <c r="A38" s="1">
        <v>36</v>
      </c>
      <c r="B38" s="7" t="s">
        <v>161</v>
      </c>
      <c r="C38" s="11" t="s">
        <v>52</v>
      </c>
      <c r="D38" s="10" t="s">
        <v>98</v>
      </c>
      <c r="E38" s="3">
        <v>45289</v>
      </c>
      <c r="F38" s="3">
        <f t="shared" si="17"/>
        <v>45274</v>
      </c>
      <c r="G38" s="1">
        <f t="shared" si="4"/>
        <v>15</v>
      </c>
      <c r="H38" s="1">
        <f t="shared" si="21"/>
        <v>106</v>
      </c>
      <c r="I38" s="1">
        <v>5</v>
      </c>
      <c r="J38" s="3">
        <v>45380</v>
      </c>
      <c r="K38" s="3">
        <v>45385</v>
      </c>
      <c r="L38" s="15">
        <f t="shared" si="5"/>
        <v>111</v>
      </c>
      <c r="M38" s="13">
        <f t="shared" si="22"/>
        <v>140</v>
      </c>
      <c r="N38" s="3">
        <v>45414</v>
      </c>
      <c r="O38" s="1">
        <v>88</v>
      </c>
      <c r="P38" s="1">
        <v>93</v>
      </c>
      <c r="Q38" s="1">
        <v>107.2</v>
      </c>
      <c r="R38" s="1">
        <v>100</v>
      </c>
      <c r="S38" s="1">
        <v>94</v>
      </c>
      <c r="T38" s="1">
        <f t="shared" si="6"/>
        <v>96.44</v>
      </c>
      <c r="U38" s="1">
        <v>19.5</v>
      </c>
      <c r="V38" s="1">
        <v>20</v>
      </c>
      <c r="W38" s="1">
        <v>14.5</v>
      </c>
      <c r="X38" s="1">
        <v>22.5</v>
      </c>
      <c r="Y38" s="1">
        <v>15.5</v>
      </c>
      <c r="Z38" s="1">
        <f t="shared" si="7"/>
        <v>18.399999999999999</v>
      </c>
      <c r="AA38" s="1">
        <v>7</v>
      </c>
      <c r="AB38" s="1">
        <v>6.5</v>
      </c>
      <c r="AC38" s="1">
        <v>8</v>
      </c>
      <c r="AD38" s="1">
        <v>7</v>
      </c>
      <c r="AE38" s="1">
        <v>7.2</v>
      </c>
      <c r="AF38" s="1">
        <f t="shared" si="8"/>
        <v>7.1400000000000006</v>
      </c>
      <c r="AG38" s="1">
        <v>2.5</v>
      </c>
      <c r="AH38" s="1">
        <v>3</v>
      </c>
      <c r="AI38" s="1">
        <v>2</v>
      </c>
      <c r="AJ38" s="1">
        <v>0.8</v>
      </c>
      <c r="AK38" s="1">
        <v>0.9</v>
      </c>
      <c r="AL38" s="1">
        <f t="shared" si="18"/>
        <v>1.8400000000000003</v>
      </c>
      <c r="AM38" s="1">
        <v>3</v>
      </c>
      <c r="AN38" s="1">
        <v>7.5</v>
      </c>
      <c r="AO38" s="1">
        <v>10.5</v>
      </c>
      <c r="AP38" s="1">
        <v>11.5</v>
      </c>
      <c r="AQ38" s="1">
        <v>9.5</v>
      </c>
      <c r="AR38" s="1">
        <v>8.5</v>
      </c>
      <c r="AS38" s="1">
        <f t="shared" si="9"/>
        <v>9.5</v>
      </c>
      <c r="AT38" s="1">
        <v>0.9</v>
      </c>
      <c r="AU38" s="1">
        <v>0.9</v>
      </c>
      <c r="AV38" s="1">
        <v>1</v>
      </c>
      <c r="AW38" s="1">
        <v>1</v>
      </c>
      <c r="AX38" s="1">
        <v>1</v>
      </c>
      <c r="AY38" s="1">
        <f t="shared" si="10"/>
        <v>0.96</v>
      </c>
      <c r="AZ38" s="1">
        <v>5</v>
      </c>
      <c r="BA38" s="1">
        <v>5</v>
      </c>
      <c r="BB38" s="1">
        <v>4</v>
      </c>
      <c r="BC38" s="1">
        <v>13</v>
      </c>
      <c r="BD38" s="1">
        <v>36</v>
      </c>
      <c r="BE38" s="1">
        <v>6</v>
      </c>
      <c r="BF38" s="1">
        <v>16</v>
      </c>
      <c r="BG38" s="1">
        <f t="shared" si="11"/>
        <v>15</v>
      </c>
      <c r="BH38" s="1">
        <v>3</v>
      </c>
      <c r="BI38" s="1">
        <v>9</v>
      </c>
      <c r="BJ38" s="1">
        <v>10</v>
      </c>
      <c r="BK38" s="1">
        <v>10</v>
      </c>
      <c r="BL38" s="1">
        <v>9</v>
      </c>
      <c r="BM38" s="1">
        <v>9</v>
      </c>
      <c r="BN38" s="1">
        <v>9</v>
      </c>
      <c r="BO38" s="1">
        <v>1</v>
      </c>
      <c r="BP38" s="1">
        <v>0</v>
      </c>
      <c r="BQ38" s="1">
        <v>3</v>
      </c>
      <c r="BR38" s="1">
        <v>2</v>
      </c>
      <c r="BS38" s="1">
        <v>3</v>
      </c>
      <c r="BT38" s="1">
        <v>2</v>
      </c>
      <c r="BU38" s="1">
        <v>3</v>
      </c>
      <c r="BV38" s="1">
        <v>3</v>
      </c>
      <c r="BW38" s="1">
        <v>45</v>
      </c>
      <c r="BX38" s="1">
        <v>41</v>
      </c>
      <c r="BY38" s="1">
        <v>48</v>
      </c>
      <c r="BZ38" s="1">
        <v>46</v>
      </c>
      <c r="CA38" s="1">
        <v>46</v>
      </c>
      <c r="CB38" s="1">
        <v>45</v>
      </c>
      <c r="CC38" s="1">
        <v>2</v>
      </c>
      <c r="CD38" s="1">
        <v>3</v>
      </c>
      <c r="CE38" s="1">
        <v>5.53</v>
      </c>
      <c r="CF38" s="1">
        <v>5.76</v>
      </c>
      <c r="CG38" s="1">
        <v>5.46</v>
      </c>
      <c r="CH38" s="1">
        <v>5.19</v>
      </c>
      <c r="CI38" s="1">
        <v>5.08</v>
      </c>
      <c r="CJ38" s="1">
        <f t="shared" si="13"/>
        <v>5.4040000000000008</v>
      </c>
      <c r="CK38" s="1">
        <v>2.96</v>
      </c>
      <c r="CL38" s="1">
        <v>2.93</v>
      </c>
      <c r="CM38" s="1">
        <v>2.75</v>
      </c>
      <c r="CN38" s="1">
        <v>2.42</v>
      </c>
      <c r="CO38" s="1">
        <v>2.69</v>
      </c>
      <c r="CP38" s="1">
        <f t="shared" si="14"/>
        <v>2.75</v>
      </c>
      <c r="CQ38" s="1">
        <v>2.36</v>
      </c>
      <c r="CR38" s="1">
        <v>2.65</v>
      </c>
      <c r="CS38" s="1">
        <v>2.77</v>
      </c>
      <c r="CT38" s="1">
        <v>2.11</v>
      </c>
      <c r="CU38" s="1">
        <v>2.23</v>
      </c>
      <c r="CV38" s="1">
        <f t="shared" si="15"/>
        <v>2.4239999999999999</v>
      </c>
      <c r="CW38" s="1">
        <v>24.9</v>
      </c>
      <c r="CX38" s="1">
        <v>10.1</v>
      </c>
      <c r="CY38" s="1">
        <v>0.71499999999999997</v>
      </c>
      <c r="CZ38" s="1">
        <f t="shared" si="16"/>
        <v>1.5888888888888888</v>
      </c>
      <c r="DA38" s="1">
        <f t="shared" si="23"/>
        <v>0.89900000000000002</v>
      </c>
      <c r="DB38" s="1">
        <f t="shared" si="24"/>
        <v>1.6513423249839434</v>
      </c>
    </row>
    <row r="39" spans="1:106" ht="16" thickBot="1" x14ac:dyDescent="0.4">
      <c r="A39" s="1">
        <v>37</v>
      </c>
      <c r="B39" s="7" t="s">
        <v>162</v>
      </c>
      <c r="C39" s="11" t="s">
        <v>52</v>
      </c>
      <c r="D39" s="10" t="s">
        <v>98</v>
      </c>
      <c r="E39" s="3">
        <v>45289</v>
      </c>
      <c r="F39" s="3">
        <f t="shared" si="17"/>
        <v>45274</v>
      </c>
      <c r="G39" s="1">
        <f t="shared" si="4"/>
        <v>15</v>
      </c>
      <c r="H39" s="1">
        <f t="shared" si="21"/>
        <v>108</v>
      </c>
      <c r="I39" s="1">
        <v>3</v>
      </c>
      <c r="J39" s="3">
        <v>45382</v>
      </c>
      <c r="K39" s="3">
        <v>45385</v>
      </c>
      <c r="L39" s="15">
        <f t="shared" si="5"/>
        <v>111</v>
      </c>
      <c r="M39" s="13">
        <f t="shared" si="22"/>
        <v>145</v>
      </c>
      <c r="N39" s="3">
        <v>45419</v>
      </c>
      <c r="O39" s="1">
        <v>85</v>
      </c>
      <c r="P39" s="1">
        <v>86</v>
      </c>
      <c r="Q39" s="1">
        <v>73</v>
      </c>
      <c r="R39" s="1">
        <v>81</v>
      </c>
      <c r="S39" s="1">
        <v>86</v>
      </c>
      <c r="T39" s="1">
        <f t="shared" si="6"/>
        <v>82.2</v>
      </c>
      <c r="U39" s="1">
        <v>6.9</v>
      </c>
      <c r="V39" s="1">
        <v>4.5</v>
      </c>
      <c r="W39" s="1">
        <v>6</v>
      </c>
      <c r="X39" s="1">
        <v>5</v>
      </c>
      <c r="Y39" s="1">
        <v>9.8000000000000007</v>
      </c>
      <c r="Z39" s="1">
        <f t="shared" si="7"/>
        <v>6.44</v>
      </c>
      <c r="AA39" s="1">
        <v>13</v>
      </c>
      <c r="AB39" s="1">
        <v>12</v>
      </c>
      <c r="AC39" s="1">
        <v>12</v>
      </c>
      <c r="AD39" s="1">
        <v>13.5</v>
      </c>
      <c r="AE39" s="1">
        <v>11</v>
      </c>
      <c r="AF39" s="1">
        <f t="shared" si="8"/>
        <v>12.3</v>
      </c>
      <c r="AG39" s="1">
        <v>5.5</v>
      </c>
      <c r="AH39" s="1">
        <v>3.2</v>
      </c>
      <c r="AI39" s="1">
        <v>6.4</v>
      </c>
      <c r="AJ39" s="1">
        <v>5.5</v>
      </c>
      <c r="AK39" s="1">
        <v>7.2</v>
      </c>
      <c r="AL39" s="1">
        <f t="shared" si="18"/>
        <v>5.5600000000000005</v>
      </c>
      <c r="AM39" s="1">
        <v>7</v>
      </c>
      <c r="AN39" s="1">
        <v>9</v>
      </c>
      <c r="AO39" s="1">
        <v>10.4</v>
      </c>
      <c r="AP39" s="1">
        <v>10</v>
      </c>
      <c r="AQ39" s="1">
        <v>8.5</v>
      </c>
      <c r="AR39" s="1">
        <v>7</v>
      </c>
      <c r="AS39" s="1">
        <f t="shared" si="9"/>
        <v>8.98</v>
      </c>
      <c r="AT39" s="1">
        <v>1</v>
      </c>
      <c r="AU39" s="1">
        <v>0.9</v>
      </c>
      <c r="AV39" s="1">
        <v>1</v>
      </c>
      <c r="AW39" s="1">
        <v>1</v>
      </c>
      <c r="AX39" s="1">
        <v>0.6</v>
      </c>
      <c r="AY39" s="1">
        <f t="shared" si="10"/>
        <v>0.9</v>
      </c>
      <c r="AZ39" s="1">
        <v>5</v>
      </c>
      <c r="BA39" s="1">
        <v>3</v>
      </c>
      <c r="BB39" s="1">
        <v>14</v>
      </c>
      <c r="BC39" s="1">
        <v>7</v>
      </c>
      <c r="BD39" s="1">
        <v>8</v>
      </c>
      <c r="BE39" s="1">
        <v>11</v>
      </c>
      <c r="BF39" s="1">
        <v>4</v>
      </c>
      <c r="BG39" s="1">
        <v>9</v>
      </c>
      <c r="BH39" s="1">
        <v>5</v>
      </c>
      <c r="BI39" s="1">
        <v>11</v>
      </c>
      <c r="BJ39" s="1">
        <v>10</v>
      </c>
      <c r="BK39" s="1">
        <v>11</v>
      </c>
      <c r="BL39" s="1">
        <v>11</v>
      </c>
      <c r="BM39" s="1">
        <v>11</v>
      </c>
      <c r="BN39" s="1">
        <v>11</v>
      </c>
      <c r="BO39" s="1">
        <v>1</v>
      </c>
      <c r="BP39" s="1">
        <v>0</v>
      </c>
      <c r="BQ39" s="1">
        <v>3</v>
      </c>
      <c r="BR39" s="1">
        <v>3</v>
      </c>
      <c r="BS39" s="1">
        <v>3</v>
      </c>
      <c r="BT39" s="1">
        <v>3</v>
      </c>
      <c r="BU39" s="1">
        <v>2</v>
      </c>
      <c r="BV39" s="1">
        <v>3</v>
      </c>
      <c r="BW39" s="1">
        <v>41</v>
      </c>
      <c r="BX39" s="1">
        <v>46</v>
      </c>
      <c r="BY39" s="1">
        <v>59</v>
      </c>
      <c r="BZ39" s="1">
        <v>41</v>
      </c>
      <c r="CA39" s="1">
        <v>47</v>
      </c>
      <c r="CB39" s="1">
        <v>47</v>
      </c>
      <c r="CC39" s="1">
        <v>2</v>
      </c>
      <c r="CD39" s="1">
        <v>5</v>
      </c>
      <c r="CE39" s="1">
        <v>6.22</v>
      </c>
      <c r="CF39" s="1">
        <v>6.36</v>
      </c>
      <c r="CG39" s="1">
        <v>6.14</v>
      </c>
      <c r="CH39" s="1">
        <v>6.26</v>
      </c>
      <c r="CI39" s="1">
        <v>5.76</v>
      </c>
      <c r="CJ39" s="1">
        <f t="shared" si="13"/>
        <v>6.1479999999999988</v>
      </c>
      <c r="CK39" s="1">
        <v>3.14</v>
      </c>
      <c r="CL39" s="1">
        <v>3.36</v>
      </c>
      <c r="CM39" s="1">
        <v>3.27</v>
      </c>
      <c r="CN39" s="1">
        <v>3.46</v>
      </c>
      <c r="CO39" s="1">
        <v>1.99</v>
      </c>
      <c r="CP39" s="1">
        <f t="shared" si="14"/>
        <v>3.044</v>
      </c>
      <c r="CQ39" s="1">
        <v>2.52</v>
      </c>
      <c r="CR39" s="1">
        <v>2.63</v>
      </c>
      <c r="CS39" s="1">
        <v>2.46</v>
      </c>
      <c r="CT39" s="1">
        <v>2.4300000000000002</v>
      </c>
      <c r="CU39" s="1">
        <v>1.64</v>
      </c>
      <c r="CV39" s="1">
        <f t="shared" si="15"/>
        <v>2.3360000000000003</v>
      </c>
      <c r="CW39" s="1">
        <v>34.1</v>
      </c>
      <c r="CX39" s="1">
        <v>9.6999999999999993</v>
      </c>
      <c r="CY39" s="1">
        <v>0.68500000000000005</v>
      </c>
      <c r="CZ39" s="1">
        <f t="shared" si="16"/>
        <v>1.5222222222222224</v>
      </c>
      <c r="DA39" s="1">
        <f t="shared" si="23"/>
        <v>0.90300000000000002</v>
      </c>
      <c r="DB39" s="1">
        <f t="shared" si="24"/>
        <v>1.5890944123314068</v>
      </c>
    </row>
    <row r="40" spans="1:106" ht="16" thickBot="1" x14ac:dyDescent="0.4">
      <c r="A40" s="1">
        <v>38</v>
      </c>
      <c r="B40" s="7" t="s">
        <v>163</v>
      </c>
      <c r="C40" s="11" t="s">
        <v>52</v>
      </c>
      <c r="D40" s="10" t="s">
        <v>98</v>
      </c>
      <c r="E40" s="3">
        <v>45289</v>
      </c>
      <c r="F40" s="3">
        <f t="shared" si="17"/>
        <v>45274</v>
      </c>
      <c r="G40" s="1">
        <f t="shared" si="4"/>
        <v>15</v>
      </c>
      <c r="H40" s="1">
        <f t="shared" si="21"/>
        <v>106</v>
      </c>
      <c r="I40" s="1">
        <v>7</v>
      </c>
      <c r="J40" s="3">
        <v>45380</v>
      </c>
      <c r="K40" s="3">
        <v>45385</v>
      </c>
      <c r="L40" s="15">
        <f t="shared" si="5"/>
        <v>111</v>
      </c>
      <c r="M40" s="13">
        <f t="shared" si="22"/>
        <v>140</v>
      </c>
      <c r="N40" s="3">
        <v>45414</v>
      </c>
      <c r="O40" s="1">
        <v>91</v>
      </c>
      <c r="P40" s="1">
        <v>91</v>
      </c>
      <c r="Q40" s="1">
        <v>103.5</v>
      </c>
      <c r="R40" s="1">
        <v>97</v>
      </c>
      <c r="S40" s="1">
        <v>94</v>
      </c>
      <c r="T40" s="1">
        <f t="shared" si="6"/>
        <v>95.3</v>
      </c>
      <c r="U40" s="1">
        <v>13.5</v>
      </c>
      <c r="V40" s="1">
        <v>19</v>
      </c>
      <c r="W40" s="1">
        <v>16</v>
      </c>
      <c r="X40" s="1">
        <v>19</v>
      </c>
      <c r="Y40" s="1">
        <v>11</v>
      </c>
      <c r="Z40" s="1">
        <f t="shared" si="7"/>
        <v>15.7</v>
      </c>
      <c r="AA40" s="1">
        <v>7</v>
      </c>
      <c r="AB40" s="1">
        <v>7</v>
      </c>
      <c r="AC40" s="1">
        <v>10</v>
      </c>
      <c r="AD40" s="1">
        <v>6.5</v>
      </c>
      <c r="AE40" s="1">
        <v>8</v>
      </c>
      <c r="AF40" s="1">
        <f t="shared" si="8"/>
        <v>7.7</v>
      </c>
      <c r="AG40" s="1">
        <v>1</v>
      </c>
      <c r="AH40" s="1">
        <v>1.2</v>
      </c>
      <c r="AI40" s="1">
        <v>2</v>
      </c>
      <c r="AJ40" s="1">
        <v>1.2</v>
      </c>
      <c r="AK40" s="1">
        <v>1.8</v>
      </c>
      <c r="AL40" s="1">
        <f t="shared" si="18"/>
        <v>1.44</v>
      </c>
      <c r="AM40" s="1">
        <v>3</v>
      </c>
      <c r="AN40" s="1">
        <v>9</v>
      </c>
      <c r="AO40" s="1">
        <v>9</v>
      </c>
      <c r="AP40" s="1">
        <v>9</v>
      </c>
      <c r="AQ40" s="1">
        <v>8</v>
      </c>
      <c r="AR40" s="1">
        <v>5.4</v>
      </c>
      <c r="AS40" s="1">
        <f t="shared" si="9"/>
        <v>8.08</v>
      </c>
      <c r="AT40" s="1">
        <v>0.9</v>
      </c>
      <c r="AU40" s="1">
        <v>0.7</v>
      </c>
      <c r="AV40" s="1">
        <v>0.9</v>
      </c>
      <c r="AW40" s="1">
        <v>0.9</v>
      </c>
      <c r="AX40" s="1">
        <v>1</v>
      </c>
      <c r="AY40" s="1">
        <f t="shared" si="10"/>
        <v>0.88000000000000012</v>
      </c>
      <c r="AZ40" s="1">
        <v>5</v>
      </c>
      <c r="BA40" s="1">
        <v>5</v>
      </c>
      <c r="BB40" s="1">
        <v>8</v>
      </c>
      <c r="BC40" s="1">
        <v>7</v>
      </c>
      <c r="BD40" s="1">
        <v>8</v>
      </c>
      <c r="BE40" s="1">
        <v>9</v>
      </c>
      <c r="BF40" s="1">
        <v>5</v>
      </c>
      <c r="BG40" s="1">
        <v>7</v>
      </c>
      <c r="BH40" s="1">
        <v>9</v>
      </c>
      <c r="BI40" s="1">
        <v>10</v>
      </c>
      <c r="BJ40" s="1">
        <v>9</v>
      </c>
      <c r="BK40" s="1">
        <v>10</v>
      </c>
      <c r="BL40" s="1">
        <v>9</v>
      </c>
      <c r="BM40" s="1">
        <v>10</v>
      </c>
      <c r="BN40" s="1">
        <v>10</v>
      </c>
      <c r="BO40" s="1">
        <v>2</v>
      </c>
      <c r="BP40" s="1">
        <v>0</v>
      </c>
      <c r="BQ40" s="1">
        <v>3</v>
      </c>
      <c r="BR40" s="1">
        <v>3</v>
      </c>
      <c r="BS40" s="1">
        <v>3</v>
      </c>
      <c r="BT40" s="1">
        <v>3</v>
      </c>
      <c r="BU40" s="1">
        <v>3</v>
      </c>
      <c r="BV40" s="1">
        <f t="shared" si="19"/>
        <v>3</v>
      </c>
      <c r="BW40" s="1">
        <v>43</v>
      </c>
      <c r="BX40" s="1">
        <v>45</v>
      </c>
      <c r="BY40" s="1">
        <v>44</v>
      </c>
      <c r="BZ40" s="1">
        <v>46</v>
      </c>
      <c r="CA40" s="1">
        <v>47</v>
      </c>
      <c r="CB40" s="1">
        <f t="shared" si="20"/>
        <v>45</v>
      </c>
      <c r="CC40" s="1">
        <v>2</v>
      </c>
      <c r="CD40" s="1">
        <v>5</v>
      </c>
      <c r="CE40" s="1">
        <v>5.92</v>
      </c>
      <c r="CF40" s="1">
        <v>5.49</v>
      </c>
      <c r="CG40" s="1">
        <v>4.9800000000000004</v>
      </c>
      <c r="CH40" s="1">
        <v>5.56</v>
      </c>
      <c r="CI40" s="1">
        <v>4.5999999999999996</v>
      </c>
      <c r="CJ40" s="1">
        <f t="shared" si="13"/>
        <v>5.31</v>
      </c>
      <c r="CK40" s="1">
        <v>3.47</v>
      </c>
      <c r="CL40" s="1">
        <v>3.51</v>
      </c>
      <c r="CM40" s="1">
        <v>2.6</v>
      </c>
      <c r="CN40" s="1">
        <v>2.77</v>
      </c>
      <c r="CO40" s="1">
        <v>2.41</v>
      </c>
      <c r="CP40" s="1">
        <f t="shared" si="14"/>
        <v>2.952</v>
      </c>
      <c r="CQ40" s="1">
        <v>2.85</v>
      </c>
      <c r="CR40" s="1">
        <v>2.48</v>
      </c>
      <c r="CS40" s="1">
        <v>2.77</v>
      </c>
      <c r="CT40" s="1">
        <v>2.36</v>
      </c>
      <c r="CU40" s="1">
        <v>1.76</v>
      </c>
      <c r="CV40" s="1">
        <f t="shared" si="15"/>
        <v>2.444</v>
      </c>
      <c r="CW40" s="1">
        <v>30.7</v>
      </c>
      <c r="CX40" s="1">
        <v>9.4</v>
      </c>
      <c r="CY40" s="1">
        <v>0.59499999999999997</v>
      </c>
      <c r="CZ40" s="1">
        <f t="shared" si="16"/>
        <v>1.3222222222222222</v>
      </c>
      <c r="DA40" s="1">
        <f t="shared" si="23"/>
        <v>0.90599999999999992</v>
      </c>
      <c r="DB40" s="1">
        <f t="shared" si="24"/>
        <v>1.3848940269749519</v>
      </c>
    </row>
    <row r="41" spans="1:106" ht="16" thickBot="1" x14ac:dyDescent="0.4">
      <c r="A41" s="1">
        <v>39</v>
      </c>
      <c r="B41" s="7" t="s">
        <v>164</v>
      </c>
      <c r="C41" s="11" t="s">
        <v>52</v>
      </c>
      <c r="D41" s="10" t="s">
        <v>98</v>
      </c>
      <c r="E41" s="3">
        <v>45289</v>
      </c>
      <c r="F41" s="3">
        <f t="shared" si="17"/>
        <v>45274</v>
      </c>
      <c r="G41" s="1">
        <f t="shared" si="4"/>
        <v>15</v>
      </c>
      <c r="H41" s="1">
        <f t="shared" si="21"/>
        <v>106</v>
      </c>
      <c r="I41" s="1">
        <v>7</v>
      </c>
      <c r="J41" s="3">
        <v>45380</v>
      </c>
      <c r="K41" s="3">
        <v>45385</v>
      </c>
      <c r="L41" s="15">
        <f t="shared" si="5"/>
        <v>111</v>
      </c>
      <c r="M41" s="13">
        <f t="shared" si="22"/>
        <v>138</v>
      </c>
      <c r="N41" s="3">
        <v>45412</v>
      </c>
      <c r="O41" s="1">
        <v>98</v>
      </c>
      <c r="P41" s="1">
        <v>101.4</v>
      </c>
      <c r="Q41" s="1">
        <v>92</v>
      </c>
      <c r="R41" s="1">
        <v>100.5</v>
      </c>
      <c r="S41" s="1">
        <v>97</v>
      </c>
      <c r="T41" s="1">
        <f t="shared" si="6"/>
        <v>97.78</v>
      </c>
      <c r="U41" s="1">
        <v>18</v>
      </c>
      <c r="V41" s="1">
        <v>14</v>
      </c>
      <c r="W41" s="1">
        <v>19</v>
      </c>
      <c r="X41" s="1">
        <v>18</v>
      </c>
      <c r="Y41" s="1">
        <v>13.8</v>
      </c>
      <c r="Z41" s="1">
        <f t="shared" si="7"/>
        <v>16.559999999999999</v>
      </c>
      <c r="AA41" s="1">
        <v>7.5</v>
      </c>
      <c r="AB41" s="1">
        <v>8</v>
      </c>
      <c r="AC41" s="1">
        <v>9</v>
      </c>
      <c r="AD41" s="1">
        <v>9</v>
      </c>
      <c r="AE41" s="1">
        <v>8</v>
      </c>
      <c r="AF41" s="1">
        <f t="shared" si="8"/>
        <v>8.3000000000000007</v>
      </c>
      <c r="AG41" s="1">
        <v>2.2000000000000002</v>
      </c>
      <c r="AH41" s="1">
        <v>1.5</v>
      </c>
      <c r="AI41" s="1">
        <v>0.7</v>
      </c>
      <c r="AJ41" s="1">
        <v>2</v>
      </c>
      <c r="AK41" s="1">
        <v>3</v>
      </c>
      <c r="AL41" s="1">
        <f t="shared" si="18"/>
        <v>1.8800000000000001</v>
      </c>
      <c r="AM41" s="1">
        <v>3</v>
      </c>
      <c r="AN41" s="1">
        <v>11.5</v>
      </c>
      <c r="AO41" s="1">
        <v>10.5</v>
      </c>
      <c r="AP41" s="1">
        <v>13</v>
      </c>
      <c r="AQ41" s="1">
        <v>9.5</v>
      </c>
      <c r="AR41" s="1">
        <v>8.5</v>
      </c>
      <c r="AS41" s="1">
        <f t="shared" si="9"/>
        <v>10.6</v>
      </c>
      <c r="AT41" s="1">
        <v>1</v>
      </c>
      <c r="AU41" s="1">
        <v>1</v>
      </c>
      <c r="AV41" s="1">
        <v>1.1000000000000001</v>
      </c>
      <c r="AW41" s="1">
        <v>0.9</v>
      </c>
      <c r="AX41" s="1">
        <v>0.8</v>
      </c>
      <c r="AY41" s="1">
        <f t="shared" si="10"/>
        <v>0.96</v>
      </c>
      <c r="AZ41" s="1">
        <v>5</v>
      </c>
      <c r="BA41" s="1">
        <v>5</v>
      </c>
      <c r="BB41" s="1">
        <v>19</v>
      </c>
      <c r="BC41" s="1">
        <v>6</v>
      </c>
      <c r="BD41" s="1">
        <v>31</v>
      </c>
      <c r="BE41" s="1">
        <v>15</v>
      </c>
      <c r="BF41" s="1">
        <v>7</v>
      </c>
      <c r="BG41" s="1">
        <v>16</v>
      </c>
      <c r="BH41" s="1">
        <v>3</v>
      </c>
      <c r="BI41" s="1">
        <v>10</v>
      </c>
      <c r="BJ41" s="1">
        <v>9</v>
      </c>
      <c r="BK41" s="1">
        <v>9</v>
      </c>
      <c r="BL41" s="1">
        <v>10</v>
      </c>
      <c r="BM41" s="1">
        <v>9</v>
      </c>
      <c r="BN41" s="1">
        <v>9</v>
      </c>
      <c r="BO41" s="1">
        <v>1</v>
      </c>
      <c r="BP41" s="1">
        <v>0</v>
      </c>
      <c r="BQ41" s="1">
        <v>3</v>
      </c>
      <c r="BR41" s="1">
        <v>3</v>
      </c>
      <c r="BS41" s="1">
        <v>4</v>
      </c>
      <c r="BT41" s="1">
        <v>4</v>
      </c>
      <c r="BU41" s="1">
        <v>4</v>
      </c>
      <c r="BV41" s="1">
        <v>4</v>
      </c>
      <c r="BW41" s="1">
        <v>51</v>
      </c>
      <c r="BX41" s="1">
        <v>51</v>
      </c>
      <c r="BY41" s="1">
        <v>57</v>
      </c>
      <c r="BZ41" s="1">
        <v>48</v>
      </c>
      <c r="CA41" s="1">
        <v>49</v>
      </c>
      <c r="CB41" s="1">
        <v>51</v>
      </c>
      <c r="CC41" s="1">
        <v>2</v>
      </c>
      <c r="CD41" s="1">
        <v>3</v>
      </c>
      <c r="CE41" s="1">
        <v>5.53</v>
      </c>
      <c r="CF41" s="1">
        <v>5.59</v>
      </c>
      <c r="CG41" s="1">
        <v>6.3</v>
      </c>
      <c r="CH41" s="1">
        <v>4.13</v>
      </c>
      <c r="CI41" s="1">
        <v>4.3499999999999996</v>
      </c>
      <c r="CJ41" s="1">
        <f t="shared" si="13"/>
        <v>5.18</v>
      </c>
      <c r="CK41" s="1">
        <v>2.63</v>
      </c>
      <c r="CL41" s="1">
        <v>2.75</v>
      </c>
      <c r="CM41" s="1">
        <v>2.4500000000000002</v>
      </c>
      <c r="CN41" s="1">
        <v>2.27</v>
      </c>
      <c r="CO41" s="1">
        <v>2.73</v>
      </c>
      <c r="CP41" s="1">
        <f t="shared" si="14"/>
        <v>2.5659999999999998</v>
      </c>
      <c r="CQ41" s="1">
        <v>2.23</v>
      </c>
      <c r="CR41" s="1">
        <v>2.0299999999999998</v>
      </c>
      <c r="CS41" s="1">
        <v>2.17</v>
      </c>
      <c r="CT41" s="1">
        <v>2.08</v>
      </c>
      <c r="CU41" s="1">
        <v>1.94</v>
      </c>
      <c r="CV41" s="1">
        <f t="shared" si="15"/>
        <v>2.09</v>
      </c>
      <c r="CW41" s="1">
        <v>26</v>
      </c>
      <c r="CX41" s="1">
        <v>9.9</v>
      </c>
      <c r="CY41" s="1">
        <v>0.84499999999999997</v>
      </c>
      <c r="CZ41" s="1">
        <f t="shared" si="16"/>
        <v>1.8777777777777778</v>
      </c>
      <c r="DA41" s="1">
        <f t="shared" si="23"/>
        <v>0.90099999999999991</v>
      </c>
      <c r="DB41" s="1">
        <f t="shared" si="24"/>
        <v>1.9559280667951187</v>
      </c>
    </row>
    <row r="42" spans="1:106" ht="16" thickBot="1" x14ac:dyDescent="0.4">
      <c r="A42" s="1">
        <v>40</v>
      </c>
      <c r="B42" s="7" t="s">
        <v>165</v>
      </c>
      <c r="C42" s="11" t="s">
        <v>52</v>
      </c>
      <c r="D42" s="10" t="s">
        <v>98</v>
      </c>
      <c r="E42" s="3">
        <v>45289</v>
      </c>
      <c r="F42" s="3">
        <f t="shared" si="17"/>
        <v>45274</v>
      </c>
      <c r="G42" s="1">
        <f t="shared" si="4"/>
        <v>15</v>
      </c>
      <c r="H42" s="1">
        <f t="shared" si="21"/>
        <v>102</v>
      </c>
      <c r="I42" s="1">
        <v>5</v>
      </c>
      <c r="J42" s="3">
        <v>45376</v>
      </c>
      <c r="K42" s="3">
        <v>45382</v>
      </c>
      <c r="L42" s="15">
        <f t="shared" si="5"/>
        <v>108</v>
      </c>
      <c r="M42" s="13">
        <f t="shared" si="22"/>
        <v>138</v>
      </c>
      <c r="N42" s="3">
        <v>45412</v>
      </c>
      <c r="O42" s="1">
        <v>93</v>
      </c>
      <c r="P42" s="1">
        <v>89</v>
      </c>
      <c r="Q42" s="1">
        <v>88</v>
      </c>
      <c r="R42" s="1">
        <v>90</v>
      </c>
      <c r="S42" s="1">
        <v>1.01</v>
      </c>
      <c r="T42" s="1">
        <f t="shared" si="6"/>
        <v>72.201999999999998</v>
      </c>
      <c r="U42" s="1">
        <v>14.5</v>
      </c>
      <c r="V42" s="1">
        <v>17</v>
      </c>
      <c r="W42" s="1">
        <v>17.5</v>
      </c>
      <c r="X42" s="1">
        <v>16</v>
      </c>
      <c r="Y42" s="1">
        <v>18</v>
      </c>
      <c r="Z42" s="1">
        <f t="shared" si="7"/>
        <v>16.600000000000001</v>
      </c>
      <c r="AA42" s="1">
        <v>7.5</v>
      </c>
      <c r="AB42" s="1">
        <v>8</v>
      </c>
      <c r="AC42" s="1">
        <v>7</v>
      </c>
      <c r="AD42" s="1">
        <v>7.5</v>
      </c>
      <c r="AE42" s="1">
        <v>8</v>
      </c>
      <c r="AF42" s="1">
        <f t="shared" si="8"/>
        <v>7.6</v>
      </c>
      <c r="AL42" s="1" t="s">
        <v>43</v>
      </c>
      <c r="AM42" s="1">
        <v>0</v>
      </c>
      <c r="AN42" s="1">
        <v>13</v>
      </c>
      <c r="AO42" s="1">
        <v>12</v>
      </c>
      <c r="AP42" s="1">
        <v>16</v>
      </c>
      <c r="AQ42" s="1">
        <v>13</v>
      </c>
      <c r="AR42" s="1">
        <v>9.5</v>
      </c>
      <c r="AS42" s="1">
        <f t="shared" si="9"/>
        <v>12.7</v>
      </c>
      <c r="AT42" s="1">
        <v>1</v>
      </c>
      <c r="AU42" s="1">
        <v>1</v>
      </c>
      <c r="AV42" s="1">
        <v>1</v>
      </c>
      <c r="AW42" s="1">
        <v>1.3</v>
      </c>
      <c r="AX42" s="1">
        <v>0.7</v>
      </c>
      <c r="AY42" s="1">
        <f t="shared" si="10"/>
        <v>1</v>
      </c>
      <c r="AZ42" s="1">
        <v>3</v>
      </c>
      <c r="BA42" s="1">
        <v>5</v>
      </c>
      <c r="BB42" s="1">
        <v>3</v>
      </c>
      <c r="BC42" s="1">
        <v>3</v>
      </c>
      <c r="BD42" s="1">
        <v>11</v>
      </c>
      <c r="BE42" s="1">
        <v>7</v>
      </c>
      <c r="BF42" s="1">
        <v>16</v>
      </c>
      <c r="BG42" s="1">
        <f t="shared" si="11"/>
        <v>8</v>
      </c>
      <c r="BH42" s="1">
        <v>3</v>
      </c>
      <c r="BI42" s="1">
        <v>8</v>
      </c>
      <c r="BJ42" s="1">
        <v>10</v>
      </c>
      <c r="BK42" s="1">
        <v>9</v>
      </c>
      <c r="BL42" s="1">
        <v>9</v>
      </c>
      <c r="BM42" s="1">
        <v>7</v>
      </c>
      <c r="BN42" s="1">
        <v>9</v>
      </c>
      <c r="BO42" s="1">
        <v>2</v>
      </c>
      <c r="BP42" s="1">
        <v>0</v>
      </c>
      <c r="BQ42" s="1">
        <v>3</v>
      </c>
      <c r="BR42" s="1">
        <v>3</v>
      </c>
      <c r="BS42" s="1">
        <v>3</v>
      </c>
      <c r="BT42" s="1">
        <v>3</v>
      </c>
      <c r="BU42" s="1">
        <v>2</v>
      </c>
      <c r="BV42" s="1">
        <v>3</v>
      </c>
      <c r="BW42" s="1">
        <v>48</v>
      </c>
      <c r="BX42" s="1">
        <v>38</v>
      </c>
      <c r="BY42" s="1">
        <v>41</v>
      </c>
      <c r="BZ42" s="1">
        <v>31</v>
      </c>
      <c r="CA42" s="1">
        <v>39</v>
      </c>
      <c r="CB42" s="1">
        <v>39</v>
      </c>
      <c r="CC42" s="1">
        <v>1</v>
      </c>
      <c r="CD42" s="1">
        <v>5</v>
      </c>
      <c r="CE42" s="1">
        <v>5.31</v>
      </c>
      <c r="CF42" s="1">
        <v>5.47</v>
      </c>
      <c r="CG42" s="1">
        <v>5.9</v>
      </c>
      <c r="CH42" s="1">
        <v>3.55</v>
      </c>
      <c r="CI42" s="1">
        <v>5.54</v>
      </c>
      <c r="CJ42" s="1">
        <f t="shared" si="13"/>
        <v>5.1539999999999999</v>
      </c>
      <c r="CK42" s="1">
        <v>2.92</v>
      </c>
      <c r="CL42" s="1">
        <v>3.29</v>
      </c>
      <c r="CM42" s="1">
        <v>3.84</v>
      </c>
      <c r="CN42" s="1">
        <v>3.27</v>
      </c>
      <c r="CO42" s="1">
        <v>3.28</v>
      </c>
      <c r="CP42" s="1">
        <f t="shared" si="14"/>
        <v>3.3200000000000003</v>
      </c>
      <c r="CQ42" s="1">
        <v>2.82</v>
      </c>
      <c r="CR42" s="1">
        <v>2.5499999999999998</v>
      </c>
      <c r="CS42" s="1">
        <v>2.85</v>
      </c>
      <c r="CT42" s="1">
        <v>2.87</v>
      </c>
      <c r="CU42" s="1">
        <v>2.34</v>
      </c>
      <c r="CV42" s="1">
        <f t="shared" si="15"/>
        <v>2.6859999999999999</v>
      </c>
      <c r="CW42" s="1">
        <v>36.700000000000003</v>
      </c>
      <c r="CX42" s="1">
        <v>10</v>
      </c>
      <c r="CY42" s="1">
        <v>0.96499999999999997</v>
      </c>
      <c r="CZ42" s="1">
        <f t="shared" si="16"/>
        <v>2.1444444444444444</v>
      </c>
      <c r="DA42" s="1">
        <f t="shared" si="23"/>
        <v>0.9</v>
      </c>
      <c r="DB42" s="1">
        <f t="shared" si="24"/>
        <v>2.2312138728323698</v>
      </c>
    </row>
    <row r="43" spans="1:106" ht="16" thickBot="1" x14ac:dyDescent="0.4">
      <c r="A43" s="1">
        <v>41</v>
      </c>
      <c r="B43" s="7" t="s">
        <v>166</v>
      </c>
      <c r="C43" s="11" t="s">
        <v>52</v>
      </c>
      <c r="D43" s="10" t="s">
        <v>99</v>
      </c>
      <c r="E43" s="3">
        <v>45289</v>
      </c>
      <c r="F43" s="3">
        <f t="shared" si="17"/>
        <v>45274</v>
      </c>
      <c r="G43" s="1">
        <f t="shared" si="4"/>
        <v>15</v>
      </c>
      <c r="H43" s="1">
        <f t="shared" si="21"/>
        <v>108</v>
      </c>
      <c r="I43" s="1">
        <v>5</v>
      </c>
      <c r="J43" s="3">
        <v>45382</v>
      </c>
      <c r="K43" s="3">
        <v>45385</v>
      </c>
      <c r="L43" s="15">
        <f t="shared" si="5"/>
        <v>111</v>
      </c>
      <c r="M43" s="13">
        <f t="shared" si="22"/>
        <v>145</v>
      </c>
      <c r="N43" s="3">
        <v>45419</v>
      </c>
      <c r="O43" s="1">
        <v>82</v>
      </c>
      <c r="P43" s="1">
        <v>81</v>
      </c>
      <c r="Q43" s="1">
        <v>84</v>
      </c>
      <c r="R43" s="1">
        <v>81</v>
      </c>
      <c r="S43" s="1">
        <v>85</v>
      </c>
      <c r="T43" s="1">
        <f t="shared" si="6"/>
        <v>82.6</v>
      </c>
      <c r="U43" s="1">
        <v>14</v>
      </c>
      <c r="V43" s="1">
        <v>4</v>
      </c>
      <c r="W43" s="1">
        <v>9</v>
      </c>
      <c r="X43" s="1">
        <v>7</v>
      </c>
      <c r="Y43" s="1">
        <v>4.5</v>
      </c>
      <c r="Z43" s="1">
        <f t="shared" si="7"/>
        <v>7.7</v>
      </c>
      <c r="AA43" s="1">
        <v>12</v>
      </c>
      <c r="AB43" s="1">
        <v>11</v>
      </c>
      <c r="AC43" s="1">
        <v>14</v>
      </c>
      <c r="AD43" s="1">
        <v>11</v>
      </c>
      <c r="AE43" s="1">
        <v>10</v>
      </c>
      <c r="AF43" s="1">
        <f t="shared" si="8"/>
        <v>11.6</v>
      </c>
      <c r="AG43" s="1">
        <v>7</v>
      </c>
      <c r="AH43" s="1">
        <v>7.2</v>
      </c>
      <c r="AI43" s="1">
        <v>4.5999999999999996</v>
      </c>
      <c r="AJ43" s="1">
        <v>5</v>
      </c>
      <c r="AK43" s="1">
        <v>4.2</v>
      </c>
      <c r="AL43" s="1">
        <f t="shared" si="18"/>
        <v>5.6</v>
      </c>
      <c r="AM43" s="1">
        <v>7</v>
      </c>
      <c r="AN43" s="1">
        <v>10.5</v>
      </c>
      <c r="AO43" s="1">
        <v>10</v>
      </c>
      <c r="AP43" s="1">
        <v>12</v>
      </c>
      <c r="AQ43" s="1">
        <v>10</v>
      </c>
      <c r="AR43" s="1">
        <v>12</v>
      </c>
      <c r="AS43" s="1">
        <f t="shared" si="9"/>
        <v>10.9</v>
      </c>
      <c r="AT43" s="1">
        <v>0.9</v>
      </c>
      <c r="AU43" s="1">
        <v>1.2</v>
      </c>
      <c r="AV43" s="1">
        <v>1</v>
      </c>
      <c r="AW43" s="1">
        <v>1</v>
      </c>
      <c r="AX43" s="1">
        <v>1.3</v>
      </c>
      <c r="AY43" s="1">
        <f t="shared" si="10"/>
        <v>1.0799999999999998</v>
      </c>
      <c r="AZ43" s="1">
        <v>5</v>
      </c>
      <c r="BA43" s="1">
        <v>3</v>
      </c>
      <c r="BB43" s="1">
        <v>4</v>
      </c>
      <c r="BC43" s="1">
        <v>5</v>
      </c>
      <c r="BD43" s="1">
        <v>7</v>
      </c>
      <c r="BE43" s="1">
        <v>4</v>
      </c>
      <c r="BF43" s="1">
        <v>7</v>
      </c>
      <c r="BG43" s="1">
        <v>5</v>
      </c>
      <c r="BH43" s="1">
        <v>5</v>
      </c>
      <c r="BI43" s="1">
        <v>9</v>
      </c>
      <c r="BJ43" s="1">
        <v>9</v>
      </c>
      <c r="BK43" s="1">
        <v>10</v>
      </c>
      <c r="BL43" s="1">
        <v>10</v>
      </c>
      <c r="BM43" s="1">
        <v>10</v>
      </c>
      <c r="BN43" s="1">
        <v>10</v>
      </c>
      <c r="BO43" s="1">
        <v>1</v>
      </c>
      <c r="BP43" s="1">
        <v>3</v>
      </c>
      <c r="BQ43" s="1">
        <v>3</v>
      </c>
      <c r="BR43" s="1">
        <v>3</v>
      </c>
      <c r="BS43" s="1">
        <v>3</v>
      </c>
      <c r="BT43" s="1">
        <v>3</v>
      </c>
      <c r="BU43" s="1">
        <v>4</v>
      </c>
      <c r="BV43" s="1">
        <v>3</v>
      </c>
      <c r="BW43" s="1">
        <v>42</v>
      </c>
      <c r="BX43" s="1">
        <v>40</v>
      </c>
      <c r="BY43" s="1">
        <v>42</v>
      </c>
      <c r="BZ43" s="1">
        <v>38</v>
      </c>
      <c r="CA43" s="1">
        <v>48</v>
      </c>
      <c r="CB43" s="1">
        <f t="shared" si="20"/>
        <v>42</v>
      </c>
      <c r="CC43" s="1">
        <v>1</v>
      </c>
      <c r="CD43" s="1">
        <v>5</v>
      </c>
      <c r="CE43" s="1">
        <v>6.99</v>
      </c>
      <c r="CF43" s="1">
        <v>6.57</v>
      </c>
      <c r="CG43" s="1">
        <v>7.13</v>
      </c>
      <c r="CH43" s="1">
        <v>6.69</v>
      </c>
      <c r="CI43" s="1">
        <v>6.21</v>
      </c>
      <c r="CJ43" s="1">
        <f t="shared" si="13"/>
        <v>6.7180000000000009</v>
      </c>
      <c r="CK43" s="1">
        <v>3.71</v>
      </c>
      <c r="CL43" s="1">
        <v>3.59</v>
      </c>
      <c r="CM43" s="1">
        <v>3.71</v>
      </c>
      <c r="CN43" s="1">
        <v>3.9</v>
      </c>
      <c r="CO43" s="1">
        <v>3.79</v>
      </c>
      <c r="CP43" s="1">
        <f t="shared" si="14"/>
        <v>3.7399999999999998</v>
      </c>
      <c r="CQ43" s="1">
        <v>2.67</v>
      </c>
      <c r="CR43" s="1">
        <v>2.73</v>
      </c>
      <c r="CS43" s="1">
        <v>2.58</v>
      </c>
      <c r="CT43" s="1">
        <v>2.5299999999999998</v>
      </c>
      <c r="CU43" s="1">
        <v>2.69</v>
      </c>
      <c r="CV43" s="1">
        <f t="shared" si="15"/>
        <v>2.6399999999999997</v>
      </c>
      <c r="CW43" s="1">
        <v>48.08</v>
      </c>
      <c r="CX43" s="1">
        <v>9.6</v>
      </c>
      <c r="CY43" s="1">
        <v>0.56999999999999995</v>
      </c>
      <c r="CZ43" s="1">
        <f t="shared" si="16"/>
        <v>1.2666666666666666</v>
      </c>
      <c r="DA43" s="1">
        <f t="shared" si="23"/>
        <v>0.90400000000000003</v>
      </c>
      <c r="DB43" s="1">
        <f t="shared" si="24"/>
        <v>1.3237764932562621</v>
      </c>
    </row>
    <row r="44" spans="1:106" ht="16" thickBot="1" x14ac:dyDescent="0.4">
      <c r="A44" s="1">
        <v>42</v>
      </c>
      <c r="B44" s="7" t="s">
        <v>167</v>
      </c>
      <c r="C44" s="11" t="s">
        <v>52</v>
      </c>
      <c r="D44" s="10" t="s">
        <v>100</v>
      </c>
      <c r="E44" s="3">
        <v>45289</v>
      </c>
      <c r="F44" s="3">
        <f t="shared" si="17"/>
        <v>45274</v>
      </c>
      <c r="G44" s="1">
        <f t="shared" si="4"/>
        <v>15</v>
      </c>
      <c r="H44" s="1">
        <f t="shared" si="21"/>
        <v>106</v>
      </c>
      <c r="I44" s="1">
        <v>5</v>
      </c>
      <c r="J44" s="3">
        <v>45380</v>
      </c>
      <c r="K44" s="3">
        <v>45385</v>
      </c>
      <c r="L44" s="15">
        <f t="shared" si="5"/>
        <v>111</v>
      </c>
      <c r="M44" s="13">
        <f t="shared" si="22"/>
        <v>143</v>
      </c>
      <c r="N44" s="3">
        <v>45417</v>
      </c>
      <c r="O44" s="1">
        <v>87</v>
      </c>
      <c r="P44" s="1">
        <v>84</v>
      </c>
      <c r="Q44" s="1">
        <v>106.5</v>
      </c>
      <c r="R44" s="1">
        <v>94</v>
      </c>
      <c r="S44" s="1">
        <v>76</v>
      </c>
      <c r="T44" s="1">
        <f t="shared" si="6"/>
        <v>89.5</v>
      </c>
      <c r="U44" s="1">
        <v>10</v>
      </c>
      <c r="V44" s="1">
        <v>12</v>
      </c>
      <c r="W44" s="1">
        <v>13</v>
      </c>
      <c r="X44" s="1">
        <v>8.3000000000000007</v>
      </c>
      <c r="Y44" s="1">
        <v>7.5</v>
      </c>
      <c r="Z44" s="1">
        <f t="shared" si="7"/>
        <v>10.16</v>
      </c>
      <c r="AA44" s="1">
        <v>7</v>
      </c>
      <c r="AB44" s="1">
        <v>6</v>
      </c>
      <c r="AC44" s="1">
        <v>8</v>
      </c>
      <c r="AD44" s="1">
        <v>7.2</v>
      </c>
      <c r="AE44" s="1">
        <v>5.4</v>
      </c>
      <c r="AF44" s="1">
        <f t="shared" si="8"/>
        <v>6.7200000000000006</v>
      </c>
      <c r="AL44" s="1" t="s">
        <v>43</v>
      </c>
      <c r="AM44" s="1">
        <v>0</v>
      </c>
      <c r="AN44" s="1">
        <v>13.1</v>
      </c>
      <c r="AO44" s="1">
        <v>12</v>
      </c>
      <c r="AP44" s="1">
        <v>10</v>
      </c>
      <c r="AQ44" s="1">
        <v>12.5</v>
      </c>
      <c r="AR44" s="1">
        <v>10</v>
      </c>
      <c r="AS44" s="1">
        <f t="shared" si="9"/>
        <v>11.52</v>
      </c>
      <c r="AT44" s="1">
        <v>1</v>
      </c>
      <c r="AU44" s="1">
        <v>0.9</v>
      </c>
      <c r="AV44" s="1">
        <v>0.9</v>
      </c>
      <c r="AW44" s="1">
        <v>0.7</v>
      </c>
      <c r="AX44" s="1">
        <v>1</v>
      </c>
      <c r="AY44" s="1">
        <f t="shared" si="10"/>
        <v>0.9</v>
      </c>
      <c r="AZ44" s="1">
        <v>5</v>
      </c>
      <c r="BA44" s="1">
        <v>3</v>
      </c>
      <c r="BB44" s="1">
        <v>5</v>
      </c>
      <c r="BC44" s="1">
        <v>6</v>
      </c>
      <c r="BD44" s="1">
        <v>17</v>
      </c>
      <c r="BE44" s="1">
        <v>12</v>
      </c>
      <c r="BF44" s="1">
        <v>10</v>
      </c>
      <c r="BG44" s="1">
        <f t="shared" si="11"/>
        <v>10</v>
      </c>
      <c r="BH44" s="1">
        <v>5</v>
      </c>
      <c r="BI44" s="1">
        <v>10</v>
      </c>
      <c r="BJ44" s="1">
        <v>9</v>
      </c>
      <c r="BK44" s="1">
        <v>9</v>
      </c>
      <c r="BL44" s="1">
        <v>8</v>
      </c>
      <c r="BM44" s="1">
        <v>9</v>
      </c>
      <c r="BN44" s="1">
        <f t="shared" si="12"/>
        <v>9</v>
      </c>
      <c r="BO44" s="1">
        <v>1</v>
      </c>
      <c r="BP44" s="1">
        <v>3</v>
      </c>
      <c r="BQ44" s="1">
        <v>2</v>
      </c>
      <c r="BR44" s="1">
        <v>3</v>
      </c>
      <c r="BS44" s="1">
        <v>2</v>
      </c>
      <c r="BT44" s="1">
        <v>3</v>
      </c>
      <c r="BU44" s="1">
        <v>3</v>
      </c>
      <c r="BV44" s="1">
        <v>3</v>
      </c>
      <c r="BW44" s="1">
        <v>47</v>
      </c>
      <c r="BX44" s="1">
        <v>36</v>
      </c>
      <c r="BY44" s="1">
        <v>48</v>
      </c>
      <c r="BZ44" s="1">
        <v>47</v>
      </c>
      <c r="CA44" s="1">
        <v>31</v>
      </c>
      <c r="CB44" s="1">
        <v>42</v>
      </c>
      <c r="CC44" s="1">
        <v>1</v>
      </c>
      <c r="CD44" s="1">
        <v>7</v>
      </c>
      <c r="CE44" s="1">
        <v>6.13</v>
      </c>
      <c r="CF44" s="1">
        <v>5.86</v>
      </c>
      <c r="CG44" s="1">
        <v>5.41</v>
      </c>
      <c r="CH44" s="1">
        <v>5.52</v>
      </c>
      <c r="CI44" s="1">
        <v>5.83</v>
      </c>
      <c r="CJ44" s="1">
        <f t="shared" si="13"/>
        <v>5.75</v>
      </c>
      <c r="CK44" s="1">
        <v>3.4</v>
      </c>
      <c r="CL44" s="1">
        <v>3.56</v>
      </c>
      <c r="CM44" s="1">
        <v>3.07</v>
      </c>
      <c r="CN44" s="1">
        <v>3.3</v>
      </c>
      <c r="CO44" s="1">
        <v>3.55</v>
      </c>
      <c r="CP44" s="1">
        <f t="shared" si="14"/>
        <v>3.3759999999999999</v>
      </c>
      <c r="CQ44" s="1">
        <v>2.92</v>
      </c>
      <c r="CR44" s="1">
        <v>3.38</v>
      </c>
      <c r="CS44" s="1">
        <v>2.71</v>
      </c>
      <c r="CT44" s="1">
        <v>3.2</v>
      </c>
      <c r="CU44" s="1">
        <v>3.02</v>
      </c>
      <c r="CV44" s="1">
        <f t="shared" si="15"/>
        <v>3.0460000000000003</v>
      </c>
      <c r="CW44" s="1">
        <v>35.6</v>
      </c>
      <c r="CX44" s="1">
        <v>10</v>
      </c>
      <c r="CY44" s="1">
        <v>0.86</v>
      </c>
      <c r="CZ44" s="1">
        <f t="shared" si="16"/>
        <v>1.9111111111111112</v>
      </c>
      <c r="DA44" s="1">
        <f t="shared" si="23"/>
        <v>0.9</v>
      </c>
      <c r="DB44" s="1">
        <f t="shared" si="24"/>
        <v>1.9884393063583818</v>
      </c>
    </row>
    <row r="45" spans="1:106" ht="16" thickBot="1" x14ac:dyDescent="0.4">
      <c r="A45" s="1">
        <v>43</v>
      </c>
      <c r="B45" s="7" t="s">
        <v>168</v>
      </c>
      <c r="C45" s="11" t="s">
        <v>52</v>
      </c>
      <c r="D45" s="10" t="s">
        <v>100</v>
      </c>
      <c r="E45" s="3">
        <v>45289</v>
      </c>
      <c r="F45" s="3">
        <f t="shared" si="17"/>
        <v>45274</v>
      </c>
      <c r="G45" s="1">
        <f t="shared" si="4"/>
        <v>15</v>
      </c>
      <c r="H45" s="1">
        <f t="shared" si="21"/>
        <v>109</v>
      </c>
      <c r="I45" s="1">
        <v>5</v>
      </c>
      <c r="J45" s="3">
        <v>45383</v>
      </c>
      <c r="K45" s="3">
        <v>45386</v>
      </c>
      <c r="L45" s="15">
        <f t="shared" si="5"/>
        <v>112</v>
      </c>
      <c r="M45" s="13">
        <f t="shared" si="22"/>
        <v>142</v>
      </c>
      <c r="N45" s="3">
        <v>45416</v>
      </c>
      <c r="O45" s="1">
        <v>49</v>
      </c>
      <c r="P45" s="1">
        <v>66</v>
      </c>
      <c r="Q45" s="1">
        <v>58</v>
      </c>
      <c r="R45" s="1">
        <v>67</v>
      </c>
      <c r="S45" s="1">
        <v>74</v>
      </c>
      <c r="T45" s="1">
        <f t="shared" si="6"/>
        <v>62.8</v>
      </c>
      <c r="U45" s="1">
        <v>7</v>
      </c>
      <c r="V45" s="1">
        <v>3.5</v>
      </c>
      <c r="W45" s="1">
        <v>4</v>
      </c>
      <c r="X45" s="1">
        <v>5</v>
      </c>
      <c r="Y45" s="1">
        <v>9.5</v>
      </c>
      <c r="Z45" s="1">
        <f t="shared" si="7"/>
        <v>5.8</v>
      </c>
      <c r="AA45" s="1">
        <v>11.5</v>
      </c>
      <c r="AB45" s="1">
        <v>11</v>
      </c>
      <c r="AC45" s="1">
        <v>8</v>
      </c>
      <c r="AD45" s="1">
        <v>10</v>
      </c>
      <c r="AE45" s="1">
        <v>10</v>
      </c>
      <c r="AF45" s="1">
        <f t="shared" si="8"/>
        <v>10.1</v>
      </c>
      <c r="AG45" s="1">
        <v>7.5</v>
      </c>
      <c r="AH45" s="1">
        <v>6.5</v>
      </c>
      <c r="AI45" s="1">
        <v>7</v>
      </c>
      <c r="AJ45" s="1">
        <v>7.6</v>
      </c>
      <c r="AK45" s="1">
        <v>7</v>
      </c>
      <c r="AL45" s="1">
        <f t="shared" si="18"/>
        <v>7.12</v>
      </c>
      <c r="AM45" s="1">
        <v>7</v>
      </c>
      <c r="AN45" s="1">
        <v>13</v>
      </c>
      <c r="AO45" s="1">
        <v>10.5</v>
      </c>
      <c r="AP45" s="1">
        <v>8.5</v>
      </c>
      <c r="AQ45" s="1">
        <v>8.5</v>
      </c>
      <c r="AR45" s="1">
        <v>8.6</v>
      </c>
      <c r="AS45" s="1">
        <f t="shared" si="9"/>
        <v>9.82</v>
      </c>
      <c r="AT45" s="1">
        <v>1</v>
      </c>
      <c r="AU45" s="1">
        <v>1.3</v>
      </c>
      <c r="AV45" s="1">
        <v>0.8</v>
      </c>
      <c r="AW45" s="1">
        <v>1</v>
      </c>
      <c r="AX45" s="1">
        <v>1</v>
      </c>
      <c r="AY45" s="1">
        <f t="shared" si="10"/>
        <v>1.02</v>
      </c>
      <c r="AZ45" s="1">
        <v>7</v>
      </c>
      <c r="BA45" s="1">
        <v>3</v>
      </c>
      <c r="BB45" s="1">
        <v>2</v>
      </c>
      <c r="BC45" s="1">
        <v>4</v>
      </c>
      <c r="BD45" s="1">
        <v>2</v>
      </c>
      <c r="BE45" s="1">
        <v>5</v>
      </c>
      <c r="BF45" s="1">
        <v>9</v>
      </c>
      <c r="BG45" s="1">
        <v>4</v>
      </c>
      <c r="BH45" s="1">
        <v>9</v>
      </c>
      <c r="BI45" s="1">
        <v>8</v>
      </c>
      <c r="BJ45" s="1">
        <v>9</v>
      </c>
      <c r="BK45" s="1">
        <v>10</v>
      </c>
      <c r="BL45" s="1">
        <v>10</v>
      </c>
      <c r="BM45" s="1">
        <v>10</v>
      </c>
      <c r="BN45" s="1">
        <v>9</v>
      </c>
      <c r="BO45" s="1">
        <v>1</v>
      </c>
      <c r="BP45" s="1">
        <v>3</v>
      </c>
      <c r="BQ45" s="1">
        <v>3</v>
      </c>
      <c r="BR45" s="1">
        <v>3</v>
      </c>
      <c r="BS45" s="1">
        <v>2</v>
      </c>
      <c r="BT45" s="1">
        <v>3</v>
      </c>
      <c r="BU45" s="1">
        <v>3</v>
      </c>
      <c r="BV45" s="1">
        <v>3</v>
      </c>
      <c r="BW45" s="1">
        <v>29</v>
      </c>
      <c r="BX45" s="1">
        <v>34</v>
      </c>
      <c r="BY45" s="1">
        <v>41</v>
      </c>
      <c r="BZ45" s="1">
        <v>47</v>
      </c>
      <c r="CA45" s="1">
        <v>41</v>
      </c>
      <c r="CB45" s="1">
        <v>38</v>
      </c>
      <c r="CC45" s="1">
        <v>1</v>
      </c>
      <c r="CD45" s="1">
        <v>5</v>
      </c>
      <c r="CE45" s="1">
        <v>6.56</v>
      </c>
      <c r="CF45" s="1">
        <v>5.4</v>
      </c>
      <c r="CG45" s="1">
        <v>6.3</v>
      </c>
      <c r="CH45" s="1">
        <v>5.84</v>
      </c>
      <c r="CI45" s="1">
        <v>6.27</v>
      </c>
      <c r="CJ45" s="1">
        <f t="shared" si="13"/>
        <v>6.0739999999999998</v>
      </c>
      <c r="CK45" s="1">
        <v>3.44</v>
      </c>
      <c r="CL45" s="1">
        <v>3.08</v>
      </c>
      <c r="CM45" s="1">
        <v>3.74</v>
      </c>
      <c r="CN45" s="1">
        <v>3.64</v>
      </c>
      <c r="CO45" s="1">
        <v>3.36</v>
      </c>
      <c r="CP45" s="1">
        <f t="shared" si="14"/>
        <v>3.4520000000000004</v>
      </c>
      <c r="CQ45" s="1">
        <v>3.47</v>
      </c>
      <c r="CR45" s="1">
        <v>2.7</v>
      </c>
      <c r="CS45" s="1">
        <v>3.25</v>
      </c>
      <c r="CT45" s="1">
        <v>3.16</v>
      </c>
      <c r="CU45" s="1">
        <v>3.23</v>
      </c>
      <c r="CV45" s="1">
        <f t="shared" si="15"/>
        <v>3.1619999999999999</v>
      </c>
      <c r="CW45" s="1">
        <v>50.2</v>
      </c>
      <c r="CX45" s="1">
        <v>10</v>
      </c>
      <c r="CY45" s="1">
        <v>0.93500000000000005</v>
      </c>
      <c r="CZ45" s="1">
        <f t="shared" si="16"/>
        <v>2.0777777777777779</v>
      </c>
      <c r="DA45" s="1">
        <f t="shared" si="23"/>
        <v>0.9</v>
      </c>
      <c r="DB45" s="1">
        <f t="shared" si="24"/>
        <v>2.1618497109826591</v>
      </c>
    </row>
    <row r="46" spans="1:106" ht="16" thickBot="1" x14ac:dyDescent="0.4">
      <c r="A46" s="1">
        <v>44</v>
      </c>
      <c r="B46" s="7" t="s">
        <v>169</v>
      </c>
      <c r="C46" s="11" t="s">
        <v>52</v>
      </c>
      <c r="D46" s="10" t="s">
        <v>100</v>
      </c>
      <c r="E46" s="3">
        <v>45289</v>
      </c>
      <c r="F46" s="3">
        <f t="shared" si="17"/>
        <v>45274</v>
      </c>
      <c r="G46" s="1">
        <f t="shared" si="4"/>
        <v>15</v>
      </c>
      <c r="H46" s="1">
        <f t="shared" si="21"/>
        <v>110</v>
      </c>
      <c r="I46" s="1">
        <v>5</v>
      </c>
      <c r="J46" s="3">
        <v>45384</v>
      </c>
      <c r="K46" s="3">
        <v>45387</v>
      </c>
      <c r="L46" s="15">
        <f t="shared" si="5"/>
        <v>113</v>
      </c>
      <c r="M46" s="13">
        <f t="shared" si="22"/>
        <v>142</v>
      </c>
      <c r="N46" s="3">
        <v>45416</v>
      </c>
      <c r="O46" s="1">
        <v>89</v>
      </c>
      <c r="P46" s="1">
        <v>90</v>
      </c>
      <c r="Q46" s="1">
        <v>80</v>
      </c>
      <c r="R46" s="1">
        <v>72</v>
      </c>
      <c r="S46" s="1">
        <v>82</v>
      </c>
      <c r="T46" s="1">
        <f t="shared" si="6"/>
        <v>82.6</v>
      </c>
      <c r="U46" s="1">
        <v>14</v>
      </c>
      <c r="V46" s="1">
        <v>18</v>
      </c>
      <c r="W46" s="1">
        <v>11</v>
      </c>
      <c r="X46" s="1">
        <v>10.5</v>
      </c>
      <c r="Y46" s="1">
        <v>10</v>
      </c>
      <c r="Z46" s="1">
        <f t="shared" si="7"/>
        <v>12.7</v>
      </c>
      <c r="AA46" s="1">
        <v>7</v>
      </c>
      <c r="AB46" s="1">
        <v>6.5</v>
      </c>
      <c r="AC46" s="1">
        <v>6.5</v>
      </c>
      <c r="AD46" s="1">
        <v>7</v>
      </c>
      <c r="AE46" s="1">
        <v>8</v>
      </c>
      <c r="AF46" s="1">
        <f t="shared" si="8"/>
        <v>7</v>
      </c>
      <c r="AL46" s="1" t="s">
        <v>43</v>
      </c>
      <c r="AM46" s="1">
        <v>0</v>
      </c>
      <c r="AN46" s="1">
        <v>11</v>
      </c>
      <c r="AO46" s="1">
        <v>13</v>
      </c>
      <c r="AP46" s="1">
        <v>14</v>
      </c>
      <c r="AQ46" s="1">
        <v>10.5</v>
      </c>
      <c r="AR46" s="1">
        <v>15</v>
      </c>
      <c r="AS46" s="1">
        <f t="shared" si="9"/>
        <v>12.7</v>
      </c>
      <c r="AT46" s="1">
        <v>1.1000000000000001</v>
      </c>
      <c r="AU46" s="1">
        <v>1.5</v>
      </c>
      <c r="AV46" s="1">
        <v>1.5</v>
      </c>
      <c r="AW46" s="1">
        <v>1.4</v>
      </c>
      <c r="AX46" s="1">
        <v>1.3</v>
      </c>
      <c r="AY46" s="1">
        <f t="shared" si="10"/>
        <v>1.3599999999999999</v>
      </c>
      <c r="AZ46" s="1">
        <v>7</v>
      </c>
      <c r="BA46" s="1">
        <v>5</v>
      </c>
      <c r="BB46" s="1">
        <v>5</v>
      </c>
      <c r="BC46" s="1">
        <v>7</v>
      </c>
      <c r="BD46" s="1">
        <v>7</v>
      </c>
      <c r="BE46" s="1">
        <v>3</v>
      </c>
      <c r="BF46" s="1">
        <v>5</v>
      </c>
      <c r="BG46" s="1">
        <v>5</v>
      </c>
      <c r="BH46" s="1">
        <v>9</v>
      </c>
      <c r="BI46" s="1">
        <v>9</v>
      </c>
      <c r="BJ46" s="1">
        <v>9</v>
      </c>
      <c r="BK46" s="1">
        <v>9</v>
      </c>
      <c r="BL46" s="1">
        <v>9</v>
      </c>
      <c r="BM46" s="1">
        <v>10</v>
      </c>
      <c r="BN46" s="1">
        <v>9</v>
      </c>
      <c r="BO46" s="1">
        <v>1</v>
      </c>
      <c r="BP46" s="1">
        <v>0</v>
      </c>
      <c r="BQ46" s="1">
        <v>2</v>
      </c>
      <c r="BR46" s="1">
        <v>3</v>
      </c>
      <c r="BS46" s="1">
        <v>3</v>
      </c>
      <c r="BT46" s="1">
        <v>3</v>
      </c>
      <c r="BU46" s="1">
        <v>3</v>
      </c>
      <c r="BV46" s="1">
        <v>3</v>
      </c>
      <c r="BW46" s="1">
        <v>44</v>
      </c>
      <c r="BX46" s="1">
        <v>38</v>
      </c>
      <c r="BY46" s="1">
        <v>42</v>
      </c>
      <c r="BZ46" s="1">
        <v>37</v>
      </c>
      <c r="CA46" s="1">
        <v>41</v>
      </c>
      <c r="CB46" s="1">
        <v>40</v>
      </c>
      <c r="CC46" s="1">
        <v>2</v>
      </c>
      <c r="CD46" s="1">
        <v>3</v>
      </c>
      <c r="CE46" s="1">
        <v>5.14</v>
      </c>
      <c r="CF46" s="1">
        <v>4.79</v>
      </c>
      <c r="CG46" s="1">
        <v>4.79</v>
      </c>
      <c r="CH46" s="1">
        <v>5.77</v>
      </c>
      <c r="CI46" s="1">
        <v>5.12</v>
      </c>
      <c r="CJ46" s="1">
        <f t="shared" si="13"/>
        <v>5.1219999999999999</v>
      </c>
      <c r="CK46" s="1">
        <v>2.93</v>
      </c>
      <c r="CL46" s="1">
        <v>2.7</v>
      </c>
      <c r="CM46" s="1">
        <v>3.09</v>
      </c>
      <c r="CN46" s="1">
        <v>2.68</v>
      </c>
      <c r="CO46" s="1">
        <v>2.86</v>
      </c>
      <c r="CP46" s="1">
        <f t="shared" si="14"/>
        <v>2.8519999999999999</v>
      </c>
      <c r="CQ46" s="1">
        <v>2.4500000000000002</v>
      </c>
      <c r="CR46" s="1">
        <v>2.09</v>
      </c>
      <c r="CS46" s="1">
        <v>2.2000000000000002</v>
      </c>
      <c r="CT46" s="1">
        <v>2.17</v>
      </c>
      <c r="CU46" s="1">
        <v>2.11</v>
      </c>
      <c r="CV46" s="1">
        <f t="shared" si="15"/>
        <v>2.2039999999999997</v>
      </c>
      <c r="CW46" s="1">
        <v>21.7</v>
      </c>
      <c r="CX46" s="1">
        <v>9.9</v>
      </c>
      <c r="CY46" s="1">
        <v>0.39500000000000002</v>
      </c>
      <c r="CZ46" s="1">
        <f t="shared" si="16"/>
        <v>0.87777777777777788</v>
      </c>
      <c r="DA46" s="1">
        <f t="shared" si="23"/>
        <v>0.90099999999999991</v>
      </c>
      <c r="DB46" s="1">
        <f t="shared" si="24"/>
        <v>0.9143095696852922</v>
      </c>
    </row>
    <row r="47" spans="1:106" ht="16" thickBot="1" x14ac:dyDescent="0.4">
      <c r="A47" s="1">
        <v>45</v>
      </c>
      <c r="B47" s="7" t="s">
        <v>170</v>
      </c>
      <c r="C47" s="11" t="s">
        <v>52</v>
      </c>
      <c r="D47" s="10"/>
      <c r="E47" s="3">
        <v>45289</v>
      </c>
      <c r="F47" s="3">
        <f t="shared" si="17"/>
        <v>45274</v>
      </c>
      <c r="G47" s="1">
        <f t="shared" si="4"/>
        <v>15</v>
      </c>
      <c r="H47" s="1">
        <f t="shared" si="21"/>
        <v>109</v>
      </c>
      <c r="I47" s="1">
        <v>5</v>
      </c>
      <c r="J47" s="3">
        <v>45383</v>
      </c>
      <c r="K47" s="3">
        <v>45386</v>
      </c>
      <c r="L47" s="15">
        <f t="shared" si="5"/>
        <v>112</v>
      </c>
      <c r="M47" s="13">
        <f t="shared" si="22"/>
        <v>142</v>
      </c>
      <c r="N47" s="3">
        <v>45416</v>
      </c>
      <c r="O47" s="1">
        <v>68</v>
      </c>
      <c r="P47" s="1">
        <v>64</v>
      </c>
      <c r="Q47" s="1">
        <v>69</v>
      </c>
      <c r="R47" s="1">
        <v>73</v>
      </c>
      <c r="S47" s="1">
        <v>70</v>
      </c>
      <c r="T47" s="1">
        <f t="shared" si="6"/>
        <v>68.8</v>
      </c>
      <c r="U47" s="1">
        <v>8.5</v>
      </c>
      <c r="V47" s="1">
        <v>5.5</v>
      </c>
      <c r="W47" s="1">
        <v>8</v>
      </c>
      <c r="X47" s="1">
        <v>14</v>
      </c>
      <c r="Y47" s="1">
        <v>10</v>
      </c>
      <c r="Z47" s="1">
        <f t="shared" si="7"/>
        <v>9.1999999999999993</v>
      </c>
      <c r="AA47" s="1">
        <v>10</v>
      </c>
      <c r="AB47" s="1">
        <v>11.5</v>
      </c>
      <c r="AC47" s="1">
        <v>9</v>
      </c>
      <c r="AD47" s="1">
        <v>10</v>
      </c>
      <c r="AE47" s="1">
        <v>11</v>
      </c>
      <c r="AF47" s="1">
        <f t="shared" si="8"/>
        <v>10.3</v>
      </c>
      <c r="AL47" s="1" t="s">
        <v>43</v>
      </c>
      <c r="AM47" s="1">
        <v>0</v>
      </c>
      <c r="AN47" s="1">
        <v>12.5</v>
      </c>
      <c r="AO47" s="1">
        <v>16</v>
      </c>
      <c r="AP47" s="1">
        <v>12</v>
      </c>
      <c r="AQ47" s="1">
        <v>10.5</v>
      </c>
      <c r="AR47" s="1">
        <v>9.3000000000000007</v>
      </c>
      <c r="AS47" s="1">
        <f t="shared" si="9"/>
        <v>12.059999999999999</v>
      </c>
      <c r="AT47" s="1">
        <v>1</v>
      </c>
      <c r="AU47" s="1">
        <v>1</v>
      </c>
      <c r="AV47" s="1">
        <v>1</v>
      </c>
      <c r="AW47" s="1">
        <v>1</v>
      </c>
      <c r="AX47" s="1">
        <v>0.7</v>
      </c>
      <c r="AY47" s="1">
        <f t="shared" si="10"/>
        <v>0.94000000000000006</v>
      </c>
      <c r="AZ47" s="1">
        <v>7</v>
      </c>
      <c r="BA47" s="1">
        <v>5</v>
      </c>
      <c r="BB47" s="1">
        <v>3</v>
      </c>
      <c r="BC47" s="1">
        <v>13</v>
      </c>
      <c r="BD47" s="1">
        <v>9</v>
      </c>
      <c r="BE47" s="1">
        <v>2</v>
      </c>
      <c r="BF47" s="1">
        <v>3</v>
      </c>
      <c r="BG47" s="1">
        <f t="shared" si="11"/>
        <v>6</v>
      </c>
      <c r="BH47" s="1">
        <v>7</v>
      </c>
      <c r="BI47" s="1">
        <v>9</v>
      </c>
      <c r="BJ47" s="1">
        <v>11</v>
      </c>
      <c r="BK47" s="1">
        <v>10</v>
      </c>
      <c r="BL47" s="1">
        <v>12</v>
      </c>
      <c r="BM47" s="1">
        <v>9</v>
      </c>
      <c r="BN47" s="1">
        <v>10</v>
      </c>
      <c r="BO47" s="1">
        <v>2</v>
      </c>
      <c r="BP47" s="1">
        <v>3</v>
      </c>
      <c r="BQ47" s="1">
        <v>3</v>
      </c>
      <c r="BR47" s="1">
        <v>3</v>
      </c>
      <c r="BS47" s="1">
        <v>3</v>
      </c>
      <c r="BT47" s="1">
        <v>4</v>
      </c>
      <c r="BU47" s="1">
        <v>3</v>
      </c>
      <c r="BV47" s="1">
        <v>3</v>
      </c>
      <c r="BW47" s="1">
        <v>42</v>
      </c>
      <c r="BX47" s="1">
        <v>52</v>
      </c>
      <c r="BY47" s="1">
        <v>38</v>
      </c>
      <c r="BZ47" s="1">
        <v>78</v>
      </c>
      <c r="CA47" s="1">
        <v>47</v>
      </c>
      <c r="CB47" s="1">
        <v>51</v>
      </c>
      <c r="CC47" s="1">
        <v>2</v>
      </c>
      <c r="CD47" s="1">
        <v>7</v>
      </c>
      <c r="CE47" s="1">
        <v>5.75</v>
      </c>
      <c r="CF47" s="1">
        <v>5.94</v>
      </c>
      <c r="CG47" s="1">
        <v>6.27</v>
      </c>
      <c r="CH47" s="1">
        <v>6.32</v>
      </c>
      <c r="CI47" s="1">
        <v>6.71</v>
      </c>
      <c r="CJ47" s="1">
        <f t="shared" si="13"/>
        <v>6.1980000000000004</v>
      </c>
      <c r="CK47" s="1">
        <v>3.18</v>
      </c>
      <c r="CL47" s="1">
        <v>3.3</v>
      </c>
      <c r="CM47" s="1">
        <v>3.36</v>
      </c>
      <c r="CN47" s="1">
        <v>3.31</v>
      </c>
      <c r="CO47" s="1">
        <v>3.41</v>
      </c>
      <c r="CP47" s="1">
        <f t="shared" si="14"/>
        <v>3.3120000000000003</v>
      </c>
      <c r="CQ47" s="1">
        <v>2.66</v>
      </c>
      <c r="CR47" s="1">
        <v>2.61</v>
      </c>
      <c r="CS47" s="1">
        <v>2.91</v>
      </c>
      <c r="CT47" s="1">
        <v>3.21</v>
      </c>
      <c r="CU47" s="1">
        <v>2.8</v>
      </c>
      <c r="CV47" s="1">
        <f t="shared" si="15"/>
        <v>2.8380000000000001</v>
      </c>
      <c r="CW47" s="1">
        <v>37.299999999999997</v>
      </c>
      <c r="CX47" s="1">
        <v>10.7</v>
      </c>
      <c r="CY47" s="1">
        <v>0.61499999999999999</v>
      </c>
      <c r="CZ47" s="1">
        <f t="shared" si="16"/>
        <v>1.3666666666666667</v>
      </c>
      <c r="DA47" s="1">
        <f t="shared" si="23"/>
        <v>0.89300000000000002</v>
      </c>
      <c r="DB47" s="1">
        <f t="shared" si="24"/>
        <v>1.4109055876685936</v>
      </c>
    </row>
    <row r="48" spans="1:106" ht="16" thickBot="1" x14ac:dyDescent="0.4">
      <c r="A48" s="1">
        <v>46</v>
      </c>
      <c r="B48" s="7" t="s">
        <v>171</v>
      </c>
      <c r="C48" s="11" t="s">
        <v>52</v>
      </c>
      <c r="D48" s="10" t="s">
        <v>100</v>
      </c>
      <c r="E48" s="3">
        <v>45289</v>
      </c>
      <c r="F48" s="3">
        <f t="shared" si="17"/>
        <v>45274</v>
      </c>
      <c r="G48" s="1">
        <f t="shared" si="4"/>
        <v>15</v>
      </c>
      <c r="H48" s="1">
        <f t="shared" si="21"/>
        <v>104</v>
      </c>
      <c r="I48" s="1">
        <v>7</v>
      </c>
      <c r="J48" s="3">
        <v>45378</v>
      </c>
      <c r="K48" s="3">
        <v>45384</v>
      </c>
      <c r="L48" s="15">
        <f t="shared" si="5"/>
        <v>110</v>
      </c>
      <c r="M48" s="13">
        <f t="shared" si="22"/>
        <v>140</v>
      </c>
      <c r="N48" s="3">
        <v>45414</v>
      </c>
      <c r="O48" s="1">
        <v>100.9</v>
      </c>
      <c r="P48" s="1">
        <v>100.2</v>
      </c>
      <c r="Q48" s="1">
        <v>94</v>
      </c>
      <c r="R48" s="1">
        <v>100</v>
      </c>
      <c r="S48" s="1">
        <v>89</v>
      </c>
      <c r="T48" s="1">
        <f t="shared" si="6"/>
        <v>96.820000000000007</v>
      </c>
      <c r="U48" s="1">
        <v>21.5</v>
      </c>
      <c r="V48" s="1">
        <v>15</v>
      </c>
      <c r="W48" s="1">
        <v>21.5</v>
      </c>
      <c r="X48" s="1">
        <v>19</v>
      </c>
      <c r="Y48" s="1">
        <v>20</v>
      </c>
      <c r="Z48" s="1">
        <f t="shared" si="7"/>
        <v>19.399999999999999</v>
      </c>
      <c r="AA48" s="1">
        <v>9</v>
      </c>
      <c r="AB48" s="1">
        <v>9</v>
      </c>
      <c r="AC48" s="1">
        <v>9.5</v>
      </c>
      <c r="AD48" s="1">
        <v>8.5</v>
      </c>
      <c r="AE48" s="1">
        <v>8.5</v>
      </c>
      <c r="AF48" s="1">
        <f t="shared" si="8"/>
        <v>8.9</v>
      </c>
      <c r="AL48" s="1" t="s">
        <v>43</v>
      </c>
      <c r="AM48" s="1">
        <v>0</v>
      </c>
      <c r="AN48" s="1">
        <v>12.5</v>
      </c>
      <c r="AO48" s="1">
        <v>10</v>
      </c>
      <c r="AP48" s="1">
        <v>11</v>
      </c>
      <c r="AQ48" s="1">
        <v>10</v>
      </c>
      <c r="AR48" s="1">
        <v>11</v>
      </c>
      <c r="AS48" s="1">
        <f t="shared" si="9"/>
        <v>10.9</v>
      </c>
      <c r="AT48" s="1">
        <v>1</v>
      </c>
      <c r="AU48" s="1">
        <v>1.1000000000000001</v>
      </c>
      <c r="AV48" s="1">
        <v>1</v>
      </c>
      <c r="AW48" s="1">
        <v>1.9</v>
      </c>
      <c r="AX48" s="1">
        <v>1.8</v>
      </c>
      <c r="AY48" s="1">
        <f t="shared" si="10"/>
        <v>1.3599999999999999</v>
      </c>
      <c r="AZ48" s="1">
        <v>3</v>
      </c>
      <c r="BA48" s="1">
        <v>3</v>
      </c>
      <c r="BB48" s="1">
        <v>6</v>
      </c>
      <c r="BC48" s="1">
        <v>14</v>
      </c>
      <c r="BD48" s="1">
        <v>11</v>
      </c>
      <c r="BE48" s="1">
        <v>13</v>
      </c>
      <c r="BF48" s="1">
        <v>3</v>
      </c>
      <c r="BG48" s="1">
        <v>9</v>
      </c>
      <c r="BH48" s="1">
        <v>3</v>
      </c>
      <c r="BI48" s="1">
        <v>10</v>
      </c>
      <c r="BJ48" s="1">
        <v>11</v>
      </c>
      <c r="BK48" s="1">
        <v>9</v>
      </c>
      <c r="BL48" s="1">
        <v>10</v>
      </c>
      <c r="BM48" s="1">
        <v>11</v>
      </c>
      <c r="BN48" s="1">
        <v>10</v>
      </c>
      <c r="BO48" s="1">
        <v>2</v>
      </c>
      <c r="BP48" s="1">
        <v>0</v>
      </c>
      <c r="BQ48" s="1">
        <v>3</v>
      </c>
      <c r="BR48" s="1">
        <v>2</v>
      </c>
      <c r="BS48" s="1">
        <v>3</v>
      </c>
      <c r="BT48" s="1">
        <v>4</v>
      </c>
      <c r="BU48" s="1">
        <v>3</v>
      </c>
      <c r="BV48" s="1">
        <f t="shared" si="19"/>
        <v>3</v>
      </c>
      <c r="BW48" s="1">
        <v>47</v>
      </c>
      <c r="BX48" s="1">
        <v>35</v>
      </c>
      <c r="BY48" s="1">
        <v>32</v>
      </c>
      <c r="BZ48" s="1">
        <v>43</v>
      </c>
      <c r="CA48" s="1">
        <v>48</v>
      </c>
      <c r="CB48" s="1">
        <f t="shared" si="20"/>
        <v>41</v>
      </c>
      <c r="CC48" s="1">
        <v>1</v>
      </c>
      <c r="CD48" s="1">
        <v>5</v>
      </c>
      <c r="CE48" s="1">
        <v>6.42</v>
      </c>
      <c r="CF48" s="1">
        <v>5.98</v>
      </c>
      <c r="CG48" s="1">
        <v>5.83</v>
      </c>
      <c r="CH48" s="1">
        <v>4.3099999999999996</v>
      </c>
      <c r="CI48" s="1">
        <v>5.68</v>
      </c>
      <c r="CJ48" s="1">
        <f t="shared" si="13"/>
        <v>5.6440000000000001</v>
      </c>
      <c r="CK48" s="1">
        <v>3.58</v>
      </c>
      <c r="CL48" s="1">
        <v>3.6</v>
      </c>
      <c r="CM48" s="1">
        <v>3.46</v>
      </c>
      <c r="CN48" s="1">
        <v>2.71</v>
      </c>
      <c r="CO48" s="1">
        <v>3.42</v>
      </c>
      <c r="CP48" s="1">
        <f t="shared" si="14"/>
        <v>3.3540000000000005</v>
      </c>
      <c r="CQ48" s="1">
        <v>3.03</v>
      </c>
      <c r="CR48" s="1">
        <v>2.89</v>
      </c>
      <c r="CS48" s="1">
        <v>3.06</v>
      </c>
      <c r="CT48" s="1">
        <v>2.61</v>
      </c>
      <c r="CU48" s="1">
        <v>2.42</v>
      </c>
      <c r="CV48" s="1">
        <f t="shared" si="15"/>
        <v>2.802</v>
      </c>
      <c r="CW48" s="1">
        <v>42.4</v>
      </c>
      <c r="CX48" s="1">
        <v>10.4</v>
      </c>
      <c r="CY48" s="1">
        <v>0.95</v>
      </c>
      <c r="CZ48" s="1">
        <f t="shared" si="16"/>
        <v>2.1111111111111112</v>
      </c>
      <c r="DA48" s="1">
        <f t="shared" si="23"/>
        <v>0.89599999999999991</v>
      </c>
      <c r="DB48" s="1">
        <f t="shared" si="24"/>
        <v>2.1867694283879255</v>
      </c>
    </row>
    <row r="49" spans="1:106" ht="16" thickBot="1" x14ac:dyDescent="0.4">
      <c r="A49" s="1">
        <v>47</v>
      </c>
      <c r="B49" s="7" t="s">
        <v>172</v>
      </c>
      <c r="C49" s="11" t="s">
        <v>52</v>
      </c>
      <c r="D49" s="10" t="s">
        <v>100</v>
      </c>
      <c r="E49" s="3">
        <v>45289</v>
      </c>
      <c r="F49" s="3">
        <f t="shared" si="17"/>
        <v>45274</v>
      </c>
      <c r="G49" s="1">
        <f t="shared" si="4"/>
        <v>15</v>
      </c>
      <c r="H49" s="1">
        <f t="shared" si="21"/>
        <v>112</v>
      </c>
      <c r="I49" s="1">
        <v>5</v>
      </c>
      <c r="J49" s="3">
        <v>45386</v>
      </c>
      <c r="K49" s="3">
        <v>45388</v>
      </c>
      <c r="L49" s="15">
        <f t="shared" si="5"/>
        <v>114</v>
      </c>
      <c r="M49" s="13">
        <f t="shared" si="22"/>
        <v>142</v>
      </c>
      <c r="N49" s="3">
        <v>45416</v>
      </c>
      <c r="O49" s="1">
        <v>91</v>
      </c>
      <c r="P49" s="1">
        <v>98</v>
      </c>
      <c r="Q49" s="1">
        <v>92</v>
      </c>
      <c r="R49" s="1">
        <v>98</v>
      </c>
      <c r="S49" s="1">
        <v>100</v>
      </c>
      <c r="T49" s="1">
        <f t="shared" si="6"/>
        <v>95.8</v>
      </c>
      <c r="U49" s="1">
        <v>12.5</v>
      </c>
      <c r="V49" s="1">
        <v>20</v>
      </c>
      <c r="W49" s="1">
        <v>21</v>
      </c>
      <c r="X49" s="1">
        <v>18</v>
      </c>
      <c r="Y49" s="1">
        <v>12</v>
      </c>
      <c r="Z49" s="1">
        <f t="shared" si="7"/>
        <v>16.7</v>
      </c>
      <c r="AA49" s="1">
        <v>8</v>
      </c>
      <c r="AB49" s="1">
        <v>9</v>
      </c>
      <c r="AC49" s="1">
        <v>8.5</v>
      </c>
      <c r="AD49" s="1">
        <v>9</v>
      </c>
      <c r="AE49" s="1">
        <v>7</v>
      </c>
      <c r="AF49" s="1">
        <f t="shared" si="8"/>
        <v>8.3000000000000007</v>
      </c>
      <c r="AL49" s="1" t="s">
        <v>43</v>
      </c>
      <c r="AM49" s="1">
        <v>0</v>
      </c>
      <c r="AN49" s="1">
        <v>13.5</v>
      </c>
      <c r="AO49" s="1">
        <v>13</v>
      </c>
      <c r="AP49" s="1">
        <v>14</v>
      </c>
      <c r="AQ49" s="1">
        <v>13.4</v>
      </c>
      <c r="AR49" s="1">
        <v>11.5</v>
      </c>
      <c r="AS49" s="1">
        <f t="shared" si="9"/>
        <v>13.080000000000002</v>
      </c>
      <c r="AT49" s="1">
        <v>0.9</v>
      </c>
      <c r="AU49" s="1">
        <v>1</v>
      </c>
      <c r="AV49" s="1">
        <v>0.9</v>
      </c>
      <c r="AW49" s="1">
        <v>1</v>
      </c>
      <c r="AX49" s="1">
        <v>1</v>
      </c>
      <c r="AY49" s="1">
        <f t="shared" si="10"/>
        <v>0.96</v>
      </c>
      <c r="AZ49" s="1">
        <v>5</v>
      </c>
      <c r="BA49" s="1">
        <v>3</v>
      </c>
      <c r="BB49" s="1">
        <v>6</v>
      </c>
      <c r="BC49" s="1">
        <v>7</v>
      </c>
      <c r="BD49" s="1">
        <v>1</v>
      </c>
      <c r="BE49" s="1">
        <v>16</v>
      </c>
      <c r="BF49" s="1">
        <v>6</v>
      </c>
      <c r="BG49" s="1">
        <v>7</v>
      </c>
      <c r="BH49" s="1">
        <v>9</v>
      </c>
      <c r="BI49" s="1">
        <v>9</v>
      </c>
      <c r="BJ49" s="1">
        <v>11</v>
      </c>
      <c r="BK49" s="1">
        <v>10</v>
      </c>
      <c r="BL49" s="1">
        <v>12</v>
      </c>
      <c r="BM49" s="1">
        <v>11</v>
      </c>
      <c r="BN49" s="1">
        <v>11</v>
      </c>
      <c r="BO49" s="1">
        <v>1</v>
      </c>
      <c r="BP49" s="1">
        <v>0</v>
      </c>
      <c r="BQ49" s="1">
        <v>3</v>
      </c>
      <c r="BR49" s="1">
        <v>3</v>
      </c>
      <c r="BS49" s="1">
        <v>3</v>
      </c>
      <c r="BT49" s="1">
        <v>3</v>
      </c>
      <c r="BU49" s="1">
        <v>3</v>
      </c>
      <c r="BV49" s="1">
        <f t="shared" si="19"/>
        <v>3</v>
      </c>
      <c r="BW49" s="1">
        <v>40</v>
      </c>
      <c r="BX49" s="1">
        <v>56</v>
      </c>
      <c r="BY49" s="1">
        <v>49</v>
      </c>
      <c r="BZ49" s="1">
        <v>58</v>
      </c>
      <c r="CA49" s="1">
        <v>43</v>
      </c>
      <c r="CB49" s="1">
        <v>49</v>
      </c>
      <c r="CC49" s="1">
        <v>2</v>
      </c>
      <c r="CD49" s="1">
        <v>5</v>
      </c>
      <c r="CE49" s="1">
        <v>5.55</v>
      </c>
      <c r="CF49" s="1">
        <v>5.51</v>
      </c>
      <c r="CG49" s="1">
        <v>5.29</v>
      </c>
      <c r="CH49" s="1">
        <v>5.38</v>
      </c>
      <c r="CI49" s="1">
        <v>5.38</v>
      </c>
      <c r="CJ49" s="1">
        <f t="shared" si="13"/>
        <v>5.4219999999999988</v>
      </c>
      <c r="CK49" s="1">
        <v>2.83</v>
      </c>
      <c r="CL49" s="1">
        <v>2.85</v>
      </c>
      <c r="CM49" s="1">
        <v>3.04</v>
      </c>
      <c r="CN49" s="1">
        <v>2.82</v>
      </c>
      <c r="CO49" s="1">
        <v>2.91</v>
      </c>
      <c r="CP49" s="1">
        <f t="shared" si="14"/>
        <v>2.8899999999999997</v>
      </c>
      <c r="CQ49" s="1">
        <v>2.2000000000000002</v>
      </c>
      <c r="CR49" s="1">
        <v>2.42</v>
      </c>
      <c r="CS49" s="1">
        <v>2.33</v>
      </c>
      <c r="CT49" s="1">
        <v>2.31</v>
      </c>
      <c r="CU49" s="1">
        <v>1.92</v>
      </c>
      <c r="CV49" s="1">
        <f t="shared" si="15"/>
        <v>2.2359999999999998</v>
      </c>
      <c r="CW49" s="1">
        <v>24.4</v>
      </c>
      <c r="CX49" s="1">
        <v>11.9</v>
      </c>
      <c r="CY49" s="1">
        <v>0.45</v>
      </c>
      <c r="CZ49" s="1">
        <f t="shared" si="16"/>
        <v>1</v>
      </c>
      <c r="DA49" s="1">
        <f t="shared" si="23"/>
        <v>0.88099999999999989</v>
      </c>
      <c r="DB49" s="1">
        <f t="shared" si="24"/>
        <v>1.0184971098265896</v>
      </c>
    </row>
    <row r="50" spans="1:106" ht="16" thickBot="1" x14ac:dyDescent="0.4">
      <c r="A50" s="1">
        <v>48</v>
      </c>
      <c r="B50" s="7" t="s">
        <v>173</v>
      </c>
      <c r="C50" s="11" t="s">
        <v>52</v>
      </c>
      <c r="D50" s="10" t="s">
        <v>101</v>
      </c>
      <c r="E50" s="3">
        <v>45289</v>
      </c>
      <c r="F50" s="3">
        <f t="shared" si="17"/>
        <v>45274</v>
      </c>
      <c r="G50" s="1">
        <f t="shared" si="4"/>
        <v>15</v>
      </c>
      <c r="H50" s="1">
        <f t="shared" si="21"/>
        <v>102</v>
      </c>
      <c r="I50" s="1">
        <v>5</v>
      </c>
      <c r="J50" s="3">
        <v>45376</v>
      </c>
      <c r="K50" s="3">
        <v>45382</v>
      </c>
      <c r="L50" s="15">
        <f t="shared" si="5"/>
        <v>108</v>
      </c>
      <c r="M50" s="13">
        <f t="shared" si="22"/>
        <v>135</v>
      </c>
      <c r="N50" s="3">
        <v>45409</v>
      </c>
      <c r="O50" s="1">
        <v>100.6</v>
      </c>
      <c r="P50" s="1">
        <v>93</v>
      </c>
      <c r="Q50" s="1">
        <v>100.6</v>
      </c>
      <c r="R50" s="1">
        <v>97</v>
      </c>
      <c r="S50" s="1">
        <v>99</v>
      </c>
      <c r="T50" s="1">
        <f t="shared" si="6"/>
        <v>98.039999999999992</v>
      </c>
      <c r="U50" s="1">
        <v>28</v>
      </c>
      <c r="V50" s="1">
        <v>24.5</v>
      </c>
      <c r="W50" s="1">
        <v>25</v>
      </c>
      <c r="X50" s="1">
        <v>21.5</v>
      </c>
      <c r="Y50" s="1">
        <v>20</v>
      </c>
      <c r="Z50" s="1">
        <f t="shared" si="7"/>
        <v>23.8</v>
      </c>
      <c r="AA50" s="1">
        <v>9.5</v>
      </c>
      <c r="AB50" s="1">
        <v>8</v>
      </c>
      <c r="AC50" s="1">
        <v>8.5</v>
      </c>
      <c r="AD50" s="1">
        <v>6.5</v>
      </c>
      <c r="AE50" s="1">
        <v>8</v>
      </c>
      <c r="AF50" s="1">
        <f t="shared" si="8"/>
        <v>8.1</v>
      </c>
      <c r="AL50" s="1" t="s">
        <v>43</v>
      </c>
      <c r="AM50" s="1">
        <v>0</v>
      </c>
      <c r="AN50" s="1">
        <v>12.5</v>
      </c>
      <c r="AO50" s="1">
        <v>12.5</v>
      </c>
      <c r="AP50" s="1">
        <v>12</v>
      </c>
      <c r="AQ50" s="1">
        <v>12</v>
      </c>
      <c r="AR50" s="1">
        <v>13</v>
      </c>
      <c r="AS50" s="1">
        <f t="shared" si="9"/>
        <v>12.4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f t="shared" si="10"/>
        <v>1</v>
      </c>
      <c r="AZ50" s="1">
        <v>5</v>
      </c>
      <c r="BA50" s="1">
        <v>3</v>
      </c>
      <c r="BB50" s="1">
        <v>6</v>
      </c>
      <c r="BC50" s="1">
        <v>6</v>
      </c>
      <c r="BD50" s="1">
        <v>4</v>
      </c>
      <c r="BE50" s="1">
        <v>10</v>
      </c>
      <c r="BF50" s="1">
        <v>8</v>
      </c>
      <c r="BG50" s="1">
        <v>7</v>
      </c>
      <c r="BH50" s="1">
        <v>5</v>
      </c>
      <c r="BI50" s="1">
        <v>9</v>
      </c>
      <c r="BJ50" s="1">
        <v>9</v>
      </c>
      <c r="BK50" s="1">
        <v>9</v>
      </c>
      <c r="BL50" s="1">
        <v>9</v>
      </c>
      <c r="BM50" s="1">
        <v>8</v>
      </c>
      <c r="BN50" s="1">
        <v>9</v>
      </c>
      <c r="BO50" s="1">
        <v>1</v>
      </c>
      <c r="BP50" s="1">
        <v>0</v>
      </c>
      <c r="BQ50" s="1">
        <v>2</v>
      </c>
      <c r="BR50" s="1">
        <v>2</v>
      </c>
      <c r="BS50" s="1">
        <v>3</v>
      </c>
      <c r="BT50" s="1">
        <v>2</v>
      </c>
      <c r="BU50" s="1">
        <v>3</v>
      </c>
      <c r="BV50" s="1">
        <v>2</v>
      </c>
      <c r="BW50" s="1">
        <v>42</v>
      </c>
      <c r="BX50" s="1">
        <v>30</v>
      </c>
      <c r="BY50" s="1">
        <v>38</v>
      </c>
      <c r="BZ50" s="1">
        <v>48</v>
      </c>
      <c r="CA50" s="1">
        <v>48</v>
      </c>
      <c r="CB50" s="1">
        <v>41</v>
      </c>
      <c r="CC50" s="1">
        <v>2</v>
      </c>
      <c r="CD50" s="1">
        <v>7</v>
      </c>
      <c r="CE50" s="1">
        <v>5.49</v>
      </c>
      <c r="CF50" s="1">
        <v>5.07</v>
      </c>
      <c r="CG50" s="1">
        <v>5.31</v>
      </c>
      <c r="CH50" s="1">
        <v>4.67</v>
      </c>
      <c r="CI50" s="1">
        <v>5.78</v>
      </c>
      <c r="CJ50" s="1">
        <f t="shared" si="13"/>
        <v>5.2640000000000002</v>
      </c>
      <c r="CK50" s="1">
        <v>2.97</v>
      </c>
      <c r="CL50" s="1">
        <v>3.2</v>
      </c>
      <c r="CM50" s="1">
        <v>3.01</v>
      </c>
      <c r="CN50" s="1">
        <v>3.03</v>
      </c>
      <c r="CO50" s="1">
        <v>3.37</v>
      </c>
      <c r="CP50" s="1">
        <f t="shared" si="14"/>
        <v>3.1159999999999997</v>
      </c>
      <c r="CQ50" s="1">
        <v>2.7</v>
      </c>
      <c r="CR50" s="1">
        <v>2.63</v>
      </c>
      <c r="CS50" s="1">
        <v>3.12</v>
      </c>
      <c r="CT50" s="1">
        <v>2.59</v>
      </c>
      <c r="CU50" s="1">
        <v>2.78</v>
      </c>
      <c r="CV50" s="1">
        <f t="shared" si="15"/>
        <v>2.7639999999999998</v>
      </c>
      <c r="CW50" s="1">
        <v>32.4</v>
      </c>
      <c r="CX50" s="1">
        <v>11.4</v>
      </c>
      <c r="CY50" s="1">
        <v>0.81499999999999995</v>
      </c>
      <c r="CZ50" s="1">
        <f t="shared" si="16"/>
        <v>1.8111111111111111</v>
      </c>
      <c r="DA50" s="1">
        <f t="shared" si="23"/>
        <v>0.8859999999999999</v>
      </c>
      <c r="DB50" s="1">
        <f t="shared" si="24"/>
        <v>1.8550802825947332</v>
      </c>
    </row>
    <row r="51" spans="1:106" ht="16" thickBot="1" x14ac:dyDescent="0.4">
      <c r="A51" s="1">
        <v>49</v>
      </c>
      <c r="B51" s="7" t="s">
        <v>174</v>
      </c>
      <c r="C51" s="11" t="s">
        <v>52</v>
      </c>
      <c r="D51" s="10" t="s">
        <v>101</v>
      </c>
      <c r="E51" s="3">
        <v>45289</v>
      </c>
      <c r="F51" s="3">
        <f t="shared" si="17"/>
        <v>45274</v>
      </c>
      <c r="G51" s="1">
        <f t="shared" si="4"/>
        <v>15</v>
      </c>
      <c r="H51" s="1">
        <f t="shared" si="21"/>
        <v>100</v>
      </c>
      <c r="I51" s="1">
        <v>7</v>
      </c>
      <c r="J51" s="3">
        <v>45374</v>
      </c>
      <c r="K51" s="3">
        <v>45376</v>
      </c>
      <c r="L51" s="15">
        <f t="shared" si="5"/>
        <v>102</v>
      </c>
      <c r="M51" s="13">
        <f t="shared" si="22"/>
        <v>146</v>
      </c>
      <c r="N51" s="3">
        <v>45420</v>
      </c>
      <c r="O51" s="1">
        <v>80</v>
      </c>
      <c r="P51" s="1">
        <v>93</v>
      </c>
      <c r="Q51" s="1">
        <v>92.3</v>
      </c>
      <c r="R51" s="1">
        <v>87</v>
      </c>
      <c r="S51" s="1">
        <v>88</v>
      </c>
      <c r="T51" s="1">
        <f t="shared" si="6"/>
        <v>88.06</v>
      </c>
      <c r="U51" s="1">
        <v>8.5</v>
      </c>
      <c r="V51" s="1">
        <v>15</v>
      </c>
      <c r="W51" s="1">
        <v>14</v>
      </c>
      <c r="X51" s="1">
        <v>19</v>
      </c>
      <c r="Y51" s="1">
        <v>13</v>
      </c>
      <c r="Z51" s="1">
        <f t="shared" si="7"/>
        <v>13.9</v>
      </c>
      <c r="AA51" s="1">
        <v>11.5</v>
      </c>
      <c r="AB51" s="1">
        <v>12</v>
      </c>
      <c r="AC51" s="1">
        <v>11</v>
      </c>
      <c r="AD51" s="1">
        <v>8</v>
      </c>
      <c r="AE51" s="1">
        <v>9.5</v>
      </c>
      <c r="AF51" s="1">
        <f t="shared" si="8"/>
        <v>10.4</v>
      </c>
      <c r="AG51" s="1">
        <v>6.5</v>
      </c>
      <c r="AH51" s="1">
        <v>5</v>
      </c>
      <c r="AI51" s="1">
        <v>5</v>
      </c>
      <c r="AJ51" s="1">
        <v>6.5</v>
      </c>
      <c r="AK51" s="1">
        <v>6</v>
      </c>
      <c r="AL51" s="1">
        <f t="shared" si="18"/>
        <v>5.8</v>
      </c>
      <c r="AM51" s="1">
        <v>7</v>
      </c>
      <c r="AN51" s="1">
        <v>12</v>
      </c>
      <c r="AO51" s="1">
        <v>10</v>
      </c>
      <c r="AP51" s="1">
        <v>12</v>
      </c>
      <c r="AQ51" s="1">
        <v>10.1</v>
      </c>
      <c r="AR51" s="1">
        <v>9.3000000000000007</v>
      </c>
      <c r="AS51" s="1">
        <f t="shared" si="9"/>
        <v>10.680000000000001</v>
      </c>
      <c r="AT51" s="1">
        <v>1</v>
      </c>
      <c r="AU51" s="1">
        <v>0.9</v>
      </c>
      <c r="AV51" s="1">
        <v>0.9</v>
      </c>
      <c r="AW51" s="1">
        <v>0.9</v>
      </c>
      <c r="AX51" s="1">
        <v>1</v>
      </c>
      <c r="AY51" s="1">
        <f t="shared" si="10"/>
        <v>0.93999999999999984</v>
      </c>
      <c r="AZ51" s="1">
        <v>5</v>
      </c>
      <c r="BA51" s="1">
        <v>3</v>
      </c>
      <c r="BB51" s="1">
        <v>11</v>
      </c>
      <c r="BC51" s="1">
        <v>4</v>
      </c>
      <c r="BD51" s="1">
        <v>3</v>
      </c>
      <c r="BE51" s="1">
        <v>8</v>
      </c>
      <c r="BF51" s="1">
        <v>7</v>
      </c>
      <c r="BG51" s="1">
        <v>7</v>
      </c>
      <c r="BH51" s="1">
        <v>9</v>
      </c>
      <c r="BI51" s="1">
        <v>7</v>
      </c>
      <c r="BJ51" s="1">
        <v>8</v>
      </c>
      <c r="BK51" s="1">
        <v>8</v>
      </c>
      <c r="BL51" s="1">
        <v>9</v>
      </c>
      <c r="BM51" s="1">
        <v>9</v>
      </c>
      <c r="BN51" s="1">
        <v>8</v>
      </c>
      <c r="BO51" s="1">
        <v>2</v>
      </c>
      <c r="BP51" s="1">
        <v>0</v>
      </c>
      <c r="BQ51" s="1">
        <v>3</v>
      </c>
      <c r="BR51" s="1">
        <v>3</v>
      </c>
      <c r="BS51" s="1">
        <v>3</v>
      </c>
      <c r="BT51" s="1">
        <v>3</v>
      </c>
      <c r="BU51" s="1">
        <v>3</v>
      </c>
      <c r="BV51" s="1">
        <f t="shared" si="19"/>
        <v>3</v>
      </c>
      <c r="BW51" s="1">
        <v>42</v>
      </c>
      <c r="BX51" s="1">
        <v>30</v>
      </c>
      <c r="BY51" s="1">
        <v>36</v>
      </c>
      <c r="BZ51" s="1">
        <v>41</v>
      </c>
      <c r="CA51" s="1">
        <v>39</v>
      </c>
      <c r="CB51" s="1">
        <v>38</v>
      </c>
      <c r="CC51" s="1">
        <v>1</v>
      </c>
      <c r="CD51" s="1">
        <v>5</v>
      </c>
      <c r="CE51" s="1">
        <v>7.44</v>
      </c>
      <c r="CF51" s="1">
        <v>6.25</v>
      </c>
      <c r="CG51" s="1">
        <v>7.06</v>
      </c>
      <c r="CH51" s="1">
        <v>6.84</v>
      </c>
      <c r="CI51" s="1">
        <v>7.39</v>
      </c>
      <c r="CJ51" s="1">
        <f t="shared" si="13"/>
        <v>6.9959999999999996</v>
      </c>
      <c r="CK51" s="1">
        <v>3.76</v>
      </c>
      <c r="CL51" s="1">
        <v>3.46</v>
      </c>
      <c r="CM51" s="1">
        <v>3.65</v>
      </c>
      <c r="CN51" s="1">
        <v>3.7</v>
      </c>
      <c r="CO51" s="1">
        <v>3.51</v>
      </c>
      <c r="CP51" s="1">
        <f t="shared" si="14"/>
        <v>3.6159999999999997</v>
      </c>
      <c r="CQ51" s="1">
        <v>3.14</v>
      </c>
      <c r="CR51" s="1">
        <v>2.97</v>
      </c>
      <c r="CS51" s="1">
        <v>3.68</v>
      </c>
      <c r="CT51" s="1">
        <v>2.86</v>
      </c>
      <c r="CU51" s="1">
        <v>3.1</v>
      </c>
      <c r="CV51" s="1">
        <f t="shared" si="15"/>
        <v>3.15</v>
      </c>
      <c r="CW51" s="1">
        <v>48.08</v>
      </c>
      <c r="CX51" s="1">
        <v>9.6999999999999993</v>
      </c>
      <c r="CY51" s="1">
        <v>0.68500000000000005</v>
      </c>
      <c r="CZ51" s="1">
        <f t="shared" si="16"/>
        <v>1.5222222222222224</v>
      </c>
      <c r="DA51" s="1">
        <f t="shared" si="23"/>
        <v>0.90300000000000002</v>
      </c>
      <c r="DB51" s="1">
        <f t="shared" si="24"/>
        <v>1.5890944123314068</v>
      </c>
    </row>
    <row r="52" spans="1:106" ht="16" thickBot="1" x14ac:dyDescent="0.4">
      <c r="A52" s="1">
        <v>50</v>
      </c>
      <c r="B52" s="7" t="s">
        <v>175</v>
      </c>
      <c r="C52" s="11" t="s">
        <v>52</v>
      </c>
      <c r="D52" s="10" t="s">
        <v>101</v>
      </c>
      <c r="E52" s="3">
        <v>45289</v>
      </c>
      <c r="F52" s="3">
        <f t="shared" si="17"/>
        <v>45274</v>
      </c>
      <c r="G52" s="1">
        <f t="shared" si="4"/>
        <v>15</v>
      </c>
      <c r="H52" s="1">
        <f t="shared" si="21"/>
        <v>102</v>
      </c>
      <c r="I52" s="1">
        <v>5</v>
      </c>
      <c r="J52" s="3">
        <v>45376</v>
      </c>
      <c r="K52" s="3">
        <v>45382</v>
      </c>
      <c r="L52" s="15">
        <f t="shared" si="5"/>
        <v>108</v>
      </c>
      <c r="M52" s="13">
        <f t="shared" si="22"/>
        <v>136</v>
      </c>
      <c r="N52" s="3">
        <v>45410</v>
      </c>
      <c r="O52" s="1">
        <v>100.1</v>
      </c>
      <c r="P52" s="1">
        <v>91</v>
      </c>
      <c r="Q52" s="1">
        <v>101.2</v>
      </c>
      <c r="R52" s="1">
        <v>100.9</v>
      </c>
      <c r="S52" s="1">
        <v>90</v>
      </c>
      <c r="T52" s="1">
        <f t="shared" si="6"/>
        <v>96.640000000000015</v>
      </c>
      <c r="U52" s="1">
        <v>19</v>
      </c>
      <c r="V52" s="1">
        <v>23</v>
      </c>
      <c r="W52" s="1">
        <v>21.5</v>
      </c>
      <c r="X52" s="1">
        <v>22.5</v>
      </c>
      <c r="Y52" s="1">
        <v>22.5</v>
      </c>
      <c r="Z52" s="1">
        <f t="shared" si="7"/>
        <v>21.7</v>
      </c>
      <c r="AA52" s="1">
        <v>8.5</v>
      </c>
      <c r="AB52" s="1">
        <v>7.5</v>
      </c>
      <c r="AC52" s="1">
        <v>9</v>
      </c>
      <c r="AD52" s="1">
        <v>8.5</v>
      </c>
      <c r="AE52" s="1">
        <v>7.5</v>
      </c>
      <c r="AF52" s="1">
        <f t="shared" si="8"/>
        <v>8.1999999999999993</v>
      </c>
      <c r="AG52" s="1">
        <v>1.5</v>
      </c>
      <c r="AH52" s="1">
        <v>1</v>
      </c>
      <c r="AI52" s="1">
        <v>1.5</v>
      </c>
      <c r="AJ52" s="1">
        <v>1.1000000000000001</v>
      </c>
      <c r="AK52" s="1">
        <v>2</v>
      </c>
      <c r="AL52" s="1">
        <f t="shared" si="18"/>
        <v>1.42</v>
      </c>
      <c r="AM52" s="1">
        <v>7</v>
      </c>
      <c r="AN52" s="1">
        <v>9.5</v>
      </c>
      <c r="AO52" s="1">
        <v>9.5</v>
      </c>
      <c r="AP52" s="1">
        <v>9.5</v>
      </c>
      <c r="AQ52" s="1">
        <v>11.3</v>
      </c>
      <c r="AR52" s="1">
        <v>12.5</v>
      </c>
      <c r="AS52" s="1">
        <f t="shared" si="9"/>
        <v>10.459999999999999</v>
      </c>
      <c r="AT52" s="1">
        <v>1</v>
      </c>
      <c r="AU52" s="1">
        <v>1</v>
      </c>
      <c r="AV52" s="1">
        <v>1.1000000000000001</v>
      </c>
      <c r="AW52" s="1">
        <v>1</v>
      </c>
      <c r="AX52" s="1">
        <v>0.7</v>
      </c>
      <c r="AY52" s="1">
        <f t="shared" si="10"/>
        <v>0.96</v>
      </c>
      <c r="AZ52" s="1">
        <v>5</v>
      </c>
      <c r="BA52" s="1">
        <v>3</v>
      </c>
      <c r="BB52" s="1">
        <v>16</v>
      </c>
      <c r="BC52" s="1">
        <v>17</v>
      </c>
      <c r="BD52" s="1">
        <v>7</v>
      </c>
      <c r="BE52" s="1">
        <v>7</v>
      </c>
      <c r="BF52" s="1">
        <v>8</v>
      </c>
      <c r="BG52" s="1">
        <f t="shared" si="11"/>
        <v>11</v>
      </c>
      <c r="BH52" s="1">
        <v>3</v>
      </c>
      <c r="BI52" s="1">
        <v>9</v>
      </c>
      <c r="BJ52" s="1">
        <v>9</v>
      </c>
      <c r="BK52" s="1">
        <v>9</v>
      </c>
      <c r="BL52" s="1">
        <v>8</v>
      </c>
      <c r="BM52" s="1">
        <v>10</v>
      </c>
      <c r="BN52" s="1">
        <f t="shared" si="12"/>
        <v>9</v>
      </c>
      <c r="BO52" s="1">
        <v>1</v>
      </c>
      <c r="BP52" s="1">
        <v>0</v>
      </c>
      <c r="BQ52" s="1">
        <v>2</v>
      </c>
      <c r="BR52" s="1">
        <v>2</v>
      </c>
      <c r="BS52" s="1">
        <v>3</v>
      </c>
      <c r="BT52" s="1">
        <v>3</v>
      </c>
      <c r="BU52" s="1">
        <v>3</v>
      </c>
      <c r="BV52" s="1">
        <v>3</v>
      </c>
      <c r="BW52" s="1">
        <v>34</v>
      </c>
      <c r="BX52" s="1">
        <v>43</v>
      </c>
      <c r="BY52" s="1">
        <v>28</v>
      </c>
      <c r="BZ52" s="1">
        <v>37</v>
      </c>
      <c r="CA52" s="1">
        <v>32</v>
      </c>
      <c r="CB52" s="1">
        <v>35</v>
      </c>
      <c r="CC52" s="1">
        <v>2</v>
      </c>
      <c r="CD52" s="1">
        <v>5</v>
      </c>
      <c r="CE52" s="1">
        <v>5.75</v>
      </c>
      <c r="CF52" s="1">
        <v>6.03</v>
      </c>
      <c r="CG52" s="1">
        <v>5.1100000000000003</v>
      </c>
      <c r="CH52" s="1">
        <v>5.94</v>
      </c>
      <c r="CI52" s="1">
        <v>4.63</v>
      </c>
      <c r="CJ52" s="1">
        <f t="shared" si="13"/>
        <v>5.492</v>
      </c>
      <c r="CK52" s="1">
        <v>2.63</v>
      </c>
      <c r="CL52" s="1">
        <v>3.24</v>
      </c>
      <c r="CM52" s="1">
        <v>2.87</v>
      </c>
      <c r="CN52" s="1">
        <v>3.04</v>
      </c>
      <c r="CO52" s="1">
        <v>3.2</v>
      </c>
      <c r="CP52" s="1">
        <f t="shared" si="14"/>
        <v>2.996</v>
      </c>
      <c r="CQ52" s="1">
        <v>3.06</v>
      </c>
      <c r="CR52" s="1">
        <v>2.62</v>
      </c>
      <c r="CS52" s="1">
        <v>2.4700000000000002</v>
      </c>
      <c r="CT52" s="1">
        <v>2.17</v>
      </c>
      <c r="CU52" s="1">
        <v>1.25</v>
      </c>
      <c r="CV52" s="1">
        <f t="shared" si="15"/>
        <v>2.3140000000000001</v>
      </c>
      <c r="CW52" s="1">
        <v>28.7</v>
      </c>
      <c r="CX52" s="1">
        <v>10.1</v>
      </c>
      <c r="CY52" s="1">
        <v>0.98499999999999999</v>
      </c>
      <c r="CZ52" s="1">
        <f t="shared" si="16"/>
        <v>2.1888888888888887</v>
      </c>
      <c r="DA52" s="1">
        <f t="shared" si="23"/>
        <v>0.89900000000000002</v>
      </c>
      <c r="DB52" s="1">
        <f t="shared" si="24"/>
        <v>2.2749261400128451</v>
      </c>
    </row>
    <row r="53" spans="1:106" ht="16" thickBot="1" x14ac:dyDescent="0.4">
      <c r="A53" s="1">
        <v>51</v>
      </c>
      <c r="B53" s="7" t="s">
        <v>176</v>
      </c>
      <c r="C53" s="11" t="s">
        <v>52</v>
      </c>
      <c r="D53" s="10" t="s">
        <v>102</v>
      </c>
      <c r="E53" s="3">
        <v>45289</v>
      </c>
      <c r="F53" s="3">
        <f t="shared" si="17"/>
        <v>45274</v>
      </c>
      <c r="G53" s="1">
        <f t="shared" si="4"/>
        <v>15</v>
      </c>
      <c r="H53" s="1">
        <f t="shared" si="21"/>
        <v>106</v>
      </c>
      <c r="I53" s="1">
        <v>7</v>
      </c>
      <c r="J53" s="3">
        <v>45380</v>
      </c>
      <c r="K53" s="3">
        <v>45384</v>
      </c>
      <c r="L53" s="15">
        <f t="shared" si="5"/>
        <v>110</v>
      </c>
      <c r="M53" s="13">
        <f t="shared" si="22"/>
        <v>137</v>
      </c>
      <c r="N53" s="3">
        <v>45411</v>
      </c>
      <c r="O53" s="1">
        <v>91</v>
      </c>
      <c r="P53" s="1">
        <v>94</v>
      </c>
      <c r="Q53" s="1">
        <v>102</v>
      </c>
      <c r="R53" s="1">
        <v>98</v>
      </c>
      <c r="S53" s="1">
        <v>94</v>
      </c>
      <c r="T53" s="1">
        <f t="shared" si="6"/>
        <v>95.8</v>
      </c>
      <c r="U53" s="1">
        <v>10</v>
      </c>
      <c r="V53" s="1">
        <v>18</v>
      </c>
      <c r="W53" s="1">
        <v>18</v>
      </c>
      <c r="X53" s="1">
        <v>21</v>
      </c>
      <c r="Y53" s="1">
        <v>15</v>
      </c>
      <c r="Z53" s="1">
        <f t="shared" si="7"/>
        <v>16.399999999999999</v>
      </c>
      <c r="AA53" s="1">
        <v>7.5</v>
      </c>
      <c r="AB53" s="1">
        <v>9</v>
      </c>
      <c r="AC53" s="1">
        <v>8.5</v>
      </c>
      <c r="AD53" s="1">
        <v>7.5</v>
      </c>
      <c r="AE53" s="1">
        <v>8.5</v>
      </c>
      <c r="AF53" s="1">
        <f t="shared" si="8"/>
        <v>8.1999999999999993</v>
      </c>
      <c r="AG53" s="1">
        <v>1</v>
      </c>
      <c r="AH53" s="1">
        <v>1.5</v>
      </c>
      <c r="AI53" s="1">
        <v>1.1000000000000001</v>
      </c>
      <c r="AJ53" s="1">
        <v>2</v>
      </c>
      <c r="AK53" s="1">
        <v>1.5</v>
      </c>
      <c r="AL53" s="1">
        <f t="shared" si="18"/>
        <v>1.42</v>
      </c>
      <c r="AM53" s="1">
        <v>7</v>
      </c>
      <c r="AN53" s="1">
        <v>14</v>
      </c>
      <c r="AO53" s="1">
        <v>13</v>
      </c>
      <c r="AP53" s="1">
        <v>9.8000000000000007</v>
      </c>
      <c r="AQ53" s="1">
        <v>13.5</v>
      </c>
      <c r="AR53" s="1">
        <v>13.5</v>
      </c>
      <c r="AS53" s="1">
        <f t="shared" si="9"/>
        <v>12.76</v>
      </c>
      <c r="AT53" s="1">
        <v>1</v>
      </c>
      <c r="AU53" s="1">
        <v>1.1000000000000001</v>
      </c>
      <c r="AV53" s="1">
        <v>1.1000000000000001</v>
      </c>
      <c r="AW53" s="1">
        <v>1</v>
      </c>
      <c r="AX53" s="1">
        <v>0.9</v>
      </c>
      <c r="AY53" s="1">
        <f t="shared" si="10"/>
        <v>1.02</v>
      </c>
      <c r="AZ53" s="1">
        <v>5</v>
      </c>
      <c r="BA53" s="1">
        <v>3</v>
      </c>
      <c r="BB53" s="1">
        <v>6</v>
      </c>
      <c r="BC53" s="1">
        <v>9</v>
      </c>
      <c r="BD53" s="1">
        <v>6</v>
      </c>
      <c r="BE53" s="1">
        <v>7</v>
      </c>
      <c r="BF53" s="1">
        <v>4</v>
      </c>
      <c r="BG53" s="1">
        <v>6</v>
      </c>
      <c r="BH53" s="1">
        <v>5</v>
      </c>
      <c r="BI53" s="1">
        <v>9</v>
      </c>
      <c r="BJ53" s="1">
        <v>8</v>
      </c>
      <c r="BK53" s="1">
        <v>10</v>
      </c>
      <c r="BL53" s="1">
        <v>9</v>
      </c>
      <c r="BM53" s="1">
        <v>10</v>
      </c>
      <c r="BN53" s="1">
        <v>9</v>
      </c>
      <c r="BO53" s="1">
        <v>2</v>
      </c>
      <c r="BP53" s="1">
        <v>0</v>
      </c>
      <c r="BQ53" s="1">
        <v>3</v>
      </c>
      <c r="BR53" s="1">
        <v>2</v>
      </c>
      <c r="BS53" s="1">
        <v>3</v>
      </c>
      <c r="BT53" s="1">
        <v>3</v>
      </c>
      <c r="BU53" s="1">
        <v>3</v>
      </c>
      <c r="BV53" s="1">
        <v>3</v>
      </c>
      <c r="BW53" s="1">
        <v>40</v>
      </c>
      <c r="BX53" s="1">
        <v>49</v>
      </c>
      <c r="BY53" s="1">
        <v>47</v>
      </c>
      <c r="BZ53" s="1">
        <v>45</v>
      </c>
      <c r="CA53" s="1">
        <v>36</v>
      </c>
      <c r="CB53" s="1">
        <v>43</v>
      </c>
      <c r="CC53" s="1">
        <v>2</v>
      </c>
      <c r="CD53" s="1">
        <v>3</v>
      </c>
      <c r="CE53" s="1">
        <v>6.56</v>
      </c>
      <c r="CF53" s="1">
        <v>5.63</v>
      </c>
      <c r="CG53" s="1">
        <v>5.29</v>
      </c>
      <c r="CH53" s="1">
        <v>5.38</v>
      </c>
      <c r="CI53" s="1">
        <v>3.75</v>
      </c>
      <c r="CJ53" s="1">
        <f t="shared" si="13"/>
        <v>5.3220000000000001</v>
      </c>
      <c r="CK53" s="1">
        <v>3.59</v>
      </c>
      <c r="CL53" s="1">
        <v>3.05</v>
      </c>
      <c r="CM53" s="1">
        <v>2.44</v>
      </c>
      <c r="CN53" s="1">
        <v>3.05</v>
      </c>
      <c r="CO53" s="1">
        <v>2.44</v>
      </c>
      <c r="CP53" s="1">
        <f t="shared" si="14"/>
        <v>2.9139999999999997</v>
      </c>
      <c r="CQ53" s="1">
        <v>2.88</v>
      </c>
      <c r="CR53" s="1">
        <v>2.66</v>
      </c>
      <c r="CS53" s="1">
        <v>2.2999999999999998</v>
      </c>
      <c r="CT53" s="1">
        <v>2.48</v>
      </c>
      <c r="CU53" s="1">
        <v>2.11</v>
      </c>
      <c r="CV53" s="1">
        <f t="shared" si="15"/>
        <v>2.4859999999999998</v>
      </c>
      <c r="CW53" s="1">
        <v>28.2</v>
      </c>
      <c r="CX53" s="1">
        <v>10.199999999999999</v>
      </c>
      <c r="CY53" s="1">
        <v>0.68500000000000005</v>
      </c>
      <c r="CZ53" s="1">
        <f t="shared" si="16"/>
        <v>1.5222222222222224</v>
      </c>
      <c r="DA53" s="1">
        <f t="shared" si="23"/>
        <v>0.89800000000000002</v>
      </c>
      <c r="DB53" s="1">
        <f t="shared" si="24"/>
        <v>1.5802954399486193</v>
      </c>
    </row>
    <row r="54" spans="1:106" ht="16" thickBot="1" x14ac:dyDescent="0.4">
      <c r="A54" s="1">
        <v>52</v>
      </c>
      <c r="B54" s="7" t="s">
        <v>177</v>
      </c>
      <c r="C54" s="11" t="s">
        <v>52</v>
      </c>
      <c r="D54" s="10" t="s">
        <v>103</v>
      </c>
      <c r="E54" s="3">
        <v>45289</v>
      </c>
      <c r="F54" s="3">
        <f t="shared" si="17"/>
        <v>45274</v>
      </c>
      <c r="G54" s="1">
        <f t="shared" si="4"/>
        <v>15</v>
      </c>
      <c r="H54" s="1">
        <f t="shared" si="21"/>
        <v>109</v>
      </c>
      <c r="I54" s="1">
        <v>7</v>
      </c>
      <c r="J54" s="3">
        <v>45383</v>
      </c>
      <c r="K54" s="3">
        <v>45387</v>
      </c>
      <c r="L54" s="15">
        <f t="shared" si="5"/>
        <v>113</v>
      </c>
      <c r="M54" s="13">
        <f t="shared" si="22"/>
        <v>146</v>
      </c>
      <c r="N54" s="3">
        <v>45420</v>
      </c>
      <c r="O54" s="1">
        <v>87</v>
      </c>
      <c r="P54" s="1">
        <v>75</v>
      </c>
      <c r="Q54" s="1">
        <v>78</v>
      </c>
      <c r="R54" s="1">
        <v>74</v>
      </c>
      <c r="S54" s="1">
        <v>69</v>
      </c>
      <c r="T54" s="1">
        <f t="shared" si="6"/>
        <v>76.599999999999994</v>
      </c>
      <c r="U54" s="1">
        <v>15</v>
      </c>
      <c r="V54" s="1">
        <v>5</v>
      </c>
      <c r="W54" s="1">
        <v>10</v>
      </c>
      <c r="X54" s="1">
        <v>4</v>
      </c>
      <c r="Y54" s="1">
        <v>4</v>
      </c>
      <c r="Z54" s="1">
        <f t="shared" si="7"/>
        <v>7.6</v>
      </c>
      <c r="AA54" s="1">
        <v>13.5</v>
      </c>
      <c r="AB54" s="1">
        <v>10</v>
      </c>
      <c r="AC54" s="1">
        <v>12.5</v>
      </c>
      <c r="AD54" s="1">
        <v>10</v>
      </c>
      <c r="AE54" s="1">
        <v>11.5</v>
      </c>
      <c r="AF54" s="1">
        <f t="shared" si="8"/>
        <v>11.5</v>
      </c>
      <c r="AG54" s="1">
        <v>7</v>
      </c>
      <c r="AH54" s="1">
        <v>6.5</v>
      </c>
      <c r="AI54" s="1">
        <v>7</v>
      </c>
      <c r="AJ54" s="1">
        <v>6.5</v>
      </c>
      <c r="AK54" s="1">
        <v>8.4</v>
      </c>
      <c r="AL54" s="1">
        <f t="shared" si="18"/>
        <v>7.08</v>
      </c>
      <c r="AM54" s="1">
        <v>7</v>
      </c>
      <c r="AN54" s="1">
        <v>12</v>
      </c>
      <c r="AO54" s="1">
        <v>12</v>
      </c>
      <c r="AP54" s="1">
        <v>15.5</v>
      </c>
      <c r="AQ54" s="1">
        <v>11</v>
      </c>
      <c r="AR54" s="1">
        <v>10.5</v>
      </c>
      <c r="AS54" s="1">
        <f t="shared" si="9"/>
        <v>12.2</v>
      </c>
      <c r="AT54" s="1">
        <v>1.3</v>
      </c>
      <c r="AU54" s="1">
        <v>1</v>
      </c>
      <c r="AV54" s="1">
        <v>1</v>
      </c>
      <c r="AW54" s="1">
        <v>0.8</v>
      </c>
      <c r="AX54" s="1">
        <v>0.8</v>
      </c>
      <c r="AY54" s="1">
        <f t="shared" si="10"/>
        <v>0.97999999999999987</v>
      </c>
      <c r="AZ54" s="1">
        <v>7</v>
      </c>
      <c r="BA54" s="1">
        <v>3</v>
      </c>
      <c r="BB54" s="1">
        <v>2</v>
      </c>
      <c r="BC54" s="1">
        <v>6</v>
      </c>
      <c r="BD54" s="1">
        <v>6</v>
      </c>
      <c r="BE54" s="1">
        <v>3</v>
      </c>
      <c r="BF54" s="1">
        <v>6</v>
      </c>
      <c r="BG54" s="1">
        <v>5</v>
      </c>
      <c r="BH54" s="1">
        <v>7</v>
      </c>
      <c r="BI54" s="1">
        <v>10</v>
      </c>
      <c r="BJ54" s="1">
        <v>10</v>
      </c>
      <c r="BK54" s="1">
        <v>12</v>
      </c>
      <c r="BL54" s="1">
        <v>9</v>
      </c>
      <c r="BM54" s="1">
        <v>9</v>
      </c>
      <c r="BN54" s="1">
        <f t="shared" si="12"/>
        <v>10</v>
      </c>
      <c r="BO54" s="1">
        <v>1</v>
      </c>
      <c r="BP54" s="1">
        <v>0</v>
      </c>
      <c r="BQ54" s="1">
        <v>3</v>
      </c>
      <c r="BR54" s="1">
        <v>4</v>
      </c>
      <c r="BS54" s="1">
        <v>4</v>
      </c>
      <c r="BT54" s="1">
        <v>3</v>
      </c>
      <c r="BU54" s="1">
        <v>4</v>
      </c>
      <c r="BV54" s="1">
        <v>3</v>
      </c>
      <c r="BW54" s="1">
        <v>54</v>
      </c>
      <c r="BX54" s="1">
        <v>41</v>
      </c>
      <c r="BY54" s="1">
        <v>42</v>
      </c>
      <c r="BZ54" s="1">
        <v>33</v>
      </c>
      <c r="CA54" s="1">
        <v>57</v>
      </c>
      <c r="CB54" s="1">
        <v>45</v>
      </c>
      <c r="CC54" s="1">
        <v>2</v>
      </c>
      <c r="CD54" s="1">
        <v>7</v>
      </c>
      <c r="CE54" s="1">
        <v>7.2</v>
      </c>
      <c r="CF54" s="1">
        <v>6.96</v>
      </c>
      <c r="CG54" s="1">
        <v>6.56</v>
      </c>
      <c r="CH54" s="1">
        <v>6.53</v>
      </c>
      <c r="CI54" s="1">
        <v>6.33</v>
      </c>
      <c r="CJ54" s="1">
        <f t="shared" si="13"/>
        <v>6.7159999999999993</v>
      </c>
      <c r="CK54" s="1">
        <v>3.42</v>
      </c>
      <c r="CL54" s="1">
        <v>3.68</v>
      </c>
      <c r="CM54" s="1">
        <v>2.88</v>
      </c>
      <c r="CN54" s="1">
        <v>3.57</v>
      </c>
      <c r="CO54" s="1">
        <v>3.41</v>
      </c>
      <c r="CP54" s="1">
        <f t="shared" si="14"/>
        <v>3.3920000000000003</v>
      </c>
      <c r="CQ54" s="1">
        <v>2.58</v>
      </c>
      <c r="CR54" s="1">
        <v>2.75</v>
      </c>
      <c r="CS54" s="1">
        <v>2.46</v>
      </c>
      <c r="CT54" s="1">
        <v>2.5299999999999998</v>
      </c>
      <c r="CU54" s="1">
        <v>2.4300000000000002</v>
      </c>
      <c r="CV54" s="1">
        <f t="shared" si="15"/>
        <v>2.5499999999999998</v>
      </c>
      <c r="CW54" s="1">
        <v>47.5</v>
      </c>
      <c r="CX54" s="1">
        <v>10.5</v>
      </c>
      <c r="CY54" s="1">
        <v>0.81</v>
      </c>
      <c r="CZ54" s="1">
        <f t="shared" si="16"/>
        <v>1.8000000000000003</v>
      </c>
      <c r="DA54" s="1">
        <f t="shared" si="23"/>
        <v>0.89500000000000002</v>
      </c>
      <c r="DB54" s="1">
        <f t="shared" si="24"/>
        <v>1.8624277456647402</v>
      </c>
    </row>
    <row r="55" spans="1:106" ht="16" thickBot="1" x14ac:dyDescent="0.4">
      <c r="A55" s="1">
        <v>53</v>
      </c>
      <c r="B55" s="7" t="s">
        <v>178</v>
      </c>
      <c r="C55" s="11" t="s">
        <v>52</v>
      </c>
      <c r="D55" s="10" t="s">
        <v>104</v>
      </c>
      <c r="E55" s="3">
        <v>45289</v>
      </c>
      <c r="F55" s="3">
        <f t="shared" si="17"/>
        <v>45274</v>
      </c>
      <c r="G55" s="1">
        <f t="shared" si="4"/>
        <v>15</v>
      </c>
      <c r="H55" s="1">
        <f t="shared" si="21"/>
        <v>112</v>
      </c>
      <c r="I55" s="1">
        <v>7</v>
      </c>
      <c r="J55" s="3">
        <v>45386</v>
      </c>
      <c r="K55" s="3">
        <v>45389</v>
      </c>
      <c r="L55" s="15">
        <f t="shared" si="5"/>
        <v>115</v>
      </c>
      <c r="M55" s="13">
        <f t="shared" si="22"/>
        <v>144</v>
      </c>
      <c r="N55" s="3">
        <v>45418</v>
      </c>
      <c r="O55" s="1">
        <v>98</v>
      </c>
      <c r="P55" s="1">
        <v>92</v>
      </c>
      <c r="Q55" s="1">
        <v>101.2</v>
      </c>
      <c r="R55" s="1">
        <v>100</v>
      </c>
      <c r="S55" s="1">
        <v>94</v>
      </c>
      <c r="T55" s="1">
        <f t="shared" si="6"/>
        <v>97.039999999999992</v>
      </c>
      <c r="U55" s="1">
        <v>22</v>
      </c>
      <c r="V55" s="1">
        <v>19</v>
      </c>
      <c r="W55" s="1">
        <v>15.5</v>
      </c>
      <c r="X55" s="1">
        <v>19.5</v>
      </c>
      <c r="Y55" s="1">
        <v>18.5</v>
      </c>
      <c r="Z55" s="1">
        <f t="shared" si="7"/>
        <v>18.899999999999999</v>
      </c>
      <c r="AA55" s="1">
        <v>9</v>
      </c>
      <c r="AB55" s="1">
        <v>7.5</v>
      </c>
      <c r="AC55" s="1">
        <v>7</v>
      </c>
      <c r="AD55" s="1">
        <v>8.5</v>
      </c>
      <c r="AE55" s="1">
        <v>7</v>
      </c>
      <c r="AF55" s="1">
        <f t="shared" si="8"/>
        <v>7.8</v>
      </c>
      <c r="AG55" s="1">
        <v>4.5</v>
      </c>
      <c r="AH55" s="1">
        <v>3</v>
      </c>
      <c r="AI55" s="1">
        <v>4</v>
      </c>
      <c r="AJ55" s="1">
        <v>4.5</v>
      </c>
      <c r="AK55" s="1">
        <v>3.5</v>
      </c>
      <c r="AL55" s="1">
        <f t="shared" si="18"/>
        <v>3.9</v>
      </c>
      <c r="AM55" s="1">
        <v>7</v>
      </c>
      <c r="AN55" s="1">
        <v>10</v>
      </c>
      <c r="AO55" s="1">
        <v>8.5</v>
      </c>
      <c r="AP55" s="1">
        <v>10.5</v>
      </c>
      <c r="AQ55" s="1">
        <v>10.5</v>
      </c>
      <c r="AR55" s="1">
        <v>10.3</v>
      </c>
      <c r="AS55" s="1">
        <f t="shared" si="9"/>
        <v>9.9599999999999991</v>
      </c>
      <c r="AT55" s="1">
        <v>0.9</v>
      </c>
      <c r="AU55" s="1">
        <v>0.8</v>
      </c>
      <c r="AV55" s="1">
        <v>0.8</v>
      </c>
      <c r="AW55" s="1">
        <v>0.8</v>
      </c>
      <c r="AX55" s="1">
        <v>0.7</v>
      </c>
      <c r="AY55" s="1">
        <f t="shared" si="10"/>
        <v>0.8</v>
      </c>
      <c r="AZ55" s="1">
        <v>3</v>
      </c>
      <c r="BA55" s="1">
        <v>5</v>
      </c>
      <c r="BB55" s="1">
        <v>7</v>
      </c>
      <c r="BC55" s="1">
        <v>9</v>
      </c>
      <c r="BD55" s="1">
        <v>9</v>
      </c>
      <c r="BE55" s="1">
        <v>4</v>
      </c>
      <c r="BF55" s="1">
        <v>7</v>
      </c>
      <c r="BG55" s="1">
        <v>7</v>
      </c>
      <c r="BH55" s="1">
        <v>5</v>
      </c>
      <c r="BI55" s="1">
        <v>8</v>
      </c>
      <c r="BJ55" s="1">
        <v>10</v>
      </c>
      <c r="BK55" s="1">
        <v>9</v>
      </c>
      <c r="BL55" s="1">
        <v>8</v>
      </c>
      <c r="BM55" s="1">
        <v>10</v>
      </c>
      <c r="BN55" s="1">
        <f t="shared" si="12"/>
        <v>9</v>
      </c>
      <c r="BO55" s="1">
        <v>1</v>
      </c>
      <c r="BP55" s="1">
        <v>0</v>
      </c>
      <c r="BQ55" s="1">
        <v>3</v>
      </c>
      <c r="BR55" s="1">
        <v>3</v>
      </c>
      <c r="BS55" s="1">
        <v>3</v>
      </c>
      <c r="BT55" s="1">
        <v>3</v>
      </c>
      <c r="BU55" s="1">
        <v>4</v>
      </c>
      <c r="BV55" s="1">
        <v>3</v>
      </c>
      <c r="BW55" s="1">
        <v>40</v>
      </c>
      <c r="BX55" s="1">
        <v>55</v>
      </c>
      <c r="BY55" s="1">
        <v>40</v>
      </c>
      <c r="BZ55" s="1">
        <v>34</v>
      </c>
      <c r="CA55" s="1">
        <v>50</v>
      </c>
      <c r="CB55" s="1">
        <v>44</v>
      </c>
      <c r="CC55" s="1">
        <v>2</v>
      </c>
      <c r="CD55" s="1">
        <v>5</v>
      </c>
      <c r="CE55" s="1">
        <v>5.27</v>
      </c>
      <c r="CF55" s="1">
        <v>5.6</v>
      </c>
      <c r="CG55" s="1">
        <v>5.14</v>
      </c>
      <c r="CH55" s="1">
        <v>5.74</v>
      </c>
      <c r="CI55" s="1">
        <v>5.1100000000000003</v>
      </c>
      <c r="CJ55" s="1">
        <f t="shared" si="13"/>
        <v>5.3719999999999999</v>
      </c>
      <c r="CK55" s="1">
        <v>2.75</v>
      </c>
      <c r="CL55" s="1">
        <v>2.76</v>
      </c>
      <c r="CM55" s="1">
        <v>2.38</v>
      </c>
      <c r="CN55" s="1">
        <v>2.63</v>
      </c>
      <c r="CO55" s="1">
        <v>2.56</v>
      </c>
      <c r="CP55" s="1">
        <f t="shared" si="14"/>
        <v>2.6160000000000001</v>
      </c>
      <c r="CQ55" s="1">
        <v>2.44</v>
      </c>
      <c r="CR55" s="1">
        <v>2.34</v>
      </c>
      <c r="CS55" s="1">
        <v>2.52</v>
      </c>
      <c r="CT55" s="1">
        <v>2.29</v>
      </c>
      <c r="CU55" s="1">
        <v>2.5299999999999998</v>
      </c>
      <c r="CV55" s="1">
        <f t="shared" si="15"/>
        <v>2.4239999999999999</v>
      </c>
      <c r="CW55" s="1">
        <v>25.8</v>
      </c>
      <c r="CX55" s="1">
        <v>10.6</v>
      </c>
      <c r="CY55" s="1">
        <v>0.53</v>
      </c>
      <c r="CZ55" s="1">
        <f t="shared" si="16"/>
        <v>1.1777777777777778</v>
      </c>
      <c r="DA55" s="1">
        <f t="shared" si="23"/>
        <v>0.89400000000000002</v>
      </c>
      <c r="DB55" s="1">
        <f t="shared" si="24"/>
        <v>1.2172639691714835</v>
      </c>
    </row>
    <row r="56" spans="1:106" ht="16" thickBot="1" x14ac:dyDescent="0.4">
      <c r="A56" s="1">
        <v>54</v>
      </c>
      <c r="B56" s="7" t="s">
        <v>179</v>
      </c>
      <c r="C56" s="11" t="s">
        <v>52</v>
      </c>
      <c r="D56" s="10" t="s">
        <v>105</v>
      </c>
      <c r="E56" s="3">
        <v>45293</v>
      </c>
      <c r="F56" s="3">
        <f t="shared" si="17"/>
        <v>45274</v>
      </c>
      <c r="G56" s="1">
        <f t="shared" si="4"/>
        <v>19</v>
      </c>
      <c r="H56" s="1">
        <f t="shared" si="21"/>
        <v>102</v>
      </c>
      <c r="I56" s="1">
        <v>7</v>
      </c>
      <c r="J56" s="3">
        <v>45376</v>
      </c>
      <c r="K56" s="3">
        <v>45384</v>
      </c>
      <c r="L56" s="15">
        <f t="shared" si="5"/>
        <v>110</v>
      </c>
      <c r="M56" s="13">
        <f t="shared" si="22"/>
        <v>141</v>
      </c>
      <c r="N56" s="3">
        <v>45415</v>
      </c>
      <c r="O56" s="1">
        <v>70</v>
      </c>
      <c r="P56" s="1">
        <v>77</v>
      </c>
      <c r="Q56" s="1">
        <v>74</v>
      </c>
      <c r="R56" s="1">
        <v>70</v>
      </c>
      <c r="S56" s="1">
        <v>79</v>
      </c>
      <c r="T56" s="1">
        <f t="shared" si="6"/>
        <v>74</v>
      </c>
      <c r="U56" s="1">
        <v>8</v>
      </c>
      <c r="V56" s="1">
        <v>12</v>
      </c>
      <c r="W56" s="1">
        <v>9.5</v>
      </c>
      <c r="X56" s="1">
        <v>7.5</v>
      </c>
      <c r="Y56" s="1">
        <v>9</v>
      </c>
      <c r="Z56" s="1">
        <f t="shared" si="7"/>
        <v>9.1999999999999993</v>
      </c>
      <c r="AA56" s="1">
        <v>12</v>
      </c>
      <c r="AB56" s="1">
        <v>9.5</v>
      </c>
      <c r="AC56" s="1">
        <v>11</v>
      </c>
      <c r="AD56" s="1">
        <v>10</v>
      </c>
      <c r="AE56" s="1">
        <v>11</v>
      </c>
      <c r="AF56" s="1">
        <f t="shared" si="8"/>
        <v>10.7</v>
      </c>
      <c r="AG56" s="1">
        <v>7</v>
      </c>
      <c r="AH56" s="1">
        <v>6.5</v>
      </c>
      <c r="AI56" s="1">
        <v>6.5</v>
      </c>
      <c r="AJ56" s="1">
        <v>6.5</v>
      </c>
      <c r="AK56" s="1">
        <v>6.6</v>
      </c>
      <c r="AL56" s="1">
        <f t="shared" si="18"/>
        <v>6.62</v>
      </c>
      <c r="AM56" s="1">
        <v>7</v>
      </c>
      <c r="AN56" s="1">
        <v>11.3</v>
      </c>
      <c r="AO56" s="1">
        <v>12.4</v>
      </c>
      <c r="AP56" s="1">
        <v>11</v>
      </c>
      <c r="AQ56" s="1">
        <v>13.3</v>
      </c>
      <c r="AR56" s="1">
        <v>12.5</v>
      </c>
      <c r="AS56" s="1">
        <f t="shared" si="9"/>
        <v>12.1</v>
      </c>
      <c r="AT56" s="1">
        <v>1.1000000000000001</v>
      </c>
      <c r="AU56" s="1">
        <v>0.7</v>
      </c>
      <c r="AV56" s="1">
        <v>0.9</v>
      </c>
      <c r="AW56" s="1">
        <v>1</v>
      </c>
      <c r="AX56" s="1">
        <v>0.8</v>
      </c>
      <c r="AY56" s="1">
        <f t="shared" si="10"/>
        <v>0.9</v>
      </c>
      <c r="AZ56" s="1">
        <v>5</v>
      </c>
      <c r="BA56" s="1">
        <v>3</v>
      </c>
      <c r="BB56" s="1">
        <v>9</v>
      </c>
      <c r="BC56" s="1">
        <v>4</v>
      </c>
      <c r="BD56" s="1">
        <v>6</v>
      </c>
      <c r="BE56" s="1">
        <v>8</v>
      </c>
      <c r="BF56" s="1">
        <v>13</v>
      </c>
      <c r="BG56" s="1">
        <f t="shared" si="11"/>
        <v>8</v>
      </c>
      <c r="BH56" s="1">
        <v>5</v>
      </c>
      <c r="BI56" s="1">
        <v>9</v>
      </c>
      <c r="BJ56" s="1">
        <v>9</v>
      </c>
      <c r="BK56" s="1">
        <v>10</v>
      </c>
      <c r="BL56" s="1">
        <v>10</v>
      </c>
      <c r="BM56" s="1">
        <v>10</v>
      </c>
      <c r="BN56" s="1">
        <v>10</v>
      </c>
      <c r="BO56" s="1">
        <v>1</v>
      </c>
      <c r="BP56" s="1">
        <v>0</v>
      </c>
      <c r="BQ56" s="1">
        <v>2</v>
      </c>
      <c r="BR56" s="1">
        <v>3</v>
      </c>
      <c r="BS56" s="1">
        <v>3</v>
      </c>
      <c r="BT56" s="1">
        <v>2</v>
      </c>
      <c r="BU56" s="1">
        <v>3</v>
      </c>
      <c r="BV56" s="1">
        <v>3</v>
      </c>
      <c r="BW56" s="1">
        <v>36</v>
      </c>
      <c r="BX56" s="1">
        <v>37</v>
      </c>
      <c r="BY56" s="1">
        <v>40</v>
      </c>
      <c r="BZ56" s="1">
        <v>29</v>
      </c>
      <c r="CA56" s="1">
        <v>42</v>
      </c>
      <c r="CB56" s="1">
        <v>37</v>
      </c>
      <c r="CC56" s="1">
        <v>2</v>
      </c>
      <c r="CD56" s="1">
        <v>5</v>
      </c>
      <c r="CE56" s="1">
        <v>5.72</v>
      </c>
      <c r="CF56" s="1">
        <v>6.98</v>
      </c>
      <c r="CG56" s="1">
        <v>6.51</v>
      </c>
      <c r="CH56" s="1">
        <v>5.49</v>
      </c>
      <c r="CI56" s="1">
        <v>5.14</v>
      </c>
      <c r="CJ56" s="1">
        <f t="shared" si="13"/>
        <v>5.9680000000000009</v>
      </c>
      <c r="CK56" s="1">
        <v>2.71</v>
      </c>
      <c r="CL56" s="1">
        <v>3.79</v>
      </c>
      <c r="CM56" s="1">
        <v>3.57</v>
      </c>
      <c r="CN56" s="1">
        <v>2.9</v>
      </c>
      <c r="CO56" s="1">
        <v>3.02</v>
      </c>
      <c r="CP56" s="1">
        <f t="shared" si="14"/>
        <v>3.198</v>
      </c>
      <c r="CQ56" s="1">
        <v>3.04</v>
      </c>
      <c r="CR56" s="1">
        <v>3.07</v>
      </c>
      <c r="CS56" s="1">
        <v>2.73</v>
      </c>
      <c r="CT56" s="1">
        <v>2.89</v>
      </c>
      <c r="CU56" s="1">
        <v>2.73</v>
      </c>
      <c r="CV56" s="1">
        <f t="shared" si="15"/>
        <v>2.8920000000000003</v>
      </c>
      <c r="CW56" s="1">
        <v>40.9</v>
      </c>
      <c r="CX56" s="1">
        <v>8.9</v>
      </c>
      <c r="CY56" s="1">
        <v>0.39500000000000002</v>
      </c>
      <c r="CZ56" s="1">
        <f t="shared" si="16"/>
        <v>0.87777777777777788</v>
      </c>
      <c r="DA56" s="1">
        <f t="shared" si="23"/>
        <v>0.91099999999999992</v>
      </c>
      <c r="DB56" s="1">
        <f t="shared" si="24"/>
        <v>0.92445728965960183</v>
      </c>
    </row>
    <row r="57" spans="1:106" ht="16" thickBot="1" x14ac:dyDescent="0.4">
      <c r="A57" s="1">
        <v>55</v>
      </c>
      <c r="B57" s="7" t="s">
        <v>180</v>
      </c>
      <c r="C57" s="11" t="s">
        <v>52</v>
      </c>
      <c r="D57" s="10"/>
      <c r="E57" s="3">
        <v>45289</v>
      </c>
      <c r="F57" s="3">
        <f t="shared" si="17"/>
        <v>45274</v>
      </c>
      <c r="G57" s="1">
        <f t="shared" si="4"/>
        <v>15</v>
      </c>
      <c r="H57" s="1">
        <f t="shared" si="21"/>
        <v>110</v>
      </c>
      <c r="I57" s="1">
        <v>7</v>
      </c>
      <c r="J57" s="3">
        <v>45384</v>
      </c>
      <c r="K57" s="3">
        <v>45387</v>
      </c>
      <c r="L57" s="15">
        <f t="shared" si="5"/>
        <v>113</v>
      </c>
      <c r="M57" s="13">
        <f t="shared" si="22"/>
        <v>146</v>
      </c>
      <c r="N57" s="3">
        <v>45420</v>
      </c>
      <c r="O57" s="1">
        <v>71</v>
      </c>
      <c r="P57" s="1">
        <v>79</v>
      </c>
      <c r="Q57" s="1">
        <v>88</v>
      </c>
      <c r="R57" s="1">
        <v>71</v>
      </c>
      <c r="S57" s="1">
        <v>78</v>
      </c>
      <c r="T57" s="1">
        <f t="shared" si="6"/>
        <v>77.400000000000006</v>
      </c>
      <c r="U57" s="1">
        <v>7</v>
      </c>
      <c r="V57" s="1">
        <v>11.5</v>
      </c>
      <c r="W57" s="1">
        <v>5.5</v>
      </c>
      <c r="X57" s="1">
        <v>7</v>
      </c>
      <c r="Y57" s="1">
        <v>6.6</v>
      </c>
      <c r="Z57" s="1">
        <f t="shared" si="7"/>
        <v>7.5200000000000005</v>
      </c>
      <c r="AA57" s="1">
        <v>11</v>
      </c>
      <c r="AB57" s="1">
        <v>12</v>
      </c>
      <c r="AC57" s="1">
        <v>15</v>
      </c>
      <c r="AD57" s="1">
        <v>11.5</v>
      </c>
      <c r="AE57" s="1">
        <v>11</v>
      </c>
      <c r="AF57" s="1">
        <f t="shared" si="8"/>
        <v>12.1</v>
      </c>
      <c r="AG57" s="1">
        <v>7</v>
      </c>
      <c r="AH57" s="1">
        <v>5.5</v>
      </c>
      <c r="AI57" s="1">
        <v>4.4000000000000004</v>
      </c>
      <c r="AJ57" s="1">
        <v>7</v>
      </c>
      <c r="AK57" s="1">
        <v>5.5</v>
      </c>
      <c r="AL57" s="1">
        <f t="shared" si="18"/>
        <v>5.88</v>
      </c>
      <c r="AM57" s="1">
        <v>7</v>
      </c>
      <c r="AN57" s="1">
        <v>7.5</v>
      </c>
      <c r="AO57" s="1">
        <v>8.5</v>
      </c>
      <c r="AP57" s="1">
        <v>10.5</v>
      </c>
      <c r="AQ57" s="1">
        <v>11</v>
      </c>
      <c r="AR57" s="1">
        <v>6.9</v>
      </c>
      <c r="AS57" s="1">
        <f t="shared" si="9"/>
        <v>8.879999999999999</v>
      </c>
      <c r="AT57" s="1">
        <v>0.8</v>
      </c>
      <c r="AU57" s="1">
        <v>0.6</v>
      </c>
      <c r="AV57" s="1">
        <v>0.9</v>
      </c>
      <c r="AW57" s="1">
        <v>0.8</v>
      </c>
      <c r="AX57" s="1">
        <v>0.6</v>
      </c>
      <c r="AY57" s="1">
        <f t="shared" si="10"/>
        <v>0.74</v>
      </c>
      <c r="AZ57" s="1">
        <v>5</v>
      </c>
      <c r="BA57" s="1">
        <v>3</v>
      </c>
      <c r="BB57" s="1">
        <v>4</v>
      </c>
      <c r="BC57" s="1">
        <v>5</v>
      </c>
      <c r="BD57" s="1">
        <v>4</v>
      </c>
      <c r="BE57" s="1">
        <v>2</v>
      </c>
      <c r="BF57" s="1">
        <v>5</v>
      </c>
      <c r="BG57" s="1">
        <f t="shared" si="11"/>
        <v>4</v>
      </c>
      <c r="BH57" s="1">
        <v>5</v>
      </c>
      <c r="BI57" s="1">
        <v>10</v>
      </c>
      <c r="BJ57" s="1">
        <v>9</v>
      </c>
      <c r="BK57" s="1">
        <v>9</v>
      </c>
      <c r="BL57" s="1">
        <v>10</v>
      </c>
      <c r="BM57" s="1">
        <v>12</v>
      </c>
      <c r="BN57" s="1">
        <f t="shared" si="12"/>
        <v>10</v>
      </c>
      <c r="BO57" s="1">
        <v>1</v>
      </c>
      <c r="BP57" s="1">
        <v>0</v>
      </c>
      <c r="BQ57" s="1">
        <v>4</v>
      </c>
      <c r="BR57" s="1">
        <v>3</v>
      </c>
      <c r="BS57" s="1">
        <v>3</v>
      </c>
      <c r="BT57" s="1">
        <v>3</v>
      </c>
      <c r="BU57" s="1">
        <v>3</v>
      </c>
      <c r="BV57" s="1">
        <v>3</v>
      </c>
      <c r="BW57" s="1">
        <v>42</v>
      </c>
      <c r="BX57" s="1">
        <v>46</v>
      </c>
      <c r="BY57" s="1">
        <v>40</v>
      </c>
      <c r="BZ57" s="1">
        <v>51</v>
      </c>
      <c r="CA57" s="1">
        <v>42</v>
      </c>
      <c r="CB57" s="1">
        <v>44</v>
      </c>
      <c r="CC57" s="1">
        <v>1</v>
      </c>
      <c r="CD57" s="1">
        <v>7</v>
      </c>
      <c r="CE57" s="1">
        <v>6.77</v>
      </c>
      <c r="CF57" s="1">
        <v>6.84</v>
      </c>
      <c r="CG57" s="1">
        <v>5.5</v>
      </c>
      <c r="CH57" s="1">
        <v>6.51</v>
      </c>
      <c r="CI57" s="1">
        <v>6.51</v>
      </c>
      <c r="CJ57" s="1">
        <f t="shared" si="13"/>
        <v>6.4259999999999993</v>
      </c>
      <c r="CK57" s="1">
        <v>3.75</v>
      </c>
      <c r="CL57" s="1">
        <v>3.24</v>
      </c>
      <c r="CM57" s="1">
        <v>2.79</v>
      </c>
      <c r="CN57" s="1">
        <v>3.28</v>
      </c>
      <c r="CO57" s="1">
        <v>3.23</v>
      </c>
      <c r="CP57" s="1">
        <f t="shared" si="14"/>
        <v>3.258</v>
      </c>
      <c r="CQ57" s="1">
        <v>2.78</v>
      </c>
      <c r="CR57" s="1">
        <v>2.63</v>
      </c>
      <c r="CS57" s="1">
        <v>2.4900000000000002</v>
      </c>
      <c r="CT57" s="1">
        <v>2.59</v>
      </c>
      <c r="CU57" s="1">
        <v>2.72</v>
      </c>
      <c r="CV57" s="1">
        <f t="shared" si="15"/>
        <v>2.6420000000000003</v>
      </c>
      <c r="CW57" s="1">
        <v>40.200000000000003</v>
      </c>
      <c r="CX57" s="1">
        <v>10.1</v>
      </c>
      <c r="CY57" s="1">
        <v>0.78500000000000003</v>
      </c>
      <c r="CZ57" s="1">
        <f t="shared" si="16"/>
        <v>1.7444444444444445</v>
      </c>
      <c r="DA57" s="1">
        <f t="shared" si="23"/>
        <v>0.89900000000000002</v>
      </c>
      <c r="DB57" s="1">
        <f t="shared" si="24"/>
        <v>1.8130122029543994</v>
      </c>
    </row>
    <row r="58" spans="1:106" ht="16" thickBot="1" x14ac:dyDescent="0.4">
      <c r="A58" s="1">
        <v>56</v>
      </c>
      <c r="B58" s="7" t="s">
        <v>181</v>
      </c>
      <c r="C58" s="11" t="s">
        <v>52</v>
      </c>
      <c r="D58" s="10" t="s">
        <v>106</v>
      </c>
      <c r="E58" s="3">
        <v>45289</v>
      </c>
      <c r="F58" s="3">
        <f t="shared" si="17"/>
        <v>45274</v>
      </c>
      <c r="G58" s="1">
        <f t="shared" si="4"/>
        <v>15</v>
      </c>
      <c r="H58" s="1">
        <f t="shared" si="21"/>
        <v>106</v>
      </c>
      <c r="I58" s="1">
        <v>7</v>
      </c>
      <c r="J58" s="3">
        <v>45380</v>
      </c>
      <c r="K58" s="3">
        <v>45385</v>
      </c>
      <c r="L58" s="15">
        <f t="shared" si="5"/>
        <v>111</v>
      </c>
      <c r="M58" s="13">
        <f t="shared" si="22"/>
        <v>146</v>
      </c>
      <c r="N58" s="3">
        <v>45420</v>
      </c>
      <c r="O58" s="1">
        <v>103.3</v>
      </c>
      <c r="P58" s="1">
        <v>99</v>
      </c>
      <c r="Q58" s="1">
        <v>92</v>
      </c>
      <c r="R58" s="1">
        <v>100</v>
      </c>
      <c r="S58" s="1">
        <v>93</v>
      </c>
      <c r="T58" s="1">
        <f t="shared" si="6"/>
        <v>97.460000000000008</v>
      </c>
      <c r="U58" s="1">
        <v>16</v>
      </c>
      <c r="V58" s="1">
        <v>17</v>
      </c>
      <c r="W58" s="1">
        <v>13</v>
      </c>
      <c r="X58" s="1">
        <v>12.5</v>
      </c>
      <c r="Y58" s="1">
        <v>11.5</v>
      </c>
      <c r="Z58" s="1">
        <f t="shared" si="7"/>
        <v>14</v>
      </c>
      <c r="AA58" s="1">
        <v>10</v>
      </c>
      <c r="AB58" s="1">
        <v>9</v>
      </c>
      <c r="AC58" s="1">
        <v>9.5</v>
      </c>
      <c r="AD58" s="1">
        <v>9</v>
      </c>
      <c r="AE58" s="1">
        <v>7.5</v>
      </c>
      <c r="AF58" s="1">
        <f t="shared" si="8"/>
        <v>9</v>
      </c>
      <c r="AG58" s="1">
        <v>5</v>
      </c>
      <c r="AH58" s="1">
        <v>6</v>
      </c>
      <c r="AI58" s="1">
        <v>5.5</v>
      </c>
      <c r="AJ58" s="1">
        <v>6</v>
      </c>
      <c r="AK58" s="1">
        <v>6</v>
      </c>
      <c r="AL58" s="1">
        <f t="shared" si="18"/>
        <v>5.7</v>
      </c>
      <c r="AM58" s="1">
        <v>7</v>
      </c>
      <c r="AN58" s="1">
        <v>8.8000000000000007</v>
      </c>
      <c r="AO58" s="1">
        <v>10</v>
      </c>
      <c r="AP58" s="1">
        <v>9</v>
      </c>
      <c r="AQ58" s="1">
        <v>8.5</v>
      </c>
      <c r="AR58" s="1">
        <v>11.5</v>
      </c>
      <c r="AS58" s="1">
        <f t="shared" si="9"/>
        <v>9.5599999999999987</v>
      </c>
      <c r="AT58" s="1">
        <v>0.7</v>
      </c>
      <c r="AU58" s="1">
        <v>0.8</v>
      </c>
      <c r="AV58" s="1">
        <v>0.8</v>
      </c>
      <c r="AW58" s="1">
        <v>0.9</v>
      </c>
      <c r="AX58" s="1">
        <v>0.7</v>
      </c>
      <c r="AY58" s="1">
        <f t="shared" si="10"/>
        <v>0.77999999999999992</v>
      </c>
      <c r="AZ58" s="1">
        <v>5</v>
      </c>
      <c r="BA58" s="1">
        <v>3</v>
      </c>
      <c r="BB58" s="1">
        <v>6</v>
      </c>
      <c r="BC58" s="1">
        <v>11</v>
      </c>
      <c r="BD58" s="1">
        <v>7</v>
      </c>
      <c r="BE58" s="1">
        <v>7</v>
      </c>
      <c r="BF58" s="1">
        <v>7</v>
      </c>
      <c r="BG58" s="1">
        <v>8</v>
      </c>
      <c r="BH58" s="1">
        <v>7</v>
      </c>
      <c r="BI58" s="1">
        <v>8</v>
      </c>
      <c r="BJ58" s="1">
        <v>8</v>
      </c>
      <c r="BK58" s="1">
        <v>8</v>
      </c>
      <c r="BL58" s="1">
        <v>8</v>
      </c>
      <c r="BM58" s="1">
        <v>8</v>
      </c>
      <c r="BN58" s="1">
        <f t="shared" si="12"/>
        <v>8</v>
      </c>
      <c r="BO58" s="1">
        <v>1</v>
      </c>
      <c r="BP58" s="1">
        <v>0</v>
      </c>
      <c r="BQ58" s="1">
        <v>2</v>
      </c>
      <c r="BR58" s="1">
        <v>3</v>
      </c>
      <c r="BS58" s="1">
        <v>2</v>
      </c>
      <c r="BT58" s="1">
        <v>3</v>
      </c>
      <c r="BU58" s="1">
        <v>3</v>
      </c>
      <c r="BV58" s="1">
        <v>3</v>
      </c>
      <c r="BW58" s="1">
        <v>36</v>
      </c>
      <c r="BX58" s="1">
        <v>32</v>
      </c>
      <c r="BY58" s="1">
        <v>28</v>
      </c>
      <c r="BZ58" s="1">
        <v>31</v>
      </c>
      <c r="CA58" s="1">
        <v>32</v>
      </c>
      <c r="CB58" s="1">
        <v>32</v>
      </c>
      <c r="CC58" s="1">
        <v>1</v>
      </c>
      <c r="CD58" s="1">
        <v>7</v>
      </c>
      <c r="CE58" s="1">
        <v>6.3</v>
      </c>
      <c r="CF58" s="1">
        <v>5.92</v>
      </c>
      <c r="CG58" s="1">
        <v>6.06</v>
      </c>
      <c r="CH58" s="1">
        <v>6.78</v>
      </c>
      <c r="CI58" s="1">
        <v>6.34</v>
      </c>
      <c r="CJ58" s="1">
        <f t="shared" si="13"/>
        <v>6.2799999999999994</v>
      </c>
      <c r="CK58" s="1">
        <v>3.44</v>
      </c>
      <c r="CL58" s="1">
        <v>3.27</v>
      </c>
      <c r="CM58" s="1">
        <v>3.52</v>
      </c>
      <c r="CN58" s="1">
        <v>3.72</v>
      </c>
      <c r="CO58" s="1">
        <v>3.68</v>
      </c>
      <c r="CP58" s="1">
        <f t="shared" si="14"/>
        <v>3.5260000000000007</v>
      </c>
      <c r="CQ58" s="1">
        <v>2.81</v>
      </c>
      <c r="CR58" s="1">
        <v>3.19</v>
      </c>
      <c r="CS58" s="1">
        <v>3.34</v>
      </c>
      <c r="CT58" s="1">
        <v>3.53</v>
      </c>
      <c r="CU58" s="1">
        <v>3.39</v>
      </c>
      <c r="CV58" s="1">
        <f t="shared" si="15"/>
        <v>3.2519999999999998</v>
      </c>
      <c r="CW58" s="1">
        <v>45.3</v>
      </c>
      <c r="CX58" s="1">
        <v>10.6</v>
      </c>
      <c r="CY58" s="1">
        <v>0.58399999999999996</v>
      </c>
      <c r="CZ58" s="1">
        <f t="shared" si="16"/>
        <v>1.2977777777777777</v>
      </c>
      <c r="DA58" s="1">
        <f t="shared" si="23"/>
        <v>0.89400000000000002</v>
      </c>
      <c r="DB58" s="1">
        <f t="shared" si="24"/>
        <v>1.3412870905587668</v>
      </c>
    </row>
    <row r="59" spans="1:106" ht="16" thickBot="1" x14ac:dyDescent="0.4">
      <c r="A59" s="1">
        <v>57</v>
      </c>
      <c r="B59" s="7" t="s">
        <v>182</v>
      </c>
      <c r="C59" s="11" t="s">
        <v>52</v>
      </c>
      <c r="D59" s="10" t="s">
        <v>107</v>
      </c>
      <c r="E59" s="3">
        <v>45289</v>
      </c>
      <c r="F59" s="3">
        <f t="shared" si="17"/>
        <v>45274</v>
      </c>
      <c r="G59" s="1">
        <f t="shared" si="4"/>
        <v>15</v>
      </c>
      <c r="H59" s="1">
        <f t="shared" si="21"/>
        <v>112</v>
      </c>
      <c r="I59" s="1">
        <v>5</v>
      </c>
      <c r="J59" s="3">
        <v>45386</v>
      </c>
      <c r="K59" s="3">
        <v>45389</v>
      </c>
      <c r="L59" s="15">
        <f t="shared" si="5"/>
        <v>115</v>
      </c>
      <c r="M59" s="13">
        <f t="shared" si="22"/>
        <v>146</v>
      </c>
      <c r="N59" s="3">
        <v>45420</v>
      </c>
      <c r="O59" s="1">
        <v>107.5</v>
      </c>
      <c r="P59" s="1">
        <v>108.3</v>
      </c>
      <c r="Q59" s="1">
        <v>102.4</v>
      </c>
      <c r="R59" s="1">
        <v>108.4</v>
      </c>
      <c r="S59" s="1">
        <v>104.4</v>
      </c>
      <c r="T59" s="1">
        <f t="shared" si="6"/>
        <v>106.2</v>
      </c>
      <c r="U59" s="1">
        <v>19.5</v>
      </c>
      <c r="V59" s="1">
        <v>17</v>
      </c>
      <c r="W59" s="1">
        <v>16</v>
      </c>
      <c r="X59" s="1">
        <v>13</v>
      </c>
      <c r="Y59" s="1">
        <v>18</v>
      </c>
      <c r="Z59" s="1">
        <f t="shared" si="7"/>
        <v>16.7</v>
      </c>
      <c r="AA59" s="1">
        <v>8</v>
      </c>
      <c r="AB59" s="1">
        <v>11</v>
      </c>
      <c r="AC59" s="1">
        <v>9</v>
      </c>
      <c r="AD59" s="1">
        <v>18.600000000000001</v>
      </c>
      <c r="AE59" s="1">
        <v>9.5</v>
      </c>
      <c r="AF59" s="1">
        <f t="shared" si="8"/>
        <v>11.22</v>
      </c>
      <c r="AL59" s="1" t="s">
        <v>43</v>
      </c>
      <c r="AM59" s="1">
        <v>0</v>
      </c>
      <c r="AN59" s="1">
        <v>12.3</v>
      </c>
      <c r="AO59" s="1">
        <v>9</v>
      </c>
      <c r="AP59" s="1">
        <v>11.5</v>
      </c>
      <c r="AQ59" s="1">
        <v>10.5</v>
      </c>
      <c r="AR59" s="1">
        <v>12.5</v>
      </c>
      <c r="AS59" s="1">
        <f t="shared" si="9"/>
        <v>11.16</v>
      </c>
      <c r="AT59" s="1">
        <v>0.9</v>
      </c>
      <c r="AU59" s="1">
        <v>0.8</v>
      </c>
      <c r="AV59" s="1">
        <v>0.8</v>
      </c>
      <c r="AW59" s="1">
        <v>1.1000000000000001</v>
      </c>
      <c r="AX59" s="1">
        <v>1.3</v>
      </c>
      <c r="AY59" s="1">
        <f t="shared" si="10"/>
        <v>0.98000000000000009</v>
      </c>
      <c r="AZ59" s="1">
        <v>5</v>
      </c>
      <c r="BA59" s="1">
        <v>5</v>
      </c>
      <c r="BB59" s="1">
        <v>16</v>
      </c>
      <c r="BC59" s="1">
        <v>10</v>
      </c>
      <c r="BD59" s="1">
        <v>30</v>
      </c>
      <c r="BE59" s="1">
        <v>25</v>
      </c>
      <c r="BF59" s="1">
        <v>4</v>
      </c>
      <c r="BG59" s="1">
        <f t="shared" si="11"/>
        <v>17</v>
      </c>
      <c r="BH59" s="1">
        <v>9</v>
      </c>
      <c r="BI59" s="1">
        <v>9</v>
      </c>
      <c r="BJ59" s="1">
        <v>10</v>
      </c>
      <c r="BK59" s="1">
        <v>10</v>
      </c>
      <c r="BL59" s="1">
        <v>10</v>
      </c>
      <c r="BM59" s="1">
        <v>11</v>
      </c>
      <c r="BN59" s="1">
        <f t="shared" si="12"/>
        <v>10</v>
      </c>
      <c r="BO59" s="1">
        <v>1</v>
      </c>
      <c r="BP59" s="1">
        <v>0</v>
      </c>
      <c r="BQ59" s="1">
        <v>4</v>
      </c>
      <c r="BR59" s="1">
        <v>3</v>
      </c>
      <c r="BS59" s="1">
        <v>3</v>
      </c>
      <c r="BT59" s="1">
        <v>3</v>
      </c>
      <c r="BU59" s="1">
        <v>3</v>
      </c>
      <c r="BV59" s="1">
        <v>3</v>
      </c>
      <c r="BW59" s="1">
        <v>68</v>
      </c>
      <c r="BX59" s="1">
        <v>49</v>
      </c>
      <c r="BY59" s="1">
        <v>28</v>
      </c>
      <c r="BZ59" s="1">
        <v>32</v>
      </c>
      <c r="CA59" s="1">
        <v>28</v>
      </c>
      <c r="CB59" s="1">
        <f t="shared" si="20"/>
        <v>41</v>
      </c>
      <c r="CC59" s="1">
        <v>2</v>
      </c>
      <c r="CD59" s="1">
        <v>3</v>
      </c>
      <c r="CE59" s="1">
        <v>5.65</v>
      </c>
      <c r="CF59" s="1">
        <v>5.94</v>
      </c>
      <c r="CG59" s="1">
        <v>5.79</v>
      </c>
      <c r="CH59" s="1">
        <v>5.15</v>
      </c>
      <c r="CI59" s="1">
        <v>4.8099999999999996</v>
      </c>
      <c r="CJ59" s="1">
        <f t="shared" si="13"/>
        <v>5.468</v>
      </c>
      <c r="CK59" s="1">
        <v>2.9</v>
      </c>
      <c r="CL59" s="1">
        <v>3.16</v>
      </c>
      <c r="CM59" s="1">
        <v>2.87</v>
      </c>
      <c r="CN59" s="1">
        <v>2.56</v>
      </c>
      <c r="CO59" s="1">
        <v>2.4500000000000002</v>
      </c>
      <c r="CP59" s="1">
        <f t="shared" si="14"/>
        <v>2.7880000000000003</v>
      </c>
      <c r="CQ59" s="1">
        <v>2.78</v>
      </c>
      <c r="CR59" s="1">
        <v>2.5</v>
      </c>
      <c r="CS59" s="1">
        <v>2.63</v>
      </c>
      <c r="CT59" s="1">
        <v>2.2400000000000002</v>
      </c>
      <c r="CU59" s="1">
        <v>2.23</v>
      </c>
      <c r="CV59" s="1">
        <f t="shared" si="15"/>
        <v>2.476</v>
      </c>
      <c r="CW59" s="1">
        <v>25.9</v>
      </c>
      <c r="CX59" s="1">
        <v>10.5</v>
      </c>
      <c r="CY59" s="1">
        <v>0.69499999999999995</v>
      </c>
      <c r="CZ59" s="1">
        <f t="shared" si="16"/>
        <v>1.5444444444444443</v>
      </c>
      <c r="DA59" s="1">
        <f t="shared" si="23"/>
        <v>0.89500000000000002</v>
      </c>
      <c r="DB59" s="1">
        <f t="shared" si="24"/>
        <v>1.5980089916506102</v>
      </c>
    </row>
    <row r="60" spans="1:106" ht="16" thickBot="1" x14ac:dyDescent="0.4">
      <c r="A60" s="1">
        <v>58</v>
      </c>
      <c r="B60" s="7" t="s">
        <v>183</v>
      </c>
      <c r="C60" s="11" t="s">
        <v>52</v>
      </c>
      <c r="D60" s="10" t="s">
        <v>97</v>
      </c>
      <c r="E60" s="3">
        <v>45289</v>
      </c>
      <c r="F60" s="3">
        <f t="shared" si="17"/>
        <v>45274</v>
      </c>
      <c r="G60" s="1">
        <f t="shared" si="4"/>
        <v>15</v>
      </c>
      <c r="H60" s="1">
        <f t="shared" si="21"/>
        <v>112</v>
      </c>
      <c r="I60" s="1">
        <v>5</v>
      </c>
      <c r="J60" s="3">
        <v>45386</v>
      </c>
      <c r="K60" s="3">
        <v>45390</v>
      </c>
      <c r="L60" s="15">
        <f t="shared" si="5"/>
        <v>116</v>
      </c>
      <c r="M60" s="13">
        <f t="shared" si="22"/>
        <v>146</v>
      </c>
      <c r="N60" s="3">
        <v>45420</v>
      </c>
      <c r="O60" s="1">
        <v>82</v>
      </c>
      <c r="P60" s="1">
        <v>91</v>
      </c>
      <c r="Q60" s="1">
        <v>76</v>
      </c>
      <c r="R60" s="1">
        <v>86</v>
      </c>
      <c r="S60" s="1">
        <v>97</v>
      </c>
      <c r="T60" s="1">
        <f t="shared" si="6"/>
        <v>86.4</v>
      </c>
      <c r="U60" s="1">
        <v>6</v>
      </c>
      <c r="V60" s="1">
        <v>13</v>
      </c>
      <c r="W60" s="1">
        <v>5.5</v>
      </c>
      <c r="X60" s="1">
        <v>10.5</v>
      </c>
      <c r="Y60" s="1">
        <v>7</v>
      </c>
      <c r="Z60" s="1">
        <f t="shared" si="7"/>
        <v>8.4</v>
      </c>
      <c r="AA60" s="1">
        <v>8</v>
      </c>
      <c r="AB60" s="1">
        <v>5</v>
      </c>
      <c r="AC60" s="1">
        <v>6.5</v>
      </c>
      <c r="AD60" s="1">
        <v>7</v>
      </c>
      <c r="AE60" s="1">
        <v>8.5</v>
      </c>
      <c r="AF60" s="1">
        <f t="shared" si="8"/>
        <v>7</v>
      </c>
      <c r="AG60" s="1">
        <v>5.5</v>
      </c>
      <c r="AH60" s="1">
        <v>6.6</v>
      </c>
      <c r="AI60" s="1">
        <v>5</v>
      </c>
      <c r="AJ60" s="1">
        <v>4.5</v>
      </c>
      <c r="AK60" s="1">
        <v>5</v>
      </c>
      <c r="AL60" s="1">
        <f t="shared" si="18"/>
        <v>5.32</v>
      </c>
      <c r="AM60" s="1">
        <v>7</v>
      </c>
      <c r="AN60" s="1">
        <v>13</v>
      </c>
      <c r="AO60" s="1">
        <v>8.3000000000000007</v>
      </c>
      <c r="AP60" s="1">
        <v>9</v>
      </c>
      <c r="AQ60" s="1">
        <v>9</v>
      </c>
      <c r="AR60" s="1">
        <v>9.6999999999999993</v>
      </c>
      <c r="AS60" s="1">
        <f t="shared" si="9"/>
        <v>9.8000000000000007</v>
      </c>
      <c r="AT60" s="1">
        <v>0.9</v>
      </c>
      <c r="AU60" s="1">
        <v>0.7</v>
      </c>
      <c r="AV60" s="1">
        <v>0.8</v>
      </c>
      <c r="AW60" s="1">
        <v>0.8</v>
      </c>
      <c r="AX60" s="1">
        <v>0.8</v>
      </c>
      <c r="AY60" s="1">
        <f t="shared" si="10"/>
        <v>0.8</v>
      </c>
      <c r="AZ60" s="1">
        <v>5</v>
      </c>
      <c r="BA60" s="1">
        <v>3</v>
      </c>
      <c r="BB60" s="1">
        <v>5</v>
      </c>
      <c r="BC60" s="1">
        <v>10</v>
      </c>
      <c r="BD60" s="1">
        <v>11</v>
      </c>
      <c r="BE60" s="1">
        <v>4</v>
      </c>
      <c r="BF60" s="1">
        <v>12</v>
      </c>
      <c r="BG60" s="1">
        <v>8</v>
      </c>
      <c r="BH60" s="1">
        <v>7</v>
      </c>
      <c r="BI60" s="1">
        <v>11</v>
      </c>
      <c r="BJ60" s="1">
        <v>11</v>
      </c>
      <c r="BK60" s="1">
        <v>10</v>
      </c>
      <c r="BL60" s="1">
        <v>9</v>
      </c>
      <c r="BM60" s="1">
        <v>9</v>
      </c>
      <c r="BN60" s="1">
        <f t="shared" si="12"/>
        <v>10</v>
      </c>
      <c r="BO60" s="1">
        <v>3</v>
      </c>
      <c r="BP60" s="1">
        <v>0</v>
      </c>
      <c r="BQ60" s="1">
        <v>4</v>
      </c>
      <c r="BR60" s="1">
        <v>3</v>
      </c>
      <c r="BS60" s="1">
        <v>3</v>
      </c>
      <c r="BT60" s="1">
        <v>3</v>
      </c>
      <c r="BU60" s="1">
        <v>4</v>
      </c>
      <c r="BV60" s="1">
        <v>3</v>
      </c>
      <c r="BW60" s="1">
        <v>51</v>
      </c>
      <c r="BX60" s="1">
        <v>48</v>
      </c>
      <c r="BY60" s="1">
        <v>51</v>
      </c>
      <c r="BZ60" s="1">
        <v>40</v>
      </c>
      <c r="CA60" s="1">
        <v>42</v>
      </c>
      <c r="CB60" s="1">
        <v>46</v>
      </c>
      <c r="CC60" s="1">
        <v>1</v>
      </c>
      <c r="CD60" s="1">
        <v>5</v>
      </c>
      <c r="CE60" s="1">
        <v>5.64</v>
      </c>
      <c r="CF60" s="1">
        <v>5.81</v>
      </c>
      <c r="CG60" s="1">
        <v>5.08</v>
      </c>
      <c r="CH60" s="1">
        <v>4.9800000000000004</v>
      </c>
      <c r="CI60" s="1">
        <v>5.37</v>
      </c>
      <c r="CJ60" s="1">
        <f t="shared" si="13"/>
        <v>5.3760000000000003</v>
      </c>
      <c r="CK60" s="1">
        <v>3.04</v>
      </c>
      <c r="CL60" s="1">
        <v>2.96</v>
      </c>
      <c r="CM60" s="1">
        <v>3.31</v>
      </c>
      <c r="CN60" s="1">
        <v>2.2799999999999998</v>
      </c>
      <c r="CO60" s="1">
        <v>2.92</v>
      </c>
      <c r="CP60" s="1">
        <f t="shared" si="14"/>
        <v>2.9020000000000001</v>
      </c>
      <c r="CQ60" s="1">
        <v>2.4</v>
      </c>
      <c r="CR60" s="1">
        <v>2.66</v>
      </c>
      <c r="CS60" s="1">
        <v>2.8</v>
      </c>
      <c r="CT60" s="1">
        <v>2.1</v>
      </c>
      <c r="CU60" s="1">
        <v>2.21</v>
      </c>
      <c r="CV60" s="1">
        <f t="shared" si="15"/>
        <v>2.4340000000000002</v>
      </c>
      <c r="CW60" s="1">
        <v>30.4</v>
      </c>
      <c r="CX60" s="1">
        <v>9.6</v>
      </c>
      <c r="CY60" s="1">
        <v>0.36499999999999999</v>
      </c>
      <c r="CZ60" s="1">
        <f t="shared" si="16"/>
        <v>0.81111111111111112</v>
      </c>
      <c r="DA60" s="1">
        <f t="shared" si="23"/>
        <v>0.90400000000000003</v>
      </c>
      <c r="DB60" s="1">
        <f t="shared" si="24"/>
        <v>0.84768143866409762</v>
      </c>
    </row>
    <row r="61" spans="1:106" ht="16" thickBot="1" x14ac:dyDescent="0.4">
      <c r="A61" s="1">
        <v>59</v>
      </c>
      <c r="B61" s="7" t="s">
        <v>184</v>
      </c>
      <c r="C61" s="11" t="s">
        <v>52</v>
      </c>
      <c r="D61" s="10" t="s">
        <v>97</v>
      </c>
      <c r="E61" s="3">
        <v>45289</v>
      </c>
      <c r="F61" s="3">
        <f t="shared" si="17"/>
        <v>45274</v>
      </c>
      <c r="G61" s="1">
        <f t="shared" si="4"/>
        <v>15</v>
      </c>
      <c r="H61" s="1">
        <f t="shared" si="21"/>
        <v>104</v>
      </c>
      <c r="I61" s="1">
        <v>5</v>
      </c>
      <c r="J61" s="3">
        <v>45378</v>
      </c>
      <c r="K61" s="3">
        <v>45384</v>
      </c>
      <c r="L61" s="15">
        <f t="shared" si="5"/>
        <v>110</v>
      </c>
      <c r="M61" s="13">
        <f t="shared" si="22"/>
        <v>140</v>
      </c>
      <c r="N61" s="3">
        <v>45414</v>
      </c>
      <c r="O61" s="1">
        <v>105.5</v>
      </c>
      <c r="P61" s="1">
        <v>104.4</v>
      </c>
      <c r="Q61" s="1">
        <v>98</v>
      </c>
      <c r="R61" s="1">
        <v>94</v>
      </c>
      <c r="S61" s="1">
        <v>106.6</v>
      </c>
      <c r="T61" s="1">
        <f t="shared" si="6"/>
        <v>101.7</v>
      </c>
      <c r="U61" s="1">
        <v>9</v>
      </c>
      <c r="V61" s="1">
        <v>10.5</v>
      </c>
      <c r="W61" s="1">
        <v>10</v>
      </c>
      <c r="X61" s="1">
        <v>11.5</v>
      </c>
      <c r="Y61" s="1">
        <v>13</v>
      </c>
      <c r="Z61" s="1">
        <f t="shared" si="7"/>
        <v>10.8</v>
      </c>
      <c r="AA61" s="1">
        <v>9.5</v>
      </c>
      <c r="AB61" s="1">
        <v>11</v>
      </c>
      <c r="AC61" s="1">
        <v>10</v>
      </c>
      <c r="AD61" s="1">
        <v>9</v>
      </c>
      <c r="AE61" s="1">
        <v>7</v>
      </c>
      <c r="AF61" s="1">
        <f t="shared" si="8"/>
        <v>9.3000000000000007</v>
      </c>
      <c r="AL61" s="1" t="s">
        <v>43</v>
      </c>
      <c r="AM61" s="1">
        <v>0</v>
      </c>
      <c r="AN61" s="1">
        <v>11.5</v>
      </c>
      <c r="AO61" s="1">
        <v>10</v>
      </c>
      <c r="AP61" s="1">
        <v>10.5</v>
      </c>
      <c r="AQ61" s="1">
        <v>10.5</v>
      </c>
      <c r="AR61" s="1">
        <v>8.5</v>
      </c>
      <c r="AS61" s="1">
        <f t="shared" si="9"/>
        <v>10.199999999999999</v>
      </c>
      <c r="AT61" s="1">
        <v>1</v>
      </c>
      <c r="AU61" s="1">
        <v>0.9</v>
      </c>
      <c r="AV61" s="1">
        <v>1</v>
      </c>
      <c r="AW61" s="1">
        <v>1</v>
      </c>
      <c r="AX61" s="1">
        <v>0.9</v>
      </c>
      <c r="AY61" s="1">
        <f t="shared" si="10"/>
        <v>0.96</v>
      </c>
      <c r="AZ61" s="1">
        <v>5</v>
      </c>
      <c r="BA61" s="1">
        <v>3</v>
      </c>
      <c r="BB61" s="1">
        <v>3</v>
      </c>
      <c r="BC61" s="1">
        <v>21</v>
      </c>
      <c r="BD61" s="1">
        <v>7</v>
      </c>
      <c r="BE61" s="1">
        <v>10</v>
      </c>
      <c r="BF61" s="1">
        <v>4</v>
      </c>
      <c r="BG61" s="1">
        <f t="shared" si="11"/>
        <v>9</v>
      </c>
      <c r="BH61" s="1">
        <v>7</v>
      </c>
      <c r="BI61" s="1">
        <v>9</v>
      </c>
      <c r="BJ61" s="1">
        <v>8</v>
      </c>
      <c r="BK61" s="1">
        <v>10</v>
      </c>
      <c r="BL61" s="1">
        <v>9</v>
      </c>
      <c r="BM61" s="1">
        <v>8</v>
      </c>
      <c r="BN61" s="1">
        <v>9</v>
      </c>
      <c r="BO61" s="1">
        <v>1</v>
      </c>
      <c r="BP61" s="1">
        <v>0</v>
      </c>
      <c r="BQ61" s="1">
        <v>3</v>
      </c>
      <c r="BR61" s="1">
        <v>3</v>
      </c>
      <c r="BS61" s="1">
        <v>3</v>
      </c>
      <c r="BT61" s="1">
        <v>2</v>
      </c>
      <c r="BU61" s="1">
        <v>3</v>
      </c>
      <c r="BV61" s="1">
        <v>3</v>
      </c>
      <c r="BW61" s="1">
        <v>39</v>
      </c>
      <c r="BX61" s="1">
        <v>59</v>
      </c>
      <c r="BY61" s="1">
        <v>40</v>
      </c>
      <c r="BZ61" s="1">
        <v>36</v>
      </c>
      <c r="CA61" s="1">
        <v>55</v>
      </c>
      <c r="CB61" s="1">
        <v>46</v>
      </c>
      <c r="CC61" s="1">
        <v>1</v>
      </c>
      <c r="CD61" s="1">
        <v>5</v>
      </c>
      <c r="CE61" s="1">
        <v>5.83</v>
      </c>
      <c r="CF61" s="1">
        <v>5.44</v>
      </c>
      <c r="CG61" s="1">
        <v>5.21</v>
      </c>
      <c r="CH61" s="1">
        <v>5.16</v>
      </c>
      <c r="CI61" s="1">
        <v>4.95</v>
      </c>
      <c r="CJ61" s="1">
        <f t="shared" si="13"/>
        <v>5.3179999999999996</v>
      </c>
      <c r="CK61" s="1">
        <v>3.24</v>
      </c>
      <c r="CL61" s="1">
        <v>3.21</v>
      </c>
      <c r="CM61" s="1">
        <v>2.94</v>
      </c>
      <c r="CN61" s="1">
        <v>3.05</v>
      </c>
      <c r="CO61" s="1">
        <v>2.1</v>
      </c>
      <c r="CP61" s="1">
        <f t="shared" si="14"/>
        <v>2.9080000000000004</v>
      </c>
      <c r="CQ61" s="1">
        <v>2.86</v>
      </c>
      <c r="CR61" s="1">
        <v>2.87</v>
      </c>
      <c r="CS61" s="1">
        <v>2.2000000000000002</v>
      </c>
      <c r="CT61" s="1">
        <v>2.89</v>
      </c>
      <c r="CU61" s="1">
        <v>1.93</v>
      </c>
      <c r="CV61" s="1">
        <f t="shared" si="15"/>
        <v>2.5499999999999998</v>
      </c>
      <c r="CW61" s="1">
        <v>33.6</v>
      </c>
      <c r="CX61" s="1">
        <v>10</v>
      </c>
      <c r="CY61" s="1">
        <v>0.77500000000000002</v>
      </c>
      <c r="CZ61" s="1">
        <f t="shared" si="16"/>
        <v>1.7222222222222223</v>
      </c>
      <c r="DA61" s="1">
        <f t="shared" si="23"/>
        <v>0.9</v>
      </c>
      <c r="DB61" s="1">
        <f t="shared" si="24"/>
        <v>1.7919075144508672</v>
      </c>
    </row>
    <row r="62" spans="1:106" ht="16" thickBot="1" x14ac:dyDescent="0.4">
      <c r="A62" s="1">
        <v>60</v>
      </c>
      <c r="B62" s="7" t="s">
        <v>185</v>
      </c>
      <c r="C62" s="11" t="s">
        <v>52</v>
      </c>
      <c r="D62" s="10" t="s">
        <v>108</v>
      </c>
      <c r="E62" s="3">
        <v>45292</v>
      </c>
      <c r="F62" s="3">
        <f t="shared" si="17"/>
        <v>45274</v>
      </c>
      <c r="G62" s="1">
        <f t="shared" si="4"/>
        <v>18</v>
      </c>
      <c r="H62" s="1">
        <f t="shared" si="21"/>
        <v>104</v>
      </c>
      <c r="I62" s="1">
        <v>7</v>
      </c>
      <c r="J62" s="3">
        <v>45378</v>
      </c>
      <c r="K62" s="3">
        <v>45387</v>
      </c>
      <c r="L62" s="15">
        <f t="shared" si="5"/>
        <v>113</v>
      </c>
      <c r="M62" s="13">
        <f t="shared" si="22"/>
        <v>140</v>
      </c>
      <c r="N62" s="3">
        <v>45414</v>
      </c>
      <c r="O62" s="1">
        <v>78</v>
      </c>
      <c r="P62" s="1">
        <v>84</v>
      </c>
      <c r="Q62" s="1">
        <v>78</v>
      </c>
      <c r="R62" s="1">
        <v>81</v>
      </c>
      <c r="S62" s="1">
        <v>78</v>
      </c>
      <c r="T62" s="1">
        <f t="shared" si="6"/>
        <v>79.8</v>
      </c>
      <c r="U62" s="1">
        <v>7</v>
      </c>
      <c r="V62" s="1">
        <v>14</v>
      </c>
      <c r="W62" s="1">
        <v>11.5</v>
      </c>
      <c r="X62" s="1">
        <v>8</v>
      </c>
      <c r="Y62" s="1">
        <v>14</v>
      </c>
      <c r="Z62" s="1">
        <f t="shared" si="7"/>
        <v>10.9</v>
      </c>
      <c r="AA62" s="1">
        <v>11</v>
      </c>
      <c r="AB62" s="1">
        <v>12</v>
      </c>
      <c r="AC62" s="1">
        <v>10.5</v>
      </c>
      <c r="AD62" s="1">
        <v>11</v>
      </c>
      <c r="AE62" s="1">
        <v>10</v>
      </c>
      <c r="AF62" s="1">
        <f t="shared" si="8"/>
        <v>10.9</v>
      </c>
      <c r="AG62" s="1">
        <v>5</v>
      </c>
      <c r="AH62" s="1">
        <v>4.5</v>
      </c>
      <c r="AI62" s="1">
        <v>4.5</v>
      </c>
      <c r="AJ62" s="1">
        <v>5.5</v>
      </c>
      <c r="AK62" s="1">
        <v>6.5</v>
      </c>
      <c r="AL62" s="1">
        <f t="shared" si="18"/>
        <v>5.2</v>
      </c>
      <c r="AM62" s="1">
        <v>7</v>
      </c>
      <c r="AN62" s="1">
        <v>11.5</v>
      </c>
      <c r="AO62" s="1">
        <v>11.5</v>
      </c>
      <c r="AP62" s="1">
        <v>10</v>
      </c>
      <c r="AQ62" s="1">
        <v>14</v>
      </c>
      <c r="AR62" s="1">
        <v>8</v>
      </c>
      <c r="AS62" s="1">
        <f t="shared" si="9"/>
        <v>11</v>
      </c>
      <c r="AT62" s="1">
        <v>0.9</v>
      </c>
      <c r="AU62" s="1">
        <v>1</v>
      </c>
      <c r="AV62" s="1">
        <v>1</v>
      </c>
      <c r="AW62" s="1">
        <v>0.9</v>
      </c>
      <c r="AX62" s="1">
        <v>1</v>
      </c>
      <c r="AY62" s="1">
        <f t="shared" si="10"/>
        <v>0.96</v>
      </c>
      <c r="AZ62" s="1">
        <v>5</v>
      </c>
      <c r="BA62" s="1">
        <v>3</v>
      </c>
      <c r="BB62" s="1">
        <v>7</v>
      </c>
      <c r="BC62" s="1">
        <v>3</v>
      </c>
      <c r="BD62" s="1">
        <v>9</v>
      </c>
      <c r="BE62" s="1">
        <v>11</v>
      </c>
      <c r="BF62" s="1">
        <v>3</v>
      </c>
      <c r="BG62" s="1">
        <v>7</v>
      </c>
      <c r="BH62" s="1">
        <v>7</v>
      </c>
      <c r="BI62" s="1">
        <v>10</v>
      </c>
      <c r="BJ62" s="1">
        <v>9</v>
      </c>
      <c r="BK62" s="1">
        <v>11</v>
      </c>
      <c r="BL62" s="1">
        <v>11</v>
      </c>
      <c r="BM62" s="1">
        <v>11</v>
      </c>
      <c r="BN62" s="1">
        <v>10</v>
      </c>
      <c r="BO62" s="1">
        <v>1</v>
      </c>
      <c r="BP62" s="1">
        <v>0</v>
      </c>
      <c r="BQ62" s="1">
        <v>2</v>
      </c>
      <c r="BR62" s="1">
        <v>2</v>
      </c>
      <c r="BS62" s="1">
        <v>3</v>
      </c>
      <c r="BT62" s="1">
        <v>2</v>
      </c>
      <c r="BU62" s="1">
        <v>2</v>
      </c>
      <c r="BV62" s="1">
        <v>2</v>
      </c>
      <c r="BW62" s="1">
        <v>34</v>
      </c>
      <c r="BX62" s="1">
        <v>39</v>
      </c>
      <c r="BY62" s="1">
        <v>32</v>
      </c>
      <c r="BZ62" s="1">
        <v>36</v>
      </c>
      <c r="CA62" s="1">
        <v>38</v>
      </c>
      <c r="CB62" s="1">
        <v>36</v>
      </c>
      <c r="CC62" s="1">
        <v>1</v>
      </c>
      <c r="CD62" s="1">
        <v>7</v>
      </c>
      <c r="CE62" s="1">
        <v>6.58</v>
      </c>
      <c r="CF62" s="1">
        <v>6.61</v>
      </c>
      <c r="CG62" s="1">
        <v>6.49</v>
      </c>
      <c r="CH62" s="1">
        <v>6.62</v>
      </c>
      <c r="CI62" s="1">
        <v>7.21</v>
      </c>
      <c r="CJ62" s="1">
        <f t="shared" si="13"/>
        <v>6.702</v>
      </c>
      <c r="CK62" s="1">
        <v>3.69</v>
      </c>
      <c r="CL62" s="1">
        <v>3.75</v>
      </c>
      <c r="CM62" s="1">
        <v>3.66</v>
      </c>
      <c r="CN62" s="1">
        <v>3.71</v>
      </c>
      <c r="CO62" s="1">
        <v>3.64</v>
      </c>
      <c r="CP62" s="1">
        <f t="shared" si="14"/>
        <v>3.69</v>
      </c>
      <c r="CQ62" s="1">
        <v>3.12</v>
      </c>
      <c r="CR62" s="1">
        <v>2.81</v>
      </c>
      <c r="CS62" s="1">
        <v>2.91</v>
      </c>
      <c r="CT62" s="1">
        <v>2.87</v>
      </c>
      <c r="CU62" s="1">
        <v>3.14</v>
      </c>
      <c r="CV62" s="1">
        <f t="shared" si="15"/>
        <v>2.97</v>
      </c>
      <c r="CW62" s="1">
        <v>49.01</v>
      </c>
      <c r="CX62" s="1">
        <v>10</v>
      </c>
      <c r="CY62" s="1">
        <v>0.6</v>
      </c>
      <c r="CZ62" s="1">
        <f t="shared" si="16"/>
        <v>1.3333333333333333</v>
      </c>
      <c r="DA62" s="1">
        <f t="shared" si="23"/>
        <v>0.9</v>
      </c>
      <c r="DB62" s="1">
        <f t="shared" si="24"/>
        <v>1.3872832369942196</v>
      </c>
    </row>
    <row r="63" spans="1:106" ht="16" thickBot="1" x14ac:dyDescent="0.4">
      <c r="A63" s="1">
        <v>61</v>
      </c>
      <c r="B63" s="7" t="s">
        <v>186</v>
      </c>
      <c r="C63" s="11" t="s">
        <v>52</v>
      </c>
      <c r="D63" s="10" t="s">
        <v>108</v>
      </c>
      <c r="E63" s="3">
        <v>45292</v>
      </c>
      <c r="F63" s="3">
        <f t="shared" si="17"/>
        <v>45274</v>
      </c>
      <c r="G63" s="1">
        <f t="shared" si="4"/>
        <v>18</v>
      </c>
      <c r="H63" s="1">
        <f t="shared" si="21"/>
        <v>104</v>
      </c>
      <c r="I63" s="1">
        <v>7</v>
      </c>
      <c r="J63" s="3">
        <v>45378</v>
      </c>
      <c r="K63" s="3">
        <v>45386</v>
      </c>
      <c r="L63" s="15">
        <f t="shared" si="5"/>
        <v>112</v>
      </c>
      <c r="M63" s="13">
        <f t="shared" si="22"/>
        <v>141</v>
      </c>
      <c r="N63" s="3">
        <v>45415</v>
      </c>
      <c r="O63" s="1">
        <v>74</v>
      </c>
      <c r="P63" s="1">
        <v>74</v>
      </c>
      <c r="Q63" s="1">
        <v>70</v>
      </c>
      <c r="R63" s="1">
        <v>79</v>
      </c>
      <c r="S63" s="1">
        <v>70</v>
      </c>
      <c r="T63" s="1">
        <f t="shared" si="6"/>
        <v>73.400000000000006</v>
      </c>
      <c r="U63" s="1">
        <v>8</v>
      </c>
      <c r="V63" s="1">
        <v>16</v>
      </c>
      <c r="W63" s="1">
        <v>10</v>
      </c>
      <c r="X63" s="1">
        <v>7</v>
      </c>
      <c r="Y63" s="1">
        <v>2.5</v>
      </c>
      <c r="Z63" s="1">
        <f t="shared" si="7"/>
        <v>8.6999999999999993</v>
      </c>
      <c r="AA63" s="1">
        <v>10</v>
      </c>
      <c r="AB63" s="1">
        <v>8.5</v>
      </c>
      <c r="AC63" s="1">
        <v>7.5</v>
      </c>
      <c r="AD63" s="1">
        <v>7.5</v>
      </c>
      <c r="AE63" s="1">
        <v>9.5</v>
      </c>
      <c r="AF63" s="1">
        <f t="shared" si="8"/>
        <v>8.6</v>
      </c>
      <c r="AG63" s="1">
        <v>7.5</v>
      </c>
      <c r="AH63" s="1">
        <v>7.5</v>
      </c>
      <c r="AI63" s="1">
        <v>6</v>
      </c>
      <c r="AJ63" s="1">
        <v>5.5</v>
      </c>
      <c r="AK63" s="1">
        <v>6.5</v>
      </c>
      <c r="AL63" s="1">
        <f t="shared" si="18"/>
        <v>6.6</v>
      </c>
      <c r="AM63" s="1">
        <v>7</v>
      </c>
      <c r="AN63" s="1">
        <v>12.5</v>
      </c>
      <c r="AO63" s="1">
        <v>12.2</v>
      </c>
      <c r="AP63" s="1">
        <v>11.3</v>
      </c>
      <c r="AQ63" s="1">
        <v>10</v>
      </c>
      <c r="AR63" s="1">
        <v>14</v>
      </c>
      <c r="AS63" s="1">
        <f t="shared" si="9"/>
        <v>12</v>
      </c>
      <c r="AT63" s="1">
        <v>1</v>
      </c>
      <c r="AU63" s="1">
        <v>0.9</v>
      </c>
      <c r="AV63" s="1">
        <v>1</v>
      </c>
      <c r="AW63" s="1">
        <v>1.3</v>
      </c>
      <c r="AX63" s="1">
        <v>1</v>
      </c>
      <c r="AY63" s="1">
        <f t="shared" si="10"/>
        <v>1.04</v>
      </c>
      <c r="AZ63" s="1">
        <v>5</v>
      </c>
      <c r="BA63" s="1">
        <v>3</v>
      </c>
      <c r="BB63" s="1">
        <v>7</v>
      </c>
      <c r="BC63" s="1">
        <v>5</v>
      </c>
      <c r="BD63" s="1">
        <v>4</v>
      </c>
      <c r="BE63" s="1">
        <v>3</v>
      </c>
      <c r="BF63" s="1">
        <v>7</v>
      </c>
      <c r="BG63" s="1">
        <v>5</v>
      </c>
      <c r="BH63" s="1">
        <v>5</v>
      </c>
      <c r="BI63" s="1">
        <v>11</v>
      </c>
      <c r="BJ63" s="1">
        <v>7</v>
      </c>
      <c r="BK63" s="1">
        <v>8</v>
      </c>
      <c r="BL63" s="1">
        <v>8</v>
      </c>
      <c r="BM63" s="1">
        <v>9</v>
      </c>
      <c r="BN63" s="1">
        <v>9</v>
      </c>
      <c r="BO63" s="1">
        <v>2</v>
      </c>
      <c r="BP63" s="1">
        <v>0</v>
      </c>
      <c r="BQ63" s="1">
        <v>3</v>
      </c>
      <c r="BR63" s="1">
        <v>3</v>
      </c>
      <c r="BS63" s="1">
        <v>2</v>
      </c>
      <c r="BT63" s="1">
        <v>3</v>
      </c>
      <c r="BU63" s="1">
        <v>2</v>
      </c>
      <c r="BV63" s="1">
        <v>3</v>
      </c>
      <c r="BW63" s="1">
        <v>23</v>
      </c>
      <c r="BX63" s="1">
        <v>39</v>
      </c>
      <c r="BY63" s="1">
        <v>47</v>
      </c>
      <c r="BZ63" s="1">
        <v>26</v>
      </c>
      <c r="CA63" s="1">
        <v>37</v>
      </c>
      <c r="CB63" s="1">
        <v>34</v>
      </c>
      <c r="CC63" s="1">
        <v>1</v>
      </c>
      <c r="CD63" s="1">
        <v>7</v>
      </c>
      <c r="CE63" s="1">
        <v>6.12</v>
      </c>
      <c r="CF63" s="1">
        <v>6.82</v>
      </c>
      <c r="CG63" s="1">
        <v>6.69</v>
      </c>
      <c r="CH63" s="1">
        <v>7.26</v>
      </c>
      <c r="CI63" s="1">
        <v>6.87</v>
      </c>
      <c r="CJ63" s="1">
        <f t="shared" si="13"/>
        <v>6.7519999999999998</v>
      </c>
      <c r="CK63" s="1">
        <v>3.42</v>
      </c>
      <c r="CL63" s="1">
        <v>3.57</v>
      </c>
      <c r="CM63" s="1">
        <v>3.26</v>
      </c>
      <c r="CN63" s="1">
        <v>3.68</v>
      </c>
      <c r="CO63" s="1">
        <v>3.56</v>
      </c>
      <c r="CP63" s="1">
        <f t="shared" si="14"/>
        <v>3.4979999999999998</v>
      </c>
      <c r="CQ63" s="1">
        <v>3.05</v>
      </c>
      <c r="CR63" s="1">
        <v>2.5099999999999998</v>
      </c>
      <c r="CS63" s="1">
        <v>2.5499999999999998</v>
      </c>
      <c r="CT63" s="1">
        <v>2.92</v>
      </c>
      <c r="CU63" s="1">
        <v>2.89</v>
      </c>
      <c r="CV63" s="1">
        <f t="shared" si="15"/>
        <v>2.7839999999999998</v>
      </c>
      <c r="CW63" s="1">
        <v>37.4</v>
      </c>
      <c r="CX63" s="1">
        <v>9.6999999999999993</v>
      </c>
      <c r="CY63" s="1">
        <v>0.41</v>
      </c>
      <c r="CZ63" s="1">
        <f t="shared" si="16"/>
        <v>0.91111111111111098</v>
      </c>
      <c r="DA63" s="1">
        <f t="shared" si="23"/>
        <v>0.90300000000000002</v>
      </c>
      <c r="DB63" s="1">
        <f t="shared" si="24"/>
        <v>0.95113680154142566</v>
      </c>
    </row>
    <row r="64" spans="1:106" ht="16" thickBot="1" x14ac:dyDescent="0.4">
      <c r="A64" s="1">
        <v>62</v>
      </c>
      <c r="B64" s="7" t="s">
        <v>187</v>
      </c>
      <c r="C64" s="11" t="s">
        <v>52</v>
      </c>
      <c r="D64" s="10"/>
      <c r="E64" s="3">
        <v>45289</v>
      </c>
      <c r="F64" s="3">
        <f t="shared" si="17"/>
        <v>45274</v>
      </c>
      <c r="G64" s="1">
        <f t="shared" si="4"/>
        <v>15</v>
      </c>
      <c r="H64" s="1">
        <f t="shared" si="21"/>
        <v>103</v>
      </c>
      <c r="I64" s="1">
        <v>7</v>
      </c>
      <c r="J64" s="3">
        <v>45377</v>
      </c>
      <c r="K64" s="3">
        <v>45382</v>
      </c>
      <c r="L64" s="15">
        <f t="shared" si="5"/>
        <v>108</v>
      </c>
      <c r="M64" s="13">
        <f t="shared" si="22"/>
        <v>136</v>
      </c>
      <c r="N64" s="3">
        <v>45410</v>
      </c>
      <c r="O64" s="1">
        <v>96</v>
      </c>
      <c r="P64" s="1">
        <v>100</v>
      </c>
      <c r="Q64" s="1">
        <v>78</v>
      </c>
      <c r="R64" s="1">
        <v>90</v>
      </c>
      <c r="S64" s="1">
        <v>94</v>
      </c>
      <c r="T64" s="1">
        <f t="shared" si="6"/>
        <v>91.6</v>
      </c>
      <c r="U64" s="1">
        <v>18</v>
      </c>
      <c r="V64" s="1">
        <v>19</v>
      </c>
      <c r="W64" s="1">
        <v>13.5</v>
      </c>
      <c r="X64" s="1">
        <v>10.5</v>
      </c>
      <c r="Y64" s="1">
        <v>14</v>
      </c>
      <c r="Z64" s="1">
        <f t="shared" si="7"/>
        <v>15</v>
      </c>
      <c r="AA64" s="1">
        <v>11</v>
      </c>
      <c r="AB64" s="1">
        <v>10</v>
      </c>
      <c r="AC64" s="1">
        <v>7.5</v>
      </c>
      <c r="AD64" s="1">
        <v>7.5</v>
      </c>
      <c r="AE64" s="1">
        <v>11.5</v>
      </c>
      <c r="AF64" s="1">
        <f t="shared" si="8"/>
        <v>9.5</v>
      </c>
      <c r="AG64" s="1">
        <v>5</v>
      </c>
      <c r="AH64" s="1">
        <v>4</v>
      </c>
      <c r="AI64" s="1">
        <v>6</v>
      </c>
      <c r="AJ64" s="1">
        <v>4.4000000000000004</v>
      </c>
      <c r="AK64" s="1">
        <v>6</v>
      </c>
      <c r="AL64" s="1">
        <f t="shared" si="18"/>
        <v>5.08</v>
      </c>
      <c r="AM64" s="1">
        <v>7</v>
      </c>
      <c r="AN64" s="1">
        <v>7.9</v>
      </c>
      <c r="AO64" s="1">
        <v>8</v>
      </c>
      <c r="AP64" s="1">
        <v>9.5</v>
      </c>
      <c r="AQ64" s="1">
        <v>9</v>
      </c>
      <c r="AR64" s="1">
        <v>8.5</v>
      </c>
      <c r="AS64" s="1">
        <f t="shared" si="9"/>
        <v>8.58</v>
      </c>
      <c r="AT64" s="1">
        <v>0.7</v>
      </c>
      <c r="AU64" s="1">
        <v>0.7</v>
      </c>
      <c r="AV64" s="1">
        <v>0.8</v>
      </c>
      <c r="AW64" s="1">
        <v>0.8</v>
      </c>
      <c r="AX64" s="1">
        <v>0.6</v>
      </c>
      <c r="AY64" s="1">
        <f t="shared" si="10"/>
        <v>0.72</v>
      </c>
      <c r="AZ64" s="1">
        <v>7</v>
      </c>
      <c r="BA64" s="1">
        <v>3</v>
      </c>
      <c r="BB64" s="1">
        <v>8</v>
      </c>
      <c r="BC64" s="1">
        <v>4</v>
      </c>
      <c r="BD64" s="1">
        <v>9</v>
      </c>
      <c r="BE64" s="1">
        <v>8</v>
      </c>
      <c r="BF64" s="1">
        <v>6</v>
      </c>
      <c r="BG64" s="1">
        <f t="shared" si="11"/>
        <v>7</v>
      </c>
      <c r="BH64" s="1">
        <v>7</v>
      </c>
      <c r="BI64" s="1">
        <v>10</v>
      </c>
      <c r="BJ64" s="1">
        <v>10</v>
      </c>
      <c r="BK64" s="1">
        <v>9</v>
      </c>
      <c r="BL64" s="1">
        <v>10</v>
      </c>
      <c r="BM64" s="1">
        <v>11</v>
      </c>
      <c r="BN64" s="1">
        <f t="shared" si="12"/>
        <v>10</v>
      </c>
      <c r="BO64" s="1">
        <v>1</v>
      </c>
      <c r="BP64" s="1">
        <v>3</v>
      </c>
      <c r="BQ64" s="1">
        <v>2</v>
      </c>
      <c r="BR64" s="1">
        <v>3</v>
      </c>
      <c r="BS64" s="1">
        <v>2</v>
      </c>
      <c r="BT64" s="1">
        <v>2</v>
      </c>
      <c r="BU64" s="1">
        <v>3</v>
      </c>
      <c r="BV64" s="1">
        <v>2</v>
      </c>
      <c r="BW64" s="1">
        <v>27</v>
      </c>
      <c r="BX64" s="1">
        <v>21</v>
      </c>
      <c r="BY64" s="1">
        <v>23</v>
      </c>
      <c r="BZ64" s="1">
        <v>21</v>
      </c>
      <c r="CA64" s="1">
        <v>28</v>
      </c>
      <c r="CB64" s="1">
        <f t="shared" si="20"/>
        <v>24</v>
      </c>
      <c r="CC64" s="1">
        <v>1</v>
      </c>
      <c r="CD64" s="1">
        <v>7</v>
      </c>
      <c r="CE64" s="1">
        <v>6.72</v>
      </c>
      <c r="CF64" s="1">
        <v>5.95</v>
      </c>
      <c r="CG64" s="1">
        <v>6.62</v>
      </c>
      <c r="CH64" s="1">
        <v>6.77</v>
      </c>
      <c r="CI64" s="1">
        <v>6.53</v>
      </c>
      <c r="CJ64" s="1">
        <f t="shared" si="13"/>
        <v>6.5179999999999989</v>
      </c>
      <c r="CK64" s="1">
        <v>3.76</v>
      </c>
      <c r="CL64" s="1">
        <v>3.01</v>
      </c>
      <c r="CM64" s="1">
        <v>3.66</v>
      </c>
      <c r="CN64" s="1">
        <v>3.61</v>
      </c>
      <c r="CO64" s="1">
        <v>3.69</v>
      </c>
      <c r="CP64" s="1">
        <f t="shared" si="14"/>
        <v>3.5460000000000003</v>
      </c>
      <c r="CQ64" s="1">
        <v>3.08</v>
      </c>
      <c r="CR64" s="1">
        <v>2.82</v>
      </c>
      <c r="CS64" s="1">
        <v>2.8</v>
      </c>
      <c r="CT64" s="1">
        <v>3.1</v>
      </c>
      <c r="CU64" s="1">
        <v>3.37</v>
      </c>
      <c r="CV64" s="1">
        <f t="shared" si="15"/>
        <v>3.0339999999999998</v>
      </c>
      <c r="CW64" s="1">
        <v>33.200000000000003</v>
      </c>
      <c r="CX64" s="1">
        <v>12</v>
      </c>
      <c r="CY64" s="1">
        <v>0.51</v>
      </c>
      <c r="CZ64" s="1">
        <f t="shared" si="16"/>
        <v>1.1333333333333333</v>
      </c>
      <c r="DA64" s="1">
        <f t="shared" si="23"/>
        <v>0.88</v>
      </c>
      <c r="DB64" s="1">
        <f t="shared" si="24"/>
        <v>1.1529865125240848</v>
      </c>
    </row>
    <row r="65" spans="1:106" ht="16" thickBot="1" x14ac:dyDescent="0.4">
      <c r="A65" s="1">
        <v>181</v>
      </c>
      <c r="B65" s="7" t="s">
        <v>188</v>
      </c>
      <c r="C65" s="11" t="s">
        <v>66</v>
      </c>
      <c r="D65" s="10" t="s">
        <v>117</v>
      </c>
      <c r="E65" s="3">
        <v>45292</v>
      </c>
      <c r="F65" s="3">
        <f t="shared" si="17"/>
        <v>45274</v>
      </c>
      <c r="G65" s="1">
        <f t="shared" si="4"/>
        <v>18</v>
      </c>
      <c r="H65" s="1">
        <f t="shared" si="21"/>
        <v>102</v>
      </c>
      <c r="I65" s="1">
        <v>7</v>
      </c>
      <c r="J65" s="3">
        <v>45376</v>
      </c>
      <c r="K65" s="3">
        <v>45383</v>
      </c>
      <c r="L65" s="15">
        <f t="shared" si="5"/>
        <v>109</v>
      </c>
      <c r="M65" s="13">
        <f t="shared" si="22"/>
        <v>141</v>
      </c>
      <c r="N65" s="3">
        <v>45415</v>
      </c>
      <c r="O65" s="1">
        <v>104.2</v>
      </c>
      <c r="P65" s="1">
        <v>100</v>
      </c>
      <c r="Q65" s="1">
        <v>107.4</v>
      </c>
      <c r="R65" s="1">
        <v>100</v>
      </c>
      <c r="S65" s="1">
        <v>90</v>
      </c>
      <c r="T65" s="1">
        <f t="shared" ref="T65:T77" si="25">AVERAGE(O65:S65)</f>
        <v>100.32000000000001</v>
      </c>
      <c r="U65" s="1">
        <v>20.5</v>
      </c>
      <c r="V65" s="1">
        <v>22</v>
      </c>
      <c r="W65" s="1">
        <v>14.5</v>
      </c>
      <c r="X65" s="1">
        <v>14</v>
      </c>
      <c r="Y65" s="1">
        <v>9</v>
      </c>
      <c r="Z65" s="1">
        <f t="shared" ref="Z65:Z77" si="26">AVERAGE(U65:Y65)</f>
        <v>16</v>
      </c>
      <c r="AA65" s="1">
        <v>5</v>
      </c>
      <c r="AB65" s="1">
        <v>8</v>
      </c>
      <c r="AC65" s="1">
        <v>6</v>
      </c>
      <c r="AD65" s="1">
        <v>6.5</v>
      </c>
      <c r="AE65" s="1">
        <v>6</v>
      </c>
      <c r="AF65" s="1">
        <f t="shared" ref="AF65:AF77" si="27">AVERAGE(AA65:AE65)</f>
        <v>6.3</v>
      </c>
      <c r="AG65" s="1">
        <v>5.5</v>
      </c>
      <c r="AH65" s="1">
        <v>5</v>
      </c>
      <c r="AI65" s="1">
        <v>4.5</v>
      </c>
      <c r="AJ65" s="1">
        <v>4.5</v>
      </c>
      <c r="AK65" s="1">
        <v>4</v>
      </c>
      <c r="AL65" s="1">
        <f t="shared" ref="AL65:AL77" si="28">AVERAGE(AG65:AK65)</f>
        <v>4.7</v>
      </c>
      <c r="AM65" s="1">
        <v>7</v>
      </c>
      <c r="AN65" s="1">
        <v>14.5</v>
      </c>
      <c r="AO65" s="1">
        <v>15</v>
      </c>
      <c r="AP65" s="1">
        <v>13.9</v>
      </c>
      <c r="AQ65" s="1">
        <v>12.9</v>
      </c>
      <c r="AR65" s="1">
        <v>13</v>
      </c>
      <c r="AS65" s="1">
        <f t="shared" ref="AS65:AS77" si="29">AVERAGE(AN65:AR65)</f>
        <v>13.86</v>
      </c>
      <c r="AT65" s="1">
        <v>1.5</v>
      </c>
      <c r="AU65" s="1">
        <v>1.3</v>
      </c>
      <c r="AV65" s="1">
        <v>1.9</v>
      </c>
      <c r="AW65" s="1">
        <v>1.8</v>
      </c>
      <c r="AX65" s="1">
        <v>1.4</v>
      </c>
      <c r="AY65" s="1">
        <f t="shared" ref="AY65:AY77" si="30">AVERAGE(AT65:AX65)</f>
        <v>1.5799999999999996</v>
      </c>
      <c r="AZ65" s="1">
        <v>7</v>
      </c>
      <c r="BA65" s="1">
        <v>3</v>
      </c>
      <c r="BB65" s="1">
        <v>4</v>
      </c>
      <c r="BC65" s="1">
        <v>5</v>
      </c>
      <c r="BD65" s="1">
        <v>7</v>
      </c>
      <c r="BE65" s="1">
        <v>13</v>
      </c>
      <c r="BF65" s="1">
        <v>7</v>
      </c>
      <c r="BG65" s="1">
        <f t="shared" ref="BG65:BG77" si="31">AVERAGE(BB65:BF65)</f>
        <v>7.2</v>
      </c>
      <c r="BH65" s="1">
        <v>5</v>
      </c>
      <c r="BI65" s="1">
        <v>7</v>
      </c>
      <c r="BJ65" s="1">
        <v>9</v>
      </c>
      <c r="BK65" s="1">
        <v>9</v>
      </c>
      <c r="BL65" s="1">
        <v>11</v>
      </c>
      <c r="BM65" s="1">
        <v>9</v>
      </c>
      <c r="BN65" s="1">
        <f t="shared" ref="BN65:BN77" si="32">AVERAGE(BI65:BM65)</f>
        <v>9</v>
      </c>
      <c r="BO65" s="1">
        <v>1</v>
      </c>
      <c r="BP65" s="1">
        <v>0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f t="shared" ref="BV65:BV77" si="33">AVERAGE(BQ65:BU65)</f>
        <v>2</v>
      </c>
      <c r="BW65" s="1">
        <v>40</v>
      </c>
      <c r="BX65" s="1">
        <v>37</v>
      </c>
      <c r="BY65" s="1">
        <v>30</v>
      </c>
      <c r="BZ65" s="1">
        <v>27</v>
      </c>
      <c r="CA65" s="1">
        <v>30</v>
      </c>
      <c r="CB65" s="1">
        <f t="shared" ref="CB65:CB77" si="34">AVERAGE(BW65:CA65)</f>
        <v>32.799999999999997</v>
      </c>
      <c r="CC65" s="1">
        <v>2</v>
      </c>
      <c r="CD65" s="1">
        <v>3</v>
      </c>
      <c r="CE65" s="1">
        <v>5.31</v>
      </c>
      <c r="CF65" s="1">
        <v>5.93</v>
      </c>
      <c r="CG65" s="1">
        <v>5.63</v>
      </c>
      <c r="CH65" s="1">
        <v>6</v>
      </c>
      <c r="CI65" s="1">
        <v>5.51</v>
      </c>
      <c r="CJ65" s="1">
        <f t="shared" ref="CJ65:CJ77" si="35">AVERAGE(CE65:CI65)</f>
        <v>5.6759999999999993</v>
      </c>
      <c r="CK65" s="1">
        <v>2.36</v>
      </c>
      <c r="CL65" s="1">
        <v>3.32</v>
      </c>
      <c r="CM65" s="1">
        <v>3.21</v>
      </c>
      <c r="CN65" s="1">
        <v>3.13</v>
      </c>
      <c r="CO65" s="1">
        <v>3.13</v>
      </c>
      <c r="CP65" s="1">
        <f t="shared" ref="CP65:CP77" si="36">AVERAGE(CK65:CO65)</f>
        <v>3.03</v>
      </c>
      <c r="CQ65" s="1">
        <v>1.8</v>
      </c>
      <c r="CR65" s="1">
        <v>3.13</v>
      </c>
      <c r="CS65" s="1">
        <v>3.02</v>
      </c>
      <c r="CT65" s="1">
        <v>2.69</v>
      </c>
      <c r="CU65" s="1">
        <v>2.92</v>
      </c>
      <c r="CV65" s="1">
        <f t="shared" ref="CV65:CV77" si="37">AVERAGE(CQ65:CU65)</f>
        <v>2.7119999999999997</v>
      </c>
      <c r="CW65" s="1">
        <v>31.3</v>
      </c>
      <c r="CX65" s="1">
        <v>10</v>
      </c>
      <c r="CY65" s="1">
        <v>0.4</v>
      </c>
      <c r="CZ65" s="1">
        <f t="shared" ref="CZ65:CZ77" si="38">(CY65/4.5)*10</f>
        <v>0.88888888888888895</v>
      </c>
      <c r="DA65" s="1">
        <f t="shared" si="23"/>
        <v>0.9</v>
      </c>
      <c r="DB65" s="1">
        <f t="shared" si="24"/>
        <v>0.92485549132947986</v>
      </c>
    </row>
    <row r="66" spans="1:106" ht="16" thickBot="1" x14ac:dyDescent="0.4">
      <c r="A66" s="1">
        <v>182</v>
      </c>
      <c r="B66" s="7" t="s">
        <v>189</v>
      </c>
      <c r="C66" s="11" t="s">
        <v>57</v>
      </c>
      <c r="D66" s="10"/>
      <c r="E66" s="3">
        <v>45292</v>
      </c>
      <c r="F66" s="3">
        <f t="shared" si="17"/>
        <v>45274</v>
      </c>
      <c r="G66" s="1">
        <f t="shared" si="4"/>
        <v>18</v>
      </c>
      <c r="H66" s="1">
        <f t="shared" si="21"/>
        <v>102</v>
      </c>
      <c r="I66" s="1">
        <v>7</v>
      </c>
      <c r="J66" s="3">
        <v>45376</v>
      </c>
      <c r="K66" s="3">
        <v>45382</v>
      </c>
      <c r="L66" s="15">
        <f t="shared" si="5"/>
        <v>108</v>
      </c>
      <c r="M66" s="13">
        <f t="shared" si="22"/>
        <v>145</v>
      </c>
      <c r="N66" s="3">
        <v>45419</v>
      </c>
      <c r="O66" s="1">
        <v>103.5</v>
      </c>
      <c r="P66" s="1">
        <v>101.5</v>
      </c>
      <c r="Q66" s="1">
        <v>107.5</v>
      </c>
      <c r="R66" s="1">
        <v>101.9</v>
      </c>
      <c r="S66" s="1">
        <v>106.7</v>
      </c>
      <c r="T66" s="1">
        <f t="shared" si="25"/>
        <v>104.22</v>
      </c>
      <c r="U66" s="1">
        <v>22</v>
      </c>
      <c r="V66" s="1">
        <v>22.5</v>
      </c>
      <c r="W66" s="1">
        <v>20</v>
      </c>
      <c r="X66" s="1">
        <v>19.5</v>
      </c>
      <c r="Y66" s="1">
        <v>18.5</v>
      </c>
      <c r="Z66" s="1">
        <f t="shared" si="26"/>
        <v>20.5</v>
      </c>
      <c r="AA66" s="1">
        <v>9</v>
      </c>
      <c r="AB66" s="1">
        <v>7</v>
      </c>
      <c r="AC66" s="1">
        <v>9</v>
      </c>
      <c r="AD66" s="1">
        <v>10</v>
      </c>
      <c r="AE66" s="1">
        <v>7</v>
      </c>
      <c r="AF66" s="1">
        <f t="shared" si="27"/>
        <v>8.4</v>
      </c>
      <c r="AG66" s="1">
        <v>0.4</v>
      </c>
      <c r="AH66" s="1">
        <v>1.5</v>
      </c>
      <c r="AI66" s="1">
        <v>0.3</v>
      </c>
      <c r="AJ66" s="1">
        <v>0.3</v>
      </c>
      <c r="AK66" s="1">
        <v>0.2</v>
      </c>
      <c r="AL66" s="1">
        <f t="shared" si="28"/>
        <v>0.53999999999999992</v>
      </c>
      <c r="AM66" s="1">
        <v>3</v>
      </c>
      <c r="AN66" s="1">
        <v>13.8</v>
      </c>
      <c r="AO66" s="1">
        <v>14.6</v>
      </c>
      <c r="AP66" s="1">
        <v>11.5</v>
      </c>
      <c r="AQ66" s="1">
        <v>10.5</v>
      </c>
      <c r="AR66" s="1">
        <v>11.8</v>
      </c>
      <c r="AS66" s="1">
        <f t="shared" si="29"/>
        <v>12.440000000000001</v>
      </c>
      <c r="AT66" s="1">
        <v>1</v>
      </c>
      <c r="AU66" s="1">
        <v>1.2</v>
      </c>
      <c r="AV66" s="1">
        <v>1</v>
      </c>
      <c r="AW66" s="1">
        <v>1</v>
      </c>
      <c r="AX66" s="1">
        <v>1.1000000000000001</v>
      </c>
      <c r="AY66" s="1">
        <f t="shared" si="30"/>
        <v>1.06</v>
      </c>
      <c r="AZ66" s="1">
        <v>5</v>
      </c>
      <c r="BA66" s="1">
        <v>3</v>
      </c>
      <c r="BB66" s="1">
        <v>19</v>
      </c>
      <c r="BC66" s="1">
        <v>18</v>
      </c>
      <c r="BD66" s="1">
        <v>8</v>
      </c>
      <c r="BE66" s="1">
        <v>7</v>
      </c>
      <c r="BF66" s="1">
        <v>15</v>
      </c>
      <c r="BG66" s="1">
        <f t="shared" si="31"/>
        <v>13.4</v>
      </c>
      <c r="BH66" s="1">
        <v>5</v>
      </c>
      <c r="BI66" s="1">
        <v>8</v>
      </c>
      <c r="BJ66" s="1">
        <v>8</v>
      </c>
      <c r="BK66" s="1">
        <v>7</v>
      </c>
      <c r="BL66" s="1">
        <v>7</v>
      </c>
      <c r="BM66" s="1">
        <v>7</v>
      </c>
      <c r="BN66" s="1">
        <f t="shared" si="32"/>
        <v>7.4</v>
      </c>
      <c r="BO66" s="1">
        <v>2</v>
      </c>
      <c r="BP66" s="1">
        <v>0</v>
      </c>
      <c r="BQ66" s="1">
        <v>2</v>
      </c>
      <c r="BR66" s="1">
        <v>2</v>
      </c>
      <c r="BS66" s="1">
        <v>3</v>
      </c>
      <c r="BT66" s="1">
        <v>2</v>
      </c>
      <c r="BU66" s="1">
        <v>3</v>
      </c>
      <c r="BV66" s="1">
        <f t="shared" si="33"/>
        <v>2.4</v>
      </c>
      <c r="BW66" s="1">
        <v>40</v>
      </c>
      <c r="BX66" s="1">
        <v>25</v>
      </c>
      <c r="BY66" s="1">
        <v>39</v>
      </c>
      <c r="BZ66" s="1">
        <v>41</v>
      </c>
      <c r="CA66" s="1">
        <v>36</v>
      </c>
      <c r="CB66" s="1">
        <f t="shared" si="34"/>
        <v>36.200000000000003</v>
      </c>
      <c r="CC66" s="1">
        <v>2</v>
      </c>
      <c r="CD66" s="1">
        <v>3</v>
      </c>
      <c r="CE66" s="1">
        <v>6.19</v>
      </c>
      <c r="CF66" s="1">
        <v>5.34</v>
      </c>
      <c r="CG66" s="1">
        <v>5.28</v>
      </c>
      <c r="CH66" s="1">
        <v>4.78</v>
      </c>
      <c r="CI66" s="1">
        <v>5.89</v>
      </c>
      <c r="CJ66" s="1">
        <f t="shared" si="35"/>
        <v>5.4960000000000004</v>
      </c>
      <c r="CK66" s="1">
        <v>3.1</v>
      </c>
      <c r="CL66" s="1">
        <v>3.16</v>
      </c>
      <c r="CM66" s="1">
        <v>3.3</v>
      </c>
      <c r="CN66" s="1">
        <v>3.35</v>
      </c>
      <c r="CO66" s="1">
        <v>3.27</v>
      </c>
      <c r="CP66" s="1">
        <f t="shared" si="36"/>
        <v>3.2359999999999998</v>
      </c>
      <c r="CQ66" s="1">
        <v>2.2200000000000002</v>
      </c>
      <c r="CR66" s="1">
        <v>2.2999999999999998</v>
      </c>
      <c r="CS66" s="1">
        <v>2.14</v>
      </c>
      <c r="CT66" s="1">
        <v>2.2000000000000002</v>
      </c>
      <c r="CU66" s="1">
        <v>2.2599999999999998</v>
      </c>
      <c r="CV66" s="1">
        <f t="shared" si="37"/>
        <v>2.2239999999999998</v>
      </c>
      <c r="CW66" s="1">
        <v>24.8</v>
      </c>
      <c r="CX66" s="1">
        <v>9.9</v>
      </c>
      <c r="CY66" s="1">
        <v>0.63</v>
      </c>
      <c r="CZ66" s="1">
        <f t="shared" si="38"/>
        <v>1.4000000000000001</v>
      </c>
      <c r="DA66" s="1">
        <f t="shared" si="23"/>
        <v>0.90099999999999991</v>
      </c>
      <c r="DB66" s="1">
        <f t="shared" si="24"/>
        <v>1.4582658959537573</v>
      </c>
    </row>
    <row r="67" spans="1:106" ht="16" thickBot="1" x14ac:dyDescent="0.4">
      <c r="A67" s="1">
        <v>183</v>
      </c>
      <c r="B67" s="7" t="s">
        <v>190</v>
      </c>
      <c r="C67" s="11" t="s">
        <v>67</v>
      </c>
      <c r="D67" s="10" t="s">
        <v>80</v>
      </c>
      <c r="E67" s="3">
        <v>45292</v>
      </c>
      <c r="F67" s="3">
        <f t="shared" si="17"/>
        <v>45274</v>
      </c>
      <c r="G67" s="1">
        <f t="shared" si="4"/>
        <v>18</v>
      </c>
      <c r="H67" s="1">
        <f t="shared" ref="H67:H98" si="39">J67-F67</f>
        <v>106</v>
      </c>
      <c r="I67" s="1">
        <v>5</v>
      </c>
      <c r="J67" s="3">
        <v>45380</v>
      </c>
      <c r="K67" s="3">
        <v>45386</v>
      </c>
      <c r="L67" s="15">
        <f t="shared" si="5"/>
        <v>112</v>
      </c>
      <c r="M67" s="13">
        <f t="shared" ref="M67:M98" si="40">N67-F67</f>
        <v>143</v>
      </c>
      <c r="N67" s="3">
        <v>45417</v>
      </c>
      <c r="O67" s="1">
        <v>98</v>
      </c>
      <c r="P67" s="1">
        <v>92</v>
      </c>
      <c r="Q67" s="1">
        <v>96</v>
      </c>
      <c r="R67" s="1">
        <v>106.3</v>
      </c>
      <c r="S67" s="1">
        <v>104.3</v>
      </c>
      <c r="T67" s="1">
        <f t="shared" si="25"/>
        <v>99.320000000000007</v>
      </c>
      <c r="U67" s="1">
        <v>8</v>
      </c>
      <c r="V67" s="1">
        <v>13</v>
      </c>
      <c r="W67" s="1">
        <v>19</v>
      </c>
      <c r="X67" s="1">
        <v>18</v>
      </c>
      <c r="Y67" s="1">
        <v>16</v>
      </c>
      <c r="Z67" s="1">
        <f t="shared" si="26"/>
        <v>14.8</v>
      </c>
      <c r="AA67" s="1">
        <v>8</v>
      </c>
      <c r="AB67" s="1">
        <v>9</v>
      </c>
      <c r="AC67" s="1">
        <v>9</v>
      </c>
      <c r="AD67" s="1">
        <v>9.5</v>
      </c>
      <c r="AE67" s="1">
        <v>8.5</v>
      </c>
      <c r="AF67" s="1">
        <f t="shared" si="27"/>
        <v>8.8000000000000007</v>
      </c>
      <c r="AL67" s="1" t="s">
        <v>43</v>
      </c>
      <c r="AM67" s="1">
        <v>0</v>
      </c>
      <c r="AN67" s="1">
        <v>12.1</v>
      </c>
      <c r="AO67" s="1">
        <v>10.199999999999999</v>
      </c>
      <c r="AP67" s="1">
        <v>12.6</v>
      </c>
      <c r="AQ67" s="1">
        <v>9.4</v>
      </c>
      <c r="AR67" s="1">
        <v>10.5</v>
      </c>
      <c r="AS67" s="1">
        <f t="shared" si="29"/>
        <v>10.959999999999999</v>
      </c>
      <c r="AT67" s="1">
        <v>1.4</v>
      </c>
      <c r="AU67" s="1">
        <v>1.1000000000000001</v>
      </c>
      <c r="AV67" s="1">
        <v>1.4</v>
      </c>
      <c r="AW67" s="1">
        <v>1.1000000000000001</v>
      </c>
      <c r="AX67" s="1">
        <v>1.3</v>
      </c>
      <c r="AY67" s="1">
        <f t="shared" si="30"/>
        <v>1.26</v>
      </c>
      <c r="AZ67" s="1">
        <v>5</v>
      </c>
      <c r="BA67" s="1">
        <v>3</v>
      </c>
      <c r="BB67" s="1">
        <v>17</v>
      </c>
      <c r="BC67" s="1">
        <v>8</v>
      </c>
      <c r="BD67" s="1">
        <v>7</v>
      </c>
      <c r="BE67" s="1">
        <v>38</v>
      </c>
      <c r="BF67" s="1">
        <v>12</v>
      </c>
      <c r="BG67" s="1">
        <f t="shared" si="31"/>
        <v>16.399999999999999</v>
      </c>
      <c r="BH67" s="1">
        <v>5</v>
      </c>
      <c r="BI67" s="1">
        <v>7</v>
      </c>
      <c r="BJ67" s="1">
        <v>8</v>
      </c>
      <c r="BK67" s="1">
        <v>9</v>
      </c>
      <c r="BL67" s="1">
        <v>8</v>
      </c>
      <c r="BM67" s="1">
        <v>8</v>
      </c>
      <c r="BN67" s="1">
        <f t="shared" si="32"/>
        <v>8</v>
      </c>
      <c r="BO67" s="1">
        <v>3</v>
      </c>
      <c r="BP67" s="1">
        <v>0</v>
      </c>
      <c r="BQ67" s="1">
        <v>2</v>
      </c>
      <c r="BR67" s="1">
        <v>2</v>
      </c>
      <c r="BS67" s="1">
        <v>2</v>
      </c>
      <c r="BT67" s="1">
        <v>2</v>
      </c>
      <c r="BU67" s="1">
        <v>3</v>
      </c>
      <c r="BV67" s="1">
        <f t="shared" si="33"/>
        <v>2.2000000000000002</v>
      </c>
      <c r="BW67" s="1">
        <v>38</v>
      </c>
      <c r="BX67" s="1">
        <v>43</v>
      </c>
      <c r="BY67" s="1">
        <v>28</v>
      </c>
      <c r="BZ67" s="1">
        <v>28</v>
      </c>
      <c r="CA67" s="1">
        <v>54</v>
      </c>
      <c r="CB67" s="1">
        <f t="shared" si="34"/>
        <v>38.200000000000003</v>
      </c>
      <c r="CC67" s="1">
        <v>2</v>
      </c>
      <c r="CD67" s="1">
        <v>3</v>
      </c>
      <c r="CE67" s="1">
        <v>6.88</v>
      </c>
      <c r="CF67" s="1">
        <v>7.5</v>
      </c>
      <c r="CG67" s="1">
        <v>5.88</v>
      </c>
      <c r="CH67" s="1">
        <v>6.84</v>
      </c>
      <c r="CI67" s="1">
        <v>6.58</v>
      </c>
      <c r="CJ67" s="1">
        <f t="shared" si="35"/>
        <v>6.7359999999999998</v>
      </c>
      <c r="CK67" s="1">
        <v>3.33</v>
      </c>
      <c r="CL67" s="1">
        <v>3.61</v>
      </c>
      <c r="CM67" s="1">
        <v>3.3</v>
      </c>
      <c r="CN67" s="1">
        <v>3.35</v>
      </c>
      <c r="CO67" s="1">
        <v>3.27</v>
      </c>
      <c r="CP67" s="1">
        <f t="shared" si="36"/>
        <v>3.3719999999999999</v>
      </c>
      <c r="CQ67" s="1">
        <v>2.5299999999999998</v>
      </c>
      <c r="CR67" s="1">
        <v>2.87</v>
      </c>
      <c r="CS67" s="1">
        <v>2.56</v>
      </c>
      <c r="CT67" s="1">
        <v>2.6</v>
      </c>
      <c r="CU67" s="1">
        <v>2.46</v>
      </c>
      <c r="CV67" s="1">
        <f t="shared" si="37"/>
        <v>2.6040000000000001</v>
      </c>
      <c r="CW67" s="1">
        <v>42.4</v>
      </c>
      <c r="CX67" s="1">
        <v>10.1</v>
      </c>
      <c r="CY67" s="1">
        <v>0.495</v>
      </c>
      <c r="CZ67" s="1">
        <f t="shared" si="38"/>
        <v>1.1000000000000001</v>
      </c>
      <c r="DA67" s="1">
        <f t="shared" ref="DA67:DA98" si="41">(100-CX67)/100</f>
        <v>0.89900000000000002</v>
      </c>
      <c r="DB67" s="1">
        <f t="shared" ref="DB67:DB98" si="42">(CZ67*DA67)/0.865</f>
        <v>1.1432369942196534</v>
      </c>
    </row>
    <row r="68" spans="1:106" ht="16" thickBot="1" x14ac:dyDescent="0.4">
      <c r="A68" s="1">
        <v>184</v>
      </c>
      <c r="B68" s="7" t="s">
        <v>191</v>
      </c>
      <c r="C68" s="11" t="s">
        <v>68</v>
      </c>
      <c r="D68" s="10" t="s">
        <v>114</v>
      </c>
      <c r="E68" s="3">
        <v>45293</v>
      </c>
      <c r="F68" s="3">
        <f t="shared" si="17"/>
        <v>45274</v>
      </c>
      <c r="G68" s="1">
        <f t="shared" ref="G68:G119" si="43">E68-F68</f>
        <v>19</v>
      </c>
      <c r="H68" s="1">
        <f t="shared" si="39"/>
        <v>108</v>
      </c>
      <c r="I68" s="1">
        <v>3</v>
      </c>
      <c r="J68" s="3">
        <v>45382</v>
      </c>
      <c r="K68" s="3">
        <v>45387</v>
      </c>
      <c r="L68" s="15">
        <f t="shared" ref="L68:L119" si="44">K68-F68</f>
        <v>113</v>
      </c>
      <c r="M68" s="13">
        <f t="shared" si="40"/>
        <v>146</v>
      </c>
      <c r="N68" s="3">
        <v>45420</v>
      </c>
      <c r="O68" s="1">
        <v>91</v>
      </c>
      <c r="P68" s="1">
        <v>88</v>
      </c>
      <c r="Q68" s="1">
        <v>77</v>
      </c>
      <c r="R68" s="1">
        <v>106.2</v>
      </c>
      <c r="S68" s="1">
        <v>87</v>
      </c>
      <c r="T68" s="1">
        <f t="shared" si="25"/>
        <v>89.84</v>
      </c>
      <c r="U68" s="1">
        <v>9</v>
      </c>
      <c r="V68" s="1">
        <v>7</v>
      </c>
      <c r="W68" s="1">
        <v>11</v>
      </c>
      <c r="X68" s="1">
        <v>17</v>
      </c>
      <c r="Y68" s="1">
        <v>9</v>
      </c>
      <c r="Z68" s="1">
        <f t="shared" si="26"/>
        <v>10.6</v>
      </c>
      <c r="AA68" s="1">
        <v>13.5</v>
      </c>
      <c r="AB68" s="1">
        <v>13</v>
      </c>
      <c r="AC68" s="1">
        <v>12</v>
      </c>
      <c r="AD68" s="1">
        <v>11</v>
      </c>
      <c r="AE68" s="1">
        <v>12</v>
      </c>
      <c r="AF68" s="1">
        <f t="shared" si="27"/>
        <v>12.3</v>
      </c>
      <c r="AG68" s="1">
        <v>4.5</v>
      </c>
      <c r="AH68" s="1">
        <v>5</v>
      </c>
      <c r="AI68" s="1">
        <v>4.5</v>
      </c>
      <c r="AJ68" s="1">
        <v>4.5</v>
      </c>
      <c r="AK68" s="1">
        <v>5</v>
      </c>
      <c r="AL68" s="1">
        <f t="shared" si="28"/>
        <v>4.7</v>
      </c>
      <c r="AM68" s="1">
        <v>7</v>
      </c>
      <c r="AN68" s="1">
        <v>11.2</v>
      </c>
      <c r="AO68" s="1">
        <v>12.4</v>
      </c>
      <c r="AP68" s="1">
        <v>12.8</v>
      </c>
      <c r="AQ68" s="1">
        <v>12</v>
      </c>
      <c r="AR68" s="1">
        <v>12.4</v>
      </c>
      <c r="AS68" s="1">
        <f t="shared" si="29"/>
        <v>12.16</v>
      </c>
      <c r="AT68" s="1">
        <v>0.9</v>
      </c>
      <c r="AU68" s="1">
        <v>1.3</v>
      </c>
      <c r="AV68" s="1">
        <v>1.5</v>
      </c>
      <c r="AW68" s="1">
        <v>1.5</v>
      </c>
      <c r="AX68" s="1">
        <v>1.5</v>
      </c>
      <c r="AY68" s="1">
        <f t="shared" si="30"/>
        <v>1.34</v>
      </c>
      <c r="AZ68" s="1">
        <v>5</v>
      </c>
      <c r="BA68" s="1">
        <v>3</v>
      </c>
      <c r="BB68" s="1">
        <v>9</v>
      </c>
      <c r="BC68" s="1">
        <v>4</v>
      </c>
      <c r="BD68" s="1">
        <v>7</v>
      </c>
      <c r="BE68" s="1">
        <v>6</v>
      </c>
      <c r="BF68" s="1">
        <v>7</v>
      </c>
      <c r="BG68" s="1">
        <f t="shared" si="31"/>
        <v>6.6</v>
      </c>
      <c r="BH68" s="1">
        <v>5</v>
      </c>
      <c r="BI68" s="1">
        <v>11</v>
      </c>
      <c r="BJ68" s="1">
        <v>11</v>
      </c>
      <c r="BK68" s="1">
        <v>9</v>
      </c>
      <c r="BL68" s="1">
        <v>9</v>
      </c>
      <c r="BM68" s="1">
        <v>8</v>
      </c>
      <c r="BN68" s="1">
        <f t="shared" si="32"/>
        <v>9.6</v>
      </c>
      <c r="BO68" s="1">
        <v>2</v>
      </c>
      <c r="BP68" s="1">
        <v>0</v>
      </c>
      <c r="BQ68" s="1">
        <v>4</v>
      </c>
      <c r="BR68" s="1">
        <v>4</v>
      </c>
      <c r="BS68" s="1">
        <v>3</v>
      </c>
      <c r="BT68" s="1">
        <v>3</v>
      </c>
      <c r="BU68" s="1">
        <v>3</v>
      </c>
      <c r="BV68" s="1">
        <f t="shared" si="33"/>
        <v>3.4</v>
      </c>
      <c r="BW68" s="1">
        <v>48</v>
      </c>
      <c r="BX68" s="1">
        <v>54</v>
      </c>
      <c r="BY68" s="1">
        <v>47</v>
      </c>
      <c r="BZ68" s="1">
        <v>39</v>
      </c>
      <c r="CA68" s="1">
        <v>54</v>
      </c>
      <c r="CB68" s="1">
        <f t="shared" si="34"/>
        <v>48.4</v>
      </c>
      <c r="CC68" s="1">
        <v>1</v>
      </c>
      <c r="CD68" s="1">
        <v>5</v>
      </c>
      <c r="CE68" s="1">
        <v>5.78</v>
      </c>
      <c r="CF68" s="1">
        <v>5.57</v>
      </c>
      <c r="CG68" s="1">
        <v>6.22</v>
      </c>
      <c r="CH68" s="1">
        <v>5.88</v>
      </c>
      <c r="CI68" s="1">
        <v>5.83</v>
      </c>
      <c r="CJ68" s="1">
        <f t="shared" si="35"/>
        <v>5.8559999999999999</v>
      </c>
      <c r="CK68" s="1">
        <v>3.16</v>
      </c>
      <c r="CL68" s="1">
        <v>2.86</v>
      </c>
      <c r="CM68" s="1">
        <v>2.76</v>
      </c>
      <c r="CN68" s="1">
        <v>2.81</v>
      </c>
      <c r="CO68" s="1">
        <v>3.63</v>
      </c>
      <c r="CP68" s="1">
        <f t="shared" si="36"/>
        <v>3.0439999999999996</v>
      </c>
      <c r="CQ68" s="1">
        <v>2.31</v>
      </c>
      <c r="CR68" s="1">
        <v>2.08</v>
      </c>
      <c r="CS68" s="1">
        <v>2.13</v>
      </c>
      <c r="CT68" s="1">
        <v>2.11</v>
      </c>
      <c r="CU68" s="1">
        <v>2.77</v>
      </c>
      <c r="CV68" s="1">
        <f t="shared" si="37"/>
        <v>2.2800000000000002</v>
      </c>
      <c r="CW68" s="1">
        <v>25.5</v>
      </c>
      <c r="CX68" s="1">
        <v>10.5</v>
      </c>
      <c r="CY68" s="1">
        <v>0.45</v>
      </c>
      <c r="CZ68" s="1">
        <f t="shared" si="38"/>
        <v>1</v>
      </c>
      <c r="DA68" s="1">
        <f t="shared" si="41"/>
        <v>0.89500000000000002</v>
      </c>
      <c r="DB68" s="1">
        <f t="shared" si="42"/>
        <v>1.0346820809248556</v>
      </c>
    </row>
    <row r="69" spans="1:106" ht="16" thickBot="1" x14ac:dyDescent="0.4">
      <c r="A69" s="1">
        <v>185</v>
      </c>
      <c r="B69" s="7" t="s">
        <v>192</v>
      </c>
      <c r="C69" s="11" t="s">
        <v>70</v>
      </c>
      <c r="D69" s="10" t="s">
        <v>115</v>
      </c>
      <c r="E69" s="3">
        <v>45293</v>
      </c>
      <c r="F69" s="3">
        <f t="shared" ref="F69:F119" si="45">F68</f>
        <v>45274</v>
      </c>
      <c r="G69" s="1">
        <f t="shared" si="43"/>
        <v>19</v>
      </c>
      <c r="H69" s="1">
        <f t="shared" si="39"/>
        <v>103</v>
      </c>
      <c r="I69" s="1">
        <v>7</v>
      </c>
      <c r="J69" s="3">
        <v>45377</v>
      </c>
      <c r="K69" s="3">
        <v>45383</v>
      </c>
      <c r="L69" s="15">
        <f t="shared" si="44"/>
        <v>109</v>
      </c>
      <c r="M69" s="13">
        <f t="shared" si="40"/>
        <v>143</v>
      </c>
      <c r="N69" s="3">
        <v>45417</v>
      </c>
      <c r="O69" s="1">
        <v>89</v>
      </c>
      <c r="P69" s="1">
        <v>84</v>
      </c>
      <c r="Q69" s="1">
        <v>98</v>
      </c>
      <c r="R69" s="1">
        <v>90</v>
      </c>
      <c r="S69" s="1">
        <v>81</v>
      </c>
      <c r="T69" s="1">
        <f t="shared" si="25"/>
        <v>88.4</v>
      </c>
      <c r="U69" s="1">
        <v>15</v>
      </c>
      <c r="V69" s="1">
        <v>6</v>
      </c>
      <c r="W69" s="1">
        <v>13</v>
      </c>
      <c r="X69" s="1">
        <v>15</v>
      </c>
      <c r="Y69" s="1">
        <v>4</v>
      </c>
      <c r="Z69" s="1">
        <f t="shared" si="26"/>
        <v>10.6</v>
      </c>
      <c r="AA69" s="1">
        <v>10.5</v>
      </c>
      <c r="AB69" s="1">
        <v>10</v>
      </c>
      <c r="AC69" s="1">
        <v>10</v>
      </c>
      <c r="AD69" s="1">
        <v>12</v>
      </c>
      <c r="AE69" s="1">
        <v>14</v>
      </c>
      <c r="AF69" s="1">
        <f t="shared" si="27"/>
        <v>11.3</v>
      </c>
      <c r="AG69" s="1">
        <v>6</v>
      </c>
      <c r="AH69" s="1">
        <v>5</v>
      </c>
      <c r="AI69" s="1">
        <v>6.3</v>
      </c>
      <c r="AJ69" s="1">
        <v>6.3</v>
      </c>
      <c r="AK69" s="1">
        <v>7.5</v>
      </c>
      <c r="AL69" s="1">
        <f t="shared" si="28"/>
        <v>6.2200000000000006</v>
      </c>
      <c r="AM69" s="1">
        <v>7</v>
      </c>
      <c r="AN69" s="1">
        <v>11.3</v>
      </c>
      <c r="AO69" s="1">
        <v>15.8</v>
      </c>
      <c r="AP69" s="1">
        <v>13.3</v>
      </c>
      <c r="AQ69" s="1">
        <v>12.4</v>
      </c>
      <c r="AR69" s="1">
        <v>10.6</v>
      </c>
      <c r="AS69" s="1">
        <f t="shared" si="29"/>
        <v>12.680000000000001</v>
      </c>
      <c r="AT69" s="1">
        <v>1.2</v>
      </c>
      <c r="AU69" s="1">
        <v>1.4</v>
      </c>
      <c r="AV69" s="1">
        <v>1.3</v>
      </c>
      <c r="AW69" s="1">
        <v>1.4</v>
      </c>
      <c r="AX69" s="1">
        <v>1</v>
      </c>
      <c r="AY69" s="1">
        <f t="shared" si="30"/>
        <v>1.2599999999999998</v>
      </c>
      <c r="AZ69" s="1">
        <v>7</v>
      </c>
      <c r="BA69" s="1">
        <v>3</v>
      </c>
      <c r="BB69" s="1">
        <v>5</v>
      </c>
      <c r="BC69" s="1">
        <v>9</v>
      </c>
      <c r="BD69" s="1">
        <v>8</v>
      </c>
      <c r="BE69" s="1">
        <v>2</v>
      </c>
      <c r="BF69" s="1">
        <v>8</v>
      </c>
      <c r="BG69" s="1">
        <f t="shared" si="31"/>
        <v>6.4</v>
      </c>
      <c r="BH69" s="1">
        <v>7</v>
      </c>
      <c r="BI69" s="1">
        <v>10</v>
      </c>
      <c r="BJ69" s="1">
        <v>8</v>
      </c>
      <c r="BK69" s="1">
        <v>8</v>
      </c>
      <c r="BL69" s="1">
        <v>9</v>
      </c>
      <c r="BM69" s="1">
        <v>10</v>
      </c>
      <c r="BN69" s="1">
        <f t="shared" si="32"/>
        <v>9</v>
      </c>
      <c r="BO69" s="1">
        <v>2</v>
      </c>
      <c r="BP69" s="1">
        <v>0</v>
      </c>
      <c r="BQ69" s="1">
        <v>2</v>
      </c>
      <c r="BR69" s="1">
        <v>3</v>
      </c>
      <c r="BS69" s="1">
        <v>3</v>
      </c>
      <c r="BT69" s="1">
        <v>3</v>
      </c>
      <c r="BU69" s="1">
        <v>3</v>
      </c>
      <c r="BV69" s="1">
        <f t="shared" si="33"/>
        <v>2.8</v>
      </c>
      <c r="BW69" s="1">
        <v>43</v>
      </c>
      <c r="BX69" s="1">
        <v>24</v>
      </c>
      <c r="BY69" s="1">
        <v>33</v>
      </c>
      <c r="BZ69" s="1">
        <v>39</v>
      </c>
      <c r="CA69" s="1">
        <v>26</v>
      </c>
      <c r="CB69" s="1">
        <f t="shared" si="34"/>
        <v>33</v>
      </c>
      <c r="CC69" s="1">
        <v>2</v>
      </c>
      <c r="CD69" s="1">
        <v>5</v>
      </c>
      <c r="CE69" s="1">
        <v>6.55</v>
      </c>
      <c r="CF69" s="1">
        <v>6.67</v>
      </c>
      <c r="CG69" s="1">
        <v>7.14</v>
      </c>
      <c r="CH69" s="1">
        <v>6.36</v>
      </c>
      <c r="CI69" s="1">
        <v>6.54</v>
      </c>
      <c r="CJ69" s="1">
        <f t="shared" si="35"/>
        <v>6.6519999999999992</v>
      </c>
      <c r="CK69" s="1">
        <v>3.8</v>
      </c>
      <c r="CL69" s="1">
        <v>2.74</v>
      </c>
      <c r="CM69" s="1">
        <v>3.09</v>
      </c>
      <c r="CN69" s="1">
        <v>3.46</v>
      </c>
      <c r="CO69" s="1">
        <v>3.64</v>
      </c>
      <c r="CP69" s="1">
        <f t="shared" si="36"/>
        <v>3.3460000000000001</v>
      </c>
      <c r="CQ69" s="1">
        <v>2.16</v>
      </c>
      <c r="CR69" s="1">
        <v>3.11</v>
      </c>
      <c r="CS69" s="1">
        <v>2.73</v>
      </c>
      <c r="CT69" s="1">
        <v>2.9</v>
      </c>
      <c r="CU69" s="1">
        <v>2.93</v>
      </c>
      <c r="CV69" s="1">
        <f t="shared" si="37"/>
        <v>2.766</v>
      </c>
      <c r="CW69" s="1">
        <v>48.8</v>
      </c>
      <c r="CX69" s="1">
        <v>10.4</v>
      </c>
      <c r="CY69" s="1">
        <v>0.78500000000000003</v>
      </c>
      <c r="CZ69" s="1">
        <f t="shared" si="38"/>
        <v>1.7444444444444445</v>
      </c>
      <c r="DA69" s="1">
        <f t="shared" si="41"/>
        <v>0.89599999999999991</v>
      </c>
      <c r="DB69" s="1">
        <f t="shared" si="42"/>
        <v>1.8069621066152857</v>
      </c>
    </row>
    <row r="70" spans="1:106" ht="16" thickBot="1" x14ac:dyDescent="0.4">
      <c r="A70" s="1">
        <v>186</v>
      </c>
      <c r="B70" s="7" t="s">
        <v>193</v>
      </c>
      <c r="C70" s="11" t="s">
        <v>64</v>
      </c>
      <c r="D70" s="10" t="s">
        <v>112</v>
      </c>
      <c r="E70" s="3">
        <v>45294</v>
      </c>
      <c r="F70" s="3">
        <f t="shared" si="45"/>
        <v>45274</v>
      </c>
      <c r="G70" s="1">
        <f t="shared" si="43"/>
        <v>20</v>
      </c>
      <c r="H70" s="1">
        <f t="shared" si="39"/>
        <v>108</v>
      </c>
      <c r="I70" s="1">
        <v>7</v>
      </c>
      <c r="J70" s="3">
        <v>45382</v>
      </c>
      <c r="K70" s="3">
        <v>45382</v>
      </c>
      <c r="L70" s="15">
        <f t="shared" si="44"/>
        <v>108</v>
      </c>
      <c r="M70" s="13">
        <f t="shared" si="40"/>
        <v>146</v>
      </c>
      <c r="N70" s="3">
        <v>45420</v>
      </c>
      <c r="O70" s="1">
        <v>107.5</v>
      </c>
      <c r="P70" s="1">
        <v>104.3</v>
      </c>
      <c r="Q70" s="1">
        <v>88</v>
      </c>
      <c r="R70" s="1">
        <v>79</v>
      </c>
      <c r="S70" s="1">
        <v>107.4</v>
      </c>
      <c r="T70" s="1">
        <f t="shared" si="25"/>
        <v>97.240000000000009</v>
      </c>
      <c r="U70" s="1">
        <v>21</v>
      </c>
      <c r="V70" s="1">
        <v>15.5</v>
      </c>
      <c r="W70" s="1">
        <v>13</v>
      </c>
      <c r="X70" s="1">
        <v>6</v>
      </c>
      <c r="Y70" s="1">
        <v>20.5</v>
      </c>
      <c r="Z70" s="1">
        <f t="shared" si="26"/>
        <v>15.2</v>
      </c>
      <c r="AA70" s="1">
        <v>8</v>
      </c>
      <c r="AB70" s="1">
        <v>8.5</v>
      </c>
      <c r="AC70" s="1">
        <v>8</v>
      </c>
      <c r="AD70" s="1">
        <v>9</v>
      </c>
      <c r="AE70" s="1">
        <v>9.5</v>
      </c>
      <c r="AF70" s="1">
        <f t="shared" si="27"/>
        <v>8.6</v>
      </c>
      <c r="AG70" s="1">
        <v>3.5</v>
      </c>
      <c r="AH70" s="1">
        <v>5.5</v>
      </c>
      <c r="AI70" s="1">
        <v>3.5</v>
      </c>
      <c r="AJ70" s="1">
        <v>3.5</v>
      </c>
      <c r="AK70" s="1">
        <v>0.4</v>
      </c>
      <c r="AL70" s="1">
        <f t="shared" si="28"/>
        <v>3.28</v>
      </c>
      <c r="AM70" s="1">
        <v>7</v>
      </c>
      <c r="AN70" s="1">
        <v>15.4</v>
      </c>
      <c r="AO70" s="1">
        <v>13</v>
      </c>
      <c r="AP70" s="1">
        <v>9.8000000000000007</v>
      </c>
      <c r="AQ70" s="1">
        <v>11.8</v>
      </c>
      <c r="AR70" s="1">
        <v>11.9</v>
      </c>
      <c r="AS70" s="1">
        <f t="shared" si="29"/>
        <v>12.379999999999999</v>
      </c>
      <c r="AT70" s="1">
        <v>1.3</v>
      </c>
      <c r="AU70" s="1">
        <v>1.7</v>
      </c>
      <c r="AV70" s="1">
        <v>0.9</v>
      </c>
      <c r="AW70" s="1">
        <v>1.1000000000000001</v>
      </c>
      <c r="AX70" s="1">
        <v>1.2</v>
      </c>
      <c r="AY70" s="1">
        <f t="shared" si="30"/>
        <v>1.24</v>
      </c>
      <c r="AZ70" s="1">
        <v>3</v>
      </c>
      <c r="BA70" s="1">
        <v>3</v>
      </c>
      <c r="BB70" s="1">
        <v>10</v>
      </c>
      <c r="BC70" s="1">
        <v>4</v>
      </c>
      <c r="BD70" s="1">
        <v>7</v>
      </c>
      <c r="BE70" s="1">
        <v>7</v>
      </c>
      <c r="BF70" s="1">
        <v>7</v>
      </c>
      <c r="BG70" s="1">
        <f t="shared" si="31"/>
        <v>7</v>
      </c>
      <c r="BH70" s="1">
        <v>3</v>
      </c>
      <c r="BI70" s="1">
        <v>7</v>
      </c>
      <c r="BJ70" s="1">
        <v>8</v>
      </c>
      <c r="BK70" s="1">
        <v>9</v>
      </c>
      <c r="BL70" s="1">
        <v>9</v>
      </c>
      <c r="BM70" s="1">
        <v>9</v>
      </c>
      <c r="BN70" s="1">
        <f t="shared" si="32"/>
        <v>8.4</v>
      </c>
      <c r="BO70" s="1">
        <v>2</v>
      </c>
      <c r="BP70" s="1">
        <v>0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f t="shared" si="33"/>
        <v>3</v>
      </c>
      <c r="BW70" s="1">
        <v>40</v>
      </c>
      <c r="BX70" s="1">
        <v>37</v>
      </c>
      <c r="BY70" s="1">
        <v>31</v>
      </c>
      <c r="BZ70" s="1">
        <v>27</v>
      </c>
      <c r="CA70" s="1">
        <v>36</v>
      </c>
      <c r="CB70" s="1">
        <f t="shared" si="34"/>
        <v>34.200000000000003</v>
      </c>
      <c r="CC70" s="1">
        <v>1</v>
      </c>
      <c r="CD70" s="1">
        <v>5</v>
      </c>
      <c r="CE70" s="1">
        <v>6</v>
      </c>
      <c r="CF70" s="1">
        <v>6.63</v>
      </c>
      <c r="CG70" s="1">
        <v>6.94</v>
      </c>
      <c r="CH70" s="1">
        <v>6</v>
      </c>
      <c r="CI70" s="1">
        <v>5.3</v>
      </c>
      <c r="CJ70" s="1">
        <f t="shared" si="35"/>
        <v>6.1740000000000004</v>
      </c>
      <c r="CK70" s="1">
        <v>2.72</v>
      </c>
      <c r="CL70" s="1">
        <v>3.11</v>
      </c>
      <c r="CM70" s="1">
        <v>3.22</v>
      </c>
      <c r="CN70" s="1">
        <v>3.2</v>
      </c>
      <c r="CO70" s="1">
        <v>3</v>
      </c>
      <c r="CP70" s="1">
        <f t="shared" si="36"/>
        <v>3.05</v>
      </c>
      <c r="CQ70" s="1">
        <v>2.04</v>
      </c>
      <c r="CR70" s="1">
        <v>2.16</v>
      </c>
      <c r="CS70" s="1">
        <v>2.25</v>
      </c>
      <c r="CT70" s="1">
        <v>2.33</v>
      </c>
      <c r="CU70" s="1">
        <v>2.56</v>
      </c>
      <c r="CV70" s="1">
        <f t="shared" si="37"/>
        <v>2.2680000000000002</v>
      </c>
      <c r="CW70" s="1">
        <v>28.8</v>
      </c>
      <c r="CX70" s="1">
        <v>10.7</v>
      </c>
      <c r="CY70" s="1">
        <v>0.625</v>
      </c>
      <c r="CZ70" s="1">
        <f t="shared" si="38"/>
        <v>1.3888888888888888</v>
      </c>
      <c r="DA70" s="1">
        <f t="shared" si="41"/>
        <v>0.89300000000000002</v>
      </c>
      <c r="DB70" s="1">
        <f t="shared" si="42"/>
        <v>1.4338471419396275</v>
      </c>
    </row>
    <row r="71" spans="1:106" ht="16" thickBot="1" x14ac:dyDescent="0.4">
      <c r="A71" s="1">
        <v>187</v>
      </c>
      <c r="B71" s="7" t="s">
        <v>194</v>
      </c>
      <c r="C71" s="11" t="s">
        <v>62</v>
      </c>
      <c r="D71" s="10" t="s">
        <v>84</v>
      </c>
      <c r="E71" s="3">
        <v>45294</v>
      </c>
      <c r="F71" s="3">
        <f t="shared" si="45"/>
        <v>45274</v>
      </c>
      <c r="G71" s="1">
        <f t="shared" si="43"/>
        <v>20</v>
      </c>
      <c r="H71" s="1">
        <f t="shared" si="39"/>
        <v>115</v>
      </c>
      <c r="I71" s="1">
        <v>7</v>
      </c>
      <c r="J71" s="3">
        <v>45389</v>
      </c>
      <c r="K71" s="3">
        <v>45391</v>
      </c>
      <c r="L71" s="15">
        <f t="shared" si="44"/>
        <v>117</v>
      </c>
      <c r="M71" s="13">
        <f t="shared" si="40"/>
        <v>144</v>
      </c>
      <c r="N71" s="3">
        <v>45418</v>
      </c>
      <c r="O71" s="1">
        <v>78</v>
      </c>
      <c r="P71" s="1">
        <v>75</v>
      </c>
      <c r="Q71" s="1">
        <v>80</v>
      </c>
      <c r="R71" s="1">
        <v>75</v>
      </c>
      <c r="S71" s="1">
        <v>73</v>
      </c>
      <c r="T71" s="1">
        <f t="shared" si="25"/>
        <v>76.2</v>
      </c>
      <c r="U71" s="1">
        <v>6</v>
      </c>
      <c r="V71" s="1">
        <v>7</v>
      </c>
      <c r="W71" s="1">
        <v>7</v>
      </c>
      <c r="X71" s="1">
        <v>7</v>
      </c>
      <c r="Y71" s="1">
        <v>6</v>
      </c>
      <c r="Z71" s="1">
        <f t="shared" si="26"/>
        <v>6.6</v>
      </c>
      <c r="AA71" s="1">
        <v>10</v>
      </c>
      <c r="AB71" s="1">
        <v>10</v>
      </c>
      <c r="AC71" s="1">
        <v>11</v>
      </c>
      <c r="AD71" s="1">
        <v>8</v>
      </c>
      <c r="AE71" s="1">
        <v>9</v>
      </c>
      <c r="AF71" s="1">
        <f t="shared" si="27"/>
        <v>9.6</v>
      </c>
      <c r="AG71" s="1">
        <v>7.5</v>
      </c>
      <c r="AH71" s="1">
        <v>7</v>
      </c>
      <c r="AI71" s="1">
        <v>4.5</v>
      </c>
      <c r="AJ71" s="1">
        <v>4.5</v>
      </c>
      <c r="AK71" s="1">
        <v>7</v>
      </c>
      <c r="AL71" s="1">
        <f t="shared" si="28"/>
        <v>6.1</v>
      </c>
      <c r="AM71" s="1">
        <v>7</v>
      </c>
      <c r="AN71" s="1">
        <v>12.1</v>
      </c>
      <c r="AO71" s="1">
        <v>14.4</v>
      </c>
      <c r="AP71" s="1">
        <v>16</v>
      </c>
      <c r="AQ71" s="1">
        <v>14.2</v>
      </c>
      <c r="AR71" s="1">
        <v>13.1</v>
      </c>
      <c r="AS71" s="1">
        <f t="shared" si="29"/>
        <v>13.959999999999999</v>
      </c>
      <c r="AT71" s="1">
        <v>0.8</v>
      </c>
      <c r="AU71" s="1">
        <v>1</v>
      </c>
      <c r="AV71" s="1">
        <v>1</v>
      </c>
      <c r="AW71" s="1">
        <v>1.2</v>
      </c>
      <c r="AX71" s="1">
        <v>1.1000000000000001</v>
      </c>
      <c r="AY71" s="1">
        <f t="shared" si="30"/>
        <v>1.02</v>
      </c>
      <c r="AZ71" s="1">
        <v>5</v>
      </c>
      <c r="BA71" s="1">
        <v>3</v>
      </c>
      <c r="BB71" s="1">
        <v>6</v>
      </c>
      <c r="BC71" s="1">
        <v>2</v>
      </c>
      <c r="BD71" s="1">
        <v>3</v>
      </c>
      <c r="BE71" s="1">
        <v>3</v>
      </c>
      <c r="BF71" s="1">
        <v>6</v>
      </c>
      <c r="BG71" s="1">
        <f t="shared" si="31"/>
        <v>4</v>
      </c>
      <c r="BH71" s="1">
        <v>3</v>
      </c>
      <c r="BI71" s="1">
        <v>9</v>
      </c>
      <c r="BJ71" s="1">
        <v>8</v>
      </c>
      <c r="BK71" s="1">
        <v>8</v>
      </c>
      <c r="BL71" s="1">
        <v>8</v>
      </c>
      <c r="BM71" s="1">
        <v>9</v>
      </c>
      <c r="BN71" s="1">
        <f t="shared" si="32"/>
        <v>8.4</v>
      </c>
      <c r="BO71" s="1">
        <v>2</v>
      </c>
      <c r="BP71" s="1">
        <v>0</v>
      </c>
      <c r="BQ71" s="1">
        <v>3</v>
      </c>
      <c r="BR71" s="1">
        <v>2</v>
      </c>
      <c r="BS71" s="1">
        <v>3</v>
      </c>
      <c r="BT71" s="1">
        <v>3</v>
      </c>
      <c r="BU71" s="1">
        <v>3</v>
      </c>
      <c r="BV71" s="1">
        <f t="shared" si="33"/>
        <v>2.8</v>
      </c>
      <c r="BW71" s="1">
        <v>30</v>
      </c>
      <c r="BX71" s="1">
        <v>43</v>
      </c>
      <c r="BY71" s="1">
        <v>38</v>
      </c>
      <c r="BZ71" s="1">
        <v>37</v>
      </c>
      <c r="CA71" s="1">
        <v>40</v>
      </c>
      <c r="CB71" s="1">
        <f t="shared" si="34"/>
        <v>37.6</v>
      </c>
      <c r="CC71" s="1">
        <v>1</v>
      </c>
      <c r="CD71" s="1">
        <v>7</v>
      </c>
      <c r="CE71" s="1">
        <v>5.82</v>
      </c>
      <c r="CF71" s="1">
        <v>6.3</v>
      </c>
      <c r="CG71" s="1">
        <v>5.73</v>
      </c>
      <c r="CH71" s="1">
        <v>5.93</v>
      </c>
      <c r="CI71" s="1">
        <v>5.93</v>
      </c>
      <c r="CJ71" s="1">
        <f t="shared" si="35"/>
        <v>5.9420000000000002</v>
      </c>
      <c r="CK71" s="1">
        <v>3.61</v>
      </c>
      <c r="CL71" s="1">
        <v>3.66</v>
      </c>
      <c r="CM71" s="1">
        <v>3.45</v>
      </c>
      <c r="CN71" s="1">
        <v>3.65</v>
      </c>
      <c r="CO71" s="1">
        <v>3.85</v>
      </c>
      <c r="CP71" s="1">
        <f t="shared" si="36"/>
        <v>3.6439999999999997</v>
      </c>
      <c r="CQ71" s="1">
        <v>2.81</v>
      </c>
      <c r="CR71" s="1">
        <v>3.3</v>
      </c>
      <c r="CS71" s="1">
        <v>2.66</v>
      </c>
      <c r="CT71" s="1">
        <v>3.43</v>
      </c>
      <c r="CU71" s="1">
        <v>3.39</v>
      </c>
      <c r="CV71" s="1">
        <f t="shared" si="37"/>
        <v>3.1179999999999999</v>
      </c>
      <c r="CW71" s="1">
        <v>45.5</v>
      </c>
      <c r="CX71" s="1">
        <v>10.7</v>
      </c>
      <c r="CY71" s="1">
        <v>0.34</v>
      </c>
      <c r="CZ71" s="1">
        <f t="shared" si="38"/>
        <v>0.75555555555555554</v>
      </c>
      <c r="DA71" s="1">
        <f t="shared" si="41"/>
        <v>0.89300000000000002</v>
      </c>
      <c r="DB71" s="1">
        <f t="shared" si="42"/>
        <v>0.78001284521515746</v>
      </c>
    </row>
    <row r="72" spans="1:106" ht="16" thickBot="1" x14ac:dyDescent="0.4">
      <c r="A72" s="1">
        <v>188</v>
      </c>
      <c r="B72" s="7" t="s">
        <v>195</v>
      </c>
      <c r="C72" s="11" t="s">
        <v>52</v>
      </c>
      <c r="D72" s="10" t="s">
        <v>104</v>
      </c>
      <c r="E72" s="3">
        <v>45294</v>
      </c>
      <c r="F72" s="3">
        <f t="shared" si="45"/>
        <v>45274</v>
      </c>
      <c r="G72" s="1">
        <f t="shared" si="43"/>
        <v>20</v>
      </c>
      <c r="H72" s="1">
        <f t="shared" si="39"/>
        <v>110</v>
      </c>
      <c r="I72" s="1">
        <v>7</v>
      </c>
      <c r="J72" s="3">
        <v>45384</v>
      </c>
      <c r="K72" s="3">
        <v>45389</v>
      </c>
      <c r="L72" s="15">
        <f t="shared" si="44"/>
        <v>115</v>
      </c>
      <c r="M72" s="13">
        <f t="shared" si="40"/>
        <v>146</v>
      </c>
      <c r="N72" s="3">
        <v>45420</v>
      </c>
      <c r="O72" s="1">
        <v>78</v>
      </c>
      <c r="P72" s="1">
        <v>82</v>
      </c>
      <c r="Q72" s="1">
        <v>71</v>
      </c>
      <c r="R72" s="1">
        <v>79</v>
      </c>
      <c r="S72" s="1">
        <v>80</v>
      </c>
      <c r="T72" s="1">
        <f t="shared" si="25"/>
        <v>78</v>
      </c>
      <c r="U72" s="1">
        <v>8</v>
      </c>
      <c r="V72" s="1">
        <v>7</v>
      </c>
      <c r="W72" s="1">
        <v>4</v>
      </c>
      <c r="X72" s="1">
        <v>7</v>
      </c>
      <c r="Y72" s="1">
        <v>8.5</v>
      </c>
      <c r="Z72" s="1">
        <f t="shared" si="26"/>
        <v>6.9</v>
      </c>
      <c r="AA72" s="1">
        <v>11</v>
      </c>
      <c r="AB72" s="1">
        <v>14</v>
      </c>
      <c r="AC72" s="1">
        <v>11</v>
      </c>
      <c r="AD72" s="1">
        <v>12</v>
      </c>
      <c r="AE72" s="1">
        <v>12</v>
      </c>
      <c r="AF72" s="1">
        <f t="shared" si="27"/>
        <v>12</v>
      </c>
      <c r="AG72" s="1">
        <v>5</v>
      </c>
      <c r="AH72" s="1">
        <v>5</v>
      </c>
      <c r="AI72" s="1">
        <v>6</v>
      </c>
      <c r="AJ72" s="1">
        <v>6</v>
      </c>
      <c r="AK72" s="1">
        <v>5.5</v>
      </c>
      <c r="AL72" s="1">
        <f t="shared" si="28"/>
        <v>5.5</v>
      </c>
      <c r="AM72" s="1">
        <v>7</v>
      </c>
      <c r="AN72" s="1">
        <v>14.5</v>
      </c>
      <c r="AO72" s="1">
        <v>16.3</v>
      </c>
      <c r="AP72" s="1">
        <v>10.8</v>
      </c>
      <c r="AQ72" s="1">
        <v>11.1</v>
      </c>
      <c r="AR72" s="1">
        <v>13</v>
      </c>
      <c r="AS72" s="1">
        <f t="shared" si="29"/>
        <v>13.14</v>
      </c>
      <c r="AT72" s="1">
        <v>1.6</v>
      </c>
      <c r="AU72" s="1">
        <v>1.5</v>
      </c>
      <c r="AV72" s="1">
        <v>1.4</v>
      </c>
      <c r="AW72" s="1">
        <v>1.5</v>
      </c>
      <c r="AX72" s="1">
        <v>1.6</v>
      </c>
      <c r="AY72" s="1">
        <f t="shared" si="30"/>
        <v>1.52</v>
      </c>
      <c r="AZ72" s="1">
        <v>3</v>
      </c>
      <c r="BA72" s="1">
        <v>3</v>
      </c>
      <c r="BB72" s="1">
        <v>5</v>
      </c>
      <c r="BC72" s="1">
        <v>10</v>
      </c>
      <c r="BD72" s="1">
        <v>9</v>
      </c>
      <c r="BE72" s="1">
        <v>7</v>
      </c>
      <c r="BF72" s="1">
        <v>8</v>
      </c>
      <c r="BG72" s="1">
        <f t="shared" si="31"/>
        <v>7.8</v>
      </c>
      <c r="BH72" s="1">
        <v>5</v>
      </c>
      <c r="BI72" s="1">
        <v>9</v>
      </c>
      <c r="BJ72" s="1">
        <v>12</v>
      </c>
      <c r="BK72" s="1">
        <v>12</v>
      </c>
      <c r="BL72" s="1">
        <v>11</v>
      </c>
      <c r="BM72" s="1">
        <v>10</v>
      </c>
      <c r="BN72" s="1">
        <f t="shared" si="32"/>
        <v>10.8</v>
      </c>
      <c r="BO72" s="1">
        <v>1</v>
      </c>
      <c r="BP72" s="1">
        <v>0</v>
      </c>
      <c r="BQ72" s="1">
        <v>3</v>
      </c>
      <c r="BR72" s="1">
        <v>3</v>
      </c>
      <c r="BS72" s="1">
        <v>3</v>
      </c>
      <c r="BT72" s="1">
        <v>4</v>
      </c>
      <c r="BU72" s="1">
        <v>3</v>
      </c>
      <c r="BV72" s="1">
        <f t="shared" si="33"/>
        <v>3.2</v>
      </c>
      <c r="BW72" s="1">
        <v>54</v>
      </c>
      <c r="BX72" s="1">
        <v>61</v>
      </c>
      <c r="BY72" s="1">
        <v>50</v>
      </c>
      <c r="BZ72" s="1">
        <v>45</v>
      </c>
      <c r="CA72" s="1">
        <v>42</v>
      </c>
      <c r="CB72" s="1">
        <f t="shared" si="34"/>
        <v>50.4</v>
      </c>
      <c r="CC72" s="1">
        <v>2</v>
      </c>
      <c r="CD72" s="1">
        <v>5</v>
      </c>
      <c r="CE72" s="1">
        <v>6.74</v>
      </c>
      <c r="CF72" s="1">
        <v>6.82</v>
      </c>
      <c r="CG72" s="1">
        <v>7.12</v>
      </c>
      <c r="CH72" s="1">
        <v>6.73</v>
      </c>
      <c r="CI72" s="1">
        <v>7.52</v>
      </c>
      <c r="CJ72" s="1">
        <f t="shared" si="35"/>
        <v>6.9859999999999998</v>
      </c>
      <c r="CK72" s="1">
        <v>3.37</v>
      </c>
      <c r="CL72" s="1">
        <v>3.62</v>
      </c>
      <c r="CM72" s="1">
        <v>3.76</v>
      </c>
      <c r="CN72" s="1">
        <v>3.45</v>
      </c>
      <c r="CO72" s="1">
        <v>3.64</v>
      </c>
      <c r="CP72" s="1">
        <f t="shared" si="36"/>
        <v>3.5680000000000001</v>
      </c>
      <c r="CQ72" s="1">
        <v>2.81</v>
      </c>
      <c r="CR72" s="1">
        <v>2.89</v>
      </c>
      <c r="CS72" s="1">
        <v>2.63</v>
      </c>
      <c r="CT72" s="1">
        <v>2.5499999999999998</v>
      </c>
      <c r="CU72" s="1">
        <v>2.6</v>
      </c>
      <c r="CV72" s="1">
        <f t="shared" si="37"/>
        <v>2.6959999999999997</v>
      </c>
      <c r="CW72" s="1">
        <v>38.01</v>
      </c>
      <c r="CX72" s="1">
        <v>12.4</v>
      </c>
      <c r="CY72" s="1">
        <v>0.61</v>
      </c>
      <c r="CZ72" s="1">
        <f t="shared" si="38"/>
        <v>1.3555555555555554</v>
      </c>
      <c r="DA72" s="1">
        <f t="shared" si="41"/>
        <v>0.87599999999999989</v>
      </c>
      <c r="DB72" s="1">
        <f t="shared" si="42"/>
        <v>1.3727938342967243</v>
      </c>
    </row>
    <row r="73" spans="1:106" ht="16" thickBot="1" x14ac:dyDescent="0.4">
      <c r="A73" s="1">
        <v>189</v>
      </c>
      <c r="B73" s="7" t="s">
        <v>196</v>
      </c>
      <c r="C73" s="11" t="s">
        <v>52</v>
      </c>
      <c r="D73" s="10" t="s">
        <v>104</v>
      </c>
      <c r="E73" s="3">
        <v>45294</v>
      </c>
      <c r="F73" s="3">
        <f t="shared" si="45"/>
        <v>45274</v>
      </c>
      <c r="G73" s="1">
        <f t="shared" si="43"/>
        <v>20</v>
      </c>
      <c r="H73" s="1">
        <f t="shared" si="39"/>
        <v>106</v>
      </c>
      <c r="I73" s="1">
        <v>7</v>
      </c>
      <c r="J73" s="3">
        <v>45380</v>
      </c>
      <c r="K73" s="3">
        <v>45384</v>
      </c>
      <c r="L73" s="15">
        <f t="shared" si="44"/>
        <v>110</v>
      </c>
      <c r="M73" s="13">
        <f t="shared" si="40"/>
        <v>146</v>
      </c>
      <c r="N73" s="3">
        <v>45420</v>
      </c>
      <c r="O73" s="1">
        <v>79</v>
      </c>
      <c r="P73" s="1">
        <v>75</v>
      </c>
      <c r="Q73" s="1">
        <v>75</v>
      </c>
      <c r="R73" s="1">
        <v>79</v>
      </c>
      <c r="S73" s="1">
        <v>78</v>
      </c>
      <c r="T73" s="1">
        <f t="shared" si="25"/>
        <v>77.2</v>
      </c>
      <c r="U73" s="1">
        <v>14</v>
      </c>
      <c r="V73" s="1">
        <v>13</v>
      </c>
      <c r="W73" s="1">
        <v>17</v>
      </c>
      <c r="X73" s="1">
        <v>12</v>
      </c>
      <c r="Y73" s="1">
        <v>2</v>
      </c>
      <c r="Z73" s="1">
        <f t="shared" si="26"/>
        <v>11.6</v>
      </c>
      <c r="AA73" s="1">
        <v>11.5</v>
      </c>
      <c r="AB73" s="1">
        <v>9</v>
      </c>
      <c r="AC73" s="1">
        <v>10</v>
      </c>
      <c r="AD73" s="1">
        <v>9</v>
      </c>
      <c r="AE73" s="1">
        <v>10</v>
      </c>
      <c r="AF73" s="1">
        <f t="shared" si="27"/>
        <v>9.9</v>
      </c>
      <c r="AG73" s="1">
        <v>7.5</v>
      </c>
      <c r="AH73" s="1">
        <v>7</v>
      </c>
      <c r="AI73" s="1">
        <v>7</v>
      </c>
      <c r="AJ73" s="1">
        <v>7</v>
      </c>
      <c r="AK73" s="1">
        <v>6.8</v>
      </c>
      <c r="AL73" s="1">
        <f t="shared" si="28"/>
        <v>7.06</v>
      </c>
      <c r="AM73" s="1">
        <v>7</v>
      </c>
      <c r="AN73" s="1">
        <v>14.5</v>
      </c>
      <c r="AO73" s="1">
        <v>14.4</v>
      </c>
      <c r="AP73" s="1">
        <v>10.8</v>
      </c>
      <c r="AQ73" s="1">
        <v>17</v>
      </c>
      <c r="AR73" s="1">
        <v>11</v>
      </c>
      <c r="AS73" s="1">
        <f t="shared" si="29"/>
        <v>13.540000000000001</v>
      </c>
      <c r="AT73" s="1">
        <v>1.6</v>
      </c>
      <c r="AU73" s="1">
        <v>1.4</v>
      </c>
      <c r="AV73" s="1">
        <v>1</v>
      </c>
      <c r="AW73" s="1">
        <v>1.8</v>
      </c>
      <c r="AX73" s="1">
        <v>1.2</v>
      </c>
      <c r="AY73" s="1">
        <f t="shared" si="30"/>
        <v>1.4</v>
      </c>
      <c r="AZ73" s="1">
        <v>5</v>
      </c>
      <c r="BA73" s="1">
        <v>3</v>
      </c>
      <c r="BB73" s="1">
        <v>3</v>
      </c>
      <c r="BC73" s="1">
        <v>2</v>
      </c>
      <c r="BD73" s="1">
        <v>3</v>
      </c>
      <c r="BE73" s="1">
        <v>6</v>
      </c>
      <c r="BF73" s="1">
        <v>10</v>
      </c>
      <c r="BG73" s="1">
        <f t="shared" si="31"/>
        <v>4.8</v>
      </c>
      <c r="BH73" s="1">
        <v>5</v>
      </c>
      <c r="BI73" s="1">
        <v>9</v>
      </c>
      <c r="BJ73" s="1">
        <v>9</v>
      </c>
      <c r="BK73" s="1">
        <v>9</v>
      </c>
      <c r="BL73" s="1">
        <v>10</v>
      </c>
      <c r="BM73" s="1">
        <v>10</v>
      </c>
      <c r="BN73" s="1">
        <f t="shared" si="32"/>
        <v>9.4</v>
      </c>
      <c r="BO73" s="1">
        <v>1</v>
      </c>
      <c r="BP73" s="1">
        <v>0</v>
      </c>
      <c r="BQ73" s="1">
        <v>3</v>
      </c>
      <c r="BR73" s="1">
        <v>3</v>
      </c>
      <c r="BS73" s="1">
        <v>4</v>
      </c>
      <c r="BT73" s="1">
        <v>2</v>
      </c>
      <c r="BU73" s="1">
        <v>3</v>
      </c>
      <c r="BV73" s="1">
        <f t="shared" si="33"/>
        <v>3</v>
      </c>
      <c r="BW73" s="1">
        <v>40</v>
      </c>
      <c r="BX73" s="1">
        <v>38</v>
      </c>
      <c r="BY73" s="1">
        <v>42</v>
      </c>
      <c r="BZ73" s="1">
        <v>52</v>
      </c>
      <c r="CA73" s="1">
        <v>45</v>
      </c>
      <c r="CB73" s="1">
        <f t="shared" si="34"/>
        <v>43.4</v>
      </c>
      <c r="CC73" s="1">
        <v>1</v>
      </c>
      <c r="CD73" s="1">
        <v>5</v>
      </c>
      <c r="CE73" s="1">
        <v>6.08</v>
      </c>
      <c r="CF73" s="1">
        <v>6.08</v>
      </c>
      <c r="CG73" s="1">
        <v>5.76</v>
      </c>
      <c r="CH73" s="1">
        <v>5.8</v>
      </c>
      <c r="CI73" s="1">
        <v>6.65</v>
      </c>
      <c r="CJ73" s="1">
        <f t="shared" si="35"/>
        <v>6.0740000000000007</v>
      </c>
      <c r="CK73" s="1">
        <v>3.47</v>
      </c>
      <c r="CL73" s="1">
        <v>3.55</v>
      </c>
      <c r="CM73" s="1">
        <v>3.5</v>
      </c>
      <c r="CN73" s="1">
        <v>3.41</v>
      </c>
      <c r="CO73" s="1">
        <v>3.54</v>
      </c>
      <c r="CP73" s="1">
        <f t="shared" si="36"/>
        <v>3.4939999999999998</v>
      </c>
      <c r="CQ73" s="1">
        <v>3.15</v>
      </c>
      <c r="CR73" s="1">
        <v>2.93</v>
      </c>
      <c r="CS73" s="1">
        <v>3.28</v>
      </c>
      <c r="CT73" s="1">
        <v>3.26</v>
      </c>
      <c r="CU73" s="1">
        <v>2.94</v>
      </c>
      <c r="CV73" s="1">
        <f t="shared" si="37"/>
        <v>3.1119999999999997</v>
      </c>
      <c r="CW73" s="1">
        <v>44.6</v>
      </c>
      <c r="CX73" s="1">
        <v>11.5</v>
      </c>
      <c r="CY73" s="1">
        <v>0.64</v>
      </c>
      <c r="CZ73" s="1">
        <f t="shared" si="38"/>
        <v>1.4222222222222223</v>
      </c>
      <c r="DA73" s="1">
        <f t="shared" si="41"/>
        <v>0.88500000000000001</v>
      </c>
      <c r="DB73" s="1">
        <f t="shared" si="42"/>
        <v>1.4551059730250484</v>
      </c>
    </row>
    <row r="74" spans="1:106" ht="16" thickBot="1" x14ac:dyDescent="0.4">
      <c r="A74" s="1">
        <v>190</v>
      </c>
      <c r="B74" s="7" t="s">
        <v>197</v>
      </c>
      <c r="C74" s="11" t="s">
        <v>65</v>
      </c>
      <c r="D74" s="10" t="s">
        <v>118</v>
      </c>
      <c r="E74" s="3">
        <v>45294</v>
      </c>
      <c r="F74" s="3">
        <f t="shared" si="45"/>
        <v>45274</v>
      </c>
      <c r="G74" s="1">
        <f t="shared" si="43"/>
        <v>20</v>
      </c>
      <c r="H74" s="1">
        <f t="shared" si="39"/>
        <v>109</v>
      </c>
      <c r="I74" s="1">
        <v>7</v>
      </c>
      <c r="J74" s="3">
        <v>45383</v>
      </c>
      <c r="K74" s="3">
        <v>45389</v>
      </c>
      <c r="L74" s="15">
        <f t="shared" si="44"/>
        <v>115</v>
      </c>
      <c r="M74" s="13">
        <f t="shared" si="40"/>
        <v>145</v>
      </c>
      <c r="N74" s="3">
        <v>45419</v>
      </c>
      <c r="O74" s="1">
        <v>83</v>
      </c>
      <c r="P74" s="1">
        <v>87</v>
      </c>
      <c r="Q74" s="1">
        <v>82</v>
      </c>
      <c r="R74" s="1">
        <v>88</v>
      </c>
      <c r="S74" s="1">
        <v>100</v>
      </c>
      <c r="T74" s="1">
        <f t="shared" si="25"/>
        <v>88</v>
      </c>
      <c r="U74" s="1">
        <v>13</v>
      </c>
      <c r="V74" s="1">
        <v>16</v>
      </c>
      <c r="W74" s="1">
        <v>18</v>
      </c>
      <c r="X74" s="1">
        <v>12</v>
      </c>
      <c r="Y74" s="1">
        <v>14</v>
      </c>
      <c r="Z74" s="1">
        <f t="shared" si="26"/>
        <v>14.6</v>
      </c>
      <c r="AA74" s="1">
        <v>10</v>
      </c>
      <c r="AB74" s="1">
        <v>9</v>
      </c>
      <c r="AC74" s="1">
        <v>10</v>
      </c>
      <c r="AD74" s="1">
        <v>10</v>
      </c>
      <c r="AE74" s="1">
        <v>11</v>
      </c>
      <c r="AF74" s="1">
        <f t="shared" si="27"/>
        <v>10</v>
      </c>
      <c r="AG74" s="1">
        <v>5</v>
      </c>
      <c r="AH74" s="1">
        <v>5</v>
      </c>
      <c r="AI74" s="1">
        <v>6</v>
      </c>
      <c r="AJ74" s="1">
        <v>6</v>
      </c>
      <c r="AK74" s="1">
        <v>6</v>
      </c>
      <c r="AL74" s="1">
        <f t="shared" si="28"/>
        <v>5.6</v>
      </c>
      <c r="AM74" s="1">
        <v>7</v>
      </c>
      <c r="AN74" s="1">
        <v>11.2</v>
      </c>
      <c r="AO74" s="1">
        <v>16.3</v>
      </c>
      <c r="AP74" s="1">
        <v>14.7</v>
      </c>
      <c r="AQ74" s="1">
        <v>13.3</v>
      </c>
      <c r="AR74" s="1">
        <v>11.9</v>
      </c>
      <c r="AS74" s="1">
        <f t="shared" si="29"/>
        <v>13.48</v>
      </c>
      <c r="AT74" s="1">
        <v>1</v>
      </c>
      <c r="AU74" s="1">
        <v>1</v>
      </c>
      <c r="AV74" s="1">
        <v>1.1000000000000001</v>
      </c>
      <c r="AW74" s="1">
        <v>1.1000000000000001</v>
      </c>
      <c r="AX74" s="1">
        <v>1</v>
      </c>
      <c r="AY74" s="1">
        <f t="shared" si="30"/>
        <v>1.04</v>
      </c>
      <c r="AZ74" s="1">
        <v>7</v>
      </c>
      <c r="BA74" s="1">
        <v>3</v>
      </c>
      <c r="BB74" s="1">
        <v>5</v>
      </c>
      <c r="BC74" s="1">
        <v>6</v>
      </c>
      <c r="BD74" s="1">
        <v>11</v>
      </c>
      <c r="BE74" s="1">
        <v>6</v>
      </c>
      <c r="BF74" s="1">
        <v>6</v>
      </c>
      <c r="BG74" s="1">
        <f t="shared" si="31"/>
        <v>6.8</v>
      </c>
      <c r="BH74" s="1">
        <v>5</v>
      </c>
      <c r="BI74" s="1">
        <v>10</v>
      </c>
      <c r="BJ74" s="1">
        <v>10</v>
      </c>
      <c r="BK74" s="1">
        <v>11</v>
      </c>
      <c r="BL74" s="1">
        <v>9</v>
      </c>
      <c r="BM74" s="1">
        <v>9</v>
      </c>
      <c r="BN74" s="1">
        <f t="shared" si="32"/>
        <v>9.8000000000000007</v>
      </c>
      <c r="BO74" s="1">
        <v>1</v>
      </c>
      <c r="BP74" s="1">
        <v>0</v>
      </c>
      <c r="BQ74" s="1">
        <v>3</v>
      </c>
      <c r="BR74" s="1">
        <v>2</v>
      </c>
      <c r="BS74" s="1">
        <v>2</v>
      </c>
      <c r="BT74" s="1">
        <v>3</v>
      </c>
      <c r="BU74" s="1">
        <v>3</v>
      </c>
      <c r="BV74" s="1">
        <f t="shared" si="33"/>
        <v>2.6</v>
      </c>
      <c r="BW74" s="1">
        <v>34</v>
      </c>
      <c r="BX74" s="1">
        <v>45</v>
      </c>
      <c r="BY74" s="1">
        <v>34</v>
      </c>
      <c r="BZ74" s="1">
        <v>30</v>
      </c>
      <c r="CA74" s="1">
        <v>33</v>
      </c>
      <c r="CB74" s="1">
        <f t="shared" si="34"/>
        <v>35.200000000000003</v>
      </c>
      <c r="CC74" s="1">
        <v>2</v>
      </c>
      <c r="CD74" s="1">
        <v>7</v>
      </c>
      <c r="CE74" s="1">
        <v>6.49</v>
      </c>
      <c r="CF74" s="1">
        <v>5.21</v>
      </c>
      <c r="CG74" s="1">
        <v>6.12</v>
      </c>
      <c r="CH74" s="1">
        <v>6.13</v>
      </c>
      <c r="CI74" s="1">
        <v>6.79</v>
      </c>
      <c r="CJ74" s="1">
        <f t="shared" si="35"/>
        <v>6.1479999999999997</v>
      </c>
      <c r="CK74" s="1">
        <v>3.48</v>
      </c>
      <c r="CL74" s="1">
        <v>3.14</v>
      </c>
      <c r="CM74" s="1">
        <v>3.3</v>
      </c>
      <c r="CN74" s="1">
        <v>3.45</v>
      </c>
      <c r="CO74" s="1">
        <v>3.44</v>
      </c>
      <c r="CP74" s="1">
        <f t="shared" si="36"/>
        <v>3.3620000000000005</v>
      </c>
      <c r="CQ74" s="1">
        <v>2.92</v>
      </c>
      <c r="CR74" s="1">
        <v>2.82</v>
      </c>
      <c r="CS74" s="1">
        <v>3.31</v>
      </c>
      <c r="CT74" s="1">
        <v>3.96</v>
      </c>
      <c r="CU74" s="1">
        <v>3.6</v>
      </c>
      <c r="CV74" s="1">
        <f t="shared" si="37"/>
        <v>3.3220000000000005</v>
      </c>
      <c r="CW74" s="1">
        <v>50.9</v>
      </c>
      <c r="CX74" s="1">
        <v>10.1</v>
      </c>
      <c r="CY74" s="1">
        <v>0.54</v>
      </c>
      <c r="CZ74" s="1">
        <f t="shared" si="38"/>
        <v>1.2000000000000002</v>
      </c>
      <c r="DA74" s="1">
        <f t="shared" si="41"/>
        <v>0.89900000000000002</v>
      </c>
      <c r="DB74" s="1">
        <f t="shared" si="42"/>
        <v>1.2471676300578036</v>
      </c>
    </row>
    <row r="75" spans="1:106" ht="16" thickBot="1" x14ac:dyDescent="0.4">
      <c r="A75" s="1">
        <v>191</v>
      </c>
      <c r="B75" s="7" t="s">
        <v>198</v>
      </c>
      <c r="C75" s="11" t="s">
        <v>69</v>
      </c>
      <c r="D75" s="10" t="s">
        <v>116</v>
      </c>
      <c r="E75" s="3">
        <v>45294</v>
      </c>
      <c r="F75" s="3">
        <f t="shared" si="45"/>
        <v>45274</v>
      </c>
      <c r="G75" s="1">
        <f t="shared" si="43"/>
        <v>20</v>
      </c>
      <c r="H75" s="1">
        <f t="shared" si="39"/>
        <v>106</v>
      </c>
      <c r="I75" s="1">
        <v>7</v>
      </c>
      <c r="J75" s="3">
        <v>45380</v>
      </c>
      <c r="K75" s="3">
        <v>45386</v>
      </c>
      <c r="L75" s="15">
        <f t="shared" si="44"/>
        <v>112</v>
      </c>
      <c r="M75" s="13">
        <f t="shared" si="40"/>
        <v>148</v>
      </c>
      <c r="N75" s="3">
        <v>45422</v>
      </c>
      <c r="O75" s="1">
        <v>105.3</v>
      </c>
      <c r="P75" s="1">
        <v>98</v>
      </c>
      <c r="Q75" s="1">
        <v>100</v>
      </c>
      <c r="R75" s="1">
        <v>94</v>
      </c>
      <c r="S75" s="1">
        <v>100</v>
      </c>
      <c r="T75" s="1">
        <f t="shared" si="25"/>
        <v>99.460000000000008</v>
      </c>
      <c r="U75" s="1">
        <v>19</v>
      </c>
      <c r="V75" s="1">
        <v>21</v>
      </c>
      <c r="W75" s="1">
        <v>19</v>
      </c>
      <c r="X75" s="1">
        <v>16</v>
      </c>
      <c r="Y75" s="1">
        <v>18</v>
      </c>
      <c r="Z75" s="1">
        <f t="shared" si="26"/>
        <v>18.600000000000001</v>
      </c>
      <c r="AA75" s="1">
        <v>10</v>
      </c>
      <c r="AB75" s="1">
        <v>9</v>
      </c>
      <c r="AC75" s="1">
        <v>9</v>
      </c>
      <c r="AD75" s="1">
        <v>8</v>
      </c>
      <c r="AE75" s="1">
        <v>8.5</v>
      </c>
      <c r="AF75" s="1">
        <f t="shared" si="27"/>
        <v>8.9</v>
      </c>
      <c r="AG75" s="1">
        <v>3</v>
      </c>
      <c r="AH75" s="1">
        <v>3</v>
      </c>
      <c r="AI75" s="1">
        <v>3</v>
      </c>
      <c r="AJ75" s="1">
        <v>2</v>
      </c>
      <c r="AK75" s="1">
        <v>2</v>
      </c>
      <c r="AL75" s="1">
        <f t="shared" si="28"/>
        <v>2.6</v>
      </c>
      <c r="AM75" s="1">
        <v>7</v>
      </c>
      <c r="AN75" s="1">
        <v>7.8</v>
      </c>
      <c r="AO75" s="1">
        <v>14.4</v>
      </c>
      <c r="AP75" s="1">
        <v>10.6</v>
      </c>
      <c r="AQ75" s="1">
        <v>7.9</v>
      </c>
      <c r="AR75" s="1">
        <v>8.1</v>
      </c>
      <c r="AS75" s="1">
        <f t="shared" si="29"/>
        <v>9.76</v>
      </c>
      <c r="AT75" s="1">
        <v>0.7</v>
      </c>
      <c r="AU75" s="1">
        <v>0.9</v>
      </c>
      <c r="AV75" s="1">
        <v>1.6</v>
      </c>
      <c r="AW75" s="1">
        <v>0.9</v>
      </c>
      <c r="AX75" s="1">
        <v>1</v>
      </c>
      <c r="AY75" s="1">
        <f t="shared" si="30"/>
        <v>1.02</v>
      </c>
      <c r="AZ75" s="1">
        <v>3</v>
      </c>
      <c r="BA75" s="1">
        <v>3</v>
      </c>
      <c r="BB75" s="1">
        <v>9</v>
      </c>
      <c r="BC75" s="1">
        <v>14</v>
      </c>
      <c r="BD75" s="1">
        <v>21</v>
      </c>
      <c r="BE75" s="1">
        <v>9</v>
      </c>
      <c r="BF75" s="1">
        <v>12</v>
      </c>
      <c r="BG75" s="1">
        <f t="shared" si="31"/>
        <v>13</v>
      </c>
      <c r="BH75" s="1">
        <v>5</v>
      </c>
      <c r="BI75" s="1">
        <v>11</v>
      </c>
      <c r="BJ75" s="1">
        <v>10</v>
      </c>
      <c r="BK75" s="1">
        <v>10</v>
      </c>
      <c r="BL75" s="1">
        <v>9</v>
      </c>
      <c r="BM75" s="1">
        <v>10</v>
      </c>
      <c r="BN75" s="1">
        <f t="shared" si="32"/>
        <v>10</v>
      </c>
      <c r="BO75" s="1">
        <v>1</v>
      </c>
      <c r="BP75" s="1">
        <v>0</v>
      </c>
      <c r="BQ75" s="1">
        <v>2</v>
      </c>
      <c r="BR75" s="1">
        <v>2</v>
      </c>
      <c r="BS75" s="1">
        <v>2</v>
      </c>
      <c r="BT75" s="1">
        <v>3</v>
      </c>
      <c r="BU75" s="1">
        <v>3</v>
      </c>
      <c r="BV75" s="1">
        <f t="shared" si="33"/>
        <v>2.4</v>
      </c>
      <c r="BW75" s="1">
        <v>29</v>
      </c>
      <c r="BX75" s="1">
        <v>33</v>
      </c>
      <c r="BY75" s="1">
        <v>46</v>
      </c>
      <c r="BZ75" s="1">
        <v>47</v>
      </c>
      <c r="CA75" s="1">
        <v>47</v>
      </c>
      <c r="CB75" s="1">
        <f t="shared" si="34"/>
        <v>40.4</v>
      </c>
      <c r="CC75" s="1">
        <v>2</v>
      </c>
      <c r="CD75" s="1">
        <v>3</v>
      </c>
      <c r="CE75" s="1">
        <v>5.25</v>
      </c>
      <c r="CF75" s="1">
        <v>5.3</v>
      </c>
      <c r="CG75" s="1">
        <v>5.67</v>
      </c>
      <c r="CH75" s="1">
        <v>5.46</v>
      </c>
      <c r="CI75" s="1">
        <v>5.79</v>
      </c>
      <c r="CJ75" s="1">
        <f t="shared" si="35"/>
        <v>5.4939999999999998</v>
      </c>
      <c r="CK75" s="1">
        <v>2.83</v>
      </c>
      <c r="CL75" s="1">
        <v>2.76</v>
      </c>
      <c r="CM75" s="1">
        <v>2.98</v>
      </c>
      <c r="CN75" s="1">
        <v>2.72</v>
      </c>
      <c r="CO75" s="1">
        <v>3</v>
      </c>
      <c r="CP75" s="1">
        <f t="shared" si="36"/>
        <v>2.8580000000000001</v>
      </c>
      <c r="CQ75" s="1">
        <v>2.38</v>
      </c>
      <c r="CR75" s="1">
        <v>2.4500000000000002</v>
      </c>
      <c r="CS75" s="1">
        <v>2.4500000000000002</v>
      </c>
      <c r="CT75" s="1">
        <v>2.5499999999999998</v>
      </c>
      <c r="CU75" s="1">
        <v>2.57</v>
      </c>
      <c r="CV75" s="1">
        <f t="shared" si="37"/>
        <v>2.48</v>
      </c>
      <c r="CW75" s="1">
        <v>21.2</v>
      </c>
      <c r="CX75" s="1">
        <v>10.5</v>
      </c>
      <c r="CY75" s="1">
        <v>0.71</v>
      </c>
      <c r="CZ75" s="1">
        <f t="shared" si="38"/>
        <v>1.5777777777777777</v>
      </c>
      <c r="DA75" s="1">
        <f t="shared" si="41"/>
        <v>0.89500000000000002</v>
      </c>
      <c r="DB75" s="1">
        <f t="shared" si="42"/>
        <v>1.6324983943481053</v>
      </c>
    </row>
    <row r="76" spans="1:106" ht="16" thickBot="1" x14ac:dyDescent="0.4">
      <c r="A76" s="1">
        <v>192</v>
      </c>
      <c r="B76" s="7" t="s">
        <v>199</v>
      </c>
      <c r="C76" s="11" t="s">
        <v>69</v>
      </c>
      <c r="D76" s="10" t="s">
        <v>116</v>
      </c>
      <c r="E76" s="3">
        <v>45294</v>
      </c>
      <c r="F76" s="3">
        <f t="shared" si="45"/>
        <v>45274</v>
      </c>
      <c r="G76" s="1">
        <f t="shared" si="43"/>
        <v>20</v>
      </c>
      <c r="H76" s="1">
        <f t="shared" si="39"/>
        <v>106</v>
      </c>
      <c r="I76" s="1">
        <v>7</v>
      </c>
      <c r="J76" s="3">
        <v>45380</v>
      </c>
      <c r="K76" s="3">
        <v>45386</v>
      </c>
      <c r="L76" s="15">
        <f t="shared" si="44"/>
        <v>112</v>
      </c>
      <c r="M76" s="13">
        <f t="shared" si="40"/>
        <v>148</v>
      </c>
      <c r="N76" s="3">
        <v>45422</v>
      </c>
      <c r="O76" s="1">
        <v>113.6</v>
      </c>
      <c r="P76" s="1">
        <v>109.8</v>
      </c>
      <c r="Q76" s="1">
        <v>110.8</v>
      </c>
      <c r="R76" s="1">
        <v>100</v>
      </c>
      <c r="S76" s="1">
        <v>103.7</v>
      </c>
      <c r="T76" s="1">
        <f t="shared" si="25"/>
        <v>107.58</v>
      </c>
      <c r="U76" s="1">
        <v>23</v>
      </c>
      <c r="V76" s="1">
        <v>19</v>
      </c>
      <c r="W76" s="1">
        <v>21</v>
      </c>
      <c r="X76" s="1">
        <v>13</v>
      </c>
      <c r="Y76" s="1">
        <v>16</v>
      </c>
      <c r="Z76" s="1">
        <f t="shared" si="26"/>
        <v>18.399999999999999</v>
      </c>
      <c r="AA76" s="1">
        <v>9</v>
      </c>
      <c r="AB76" s="1">
        <v>9</v>
      </c>
      <c r="AC76" s="1">
        <v>9</v>
      </c>
      <c r="AD76" s="1">
        <v>8</v>
      </c>
      <c r="AE76" s="1">
        <v>9</v>
      </c>
      <c r="AF76" s="1">
        <f t="shared" si="27"/>
        <v>8.8000000000000007</v>
      </c>
      <c r="AG76" s="1">
        <v>2</v>
      </c>
      <c r="AH76" s="1">
        <v>3.5</v>
      </c>
      <c r="AI76" s="1">
        <v>4.5</v>
      </c>
      <c r="AJ76" s="1">
        <v>5</v>
      </c>
      <c r="AK76" s="1">
        <v>0.1</v>
      </c>
      <c r="AL76" s="1">
        <f t="shared" si="28"/>
        <v>3.02</v>
      </c>
      <c r="AM76" s="1">
        <v>7</v>
      </c>
      <c r="AN76" s="1">
        <v>8</v>
      </c>
      <c r="AO76" s="1">
        <v>14.8</v>
      </c>
      <c r="AP76" s="1">
        <v>12.5</v>
      </c>
      <c r="AQ76" s="1">
        <v>10.3</v>
      </c>
      <c r="AR76" s="1">
        <v>11.3</v>
      </c>
      <c r="AS76" s="1">
        <f t="shared" si="29"/>
        <v>11.379999999999999</v>
      </c>
      <c r="AT76" s="1">
        <v>1</v>
      </c>
      <c r="AU76" s="1">
        <v>1.1000000000000001</v>
      </c>
      <c r="AV76" s="1">
        <v>1.4</v>
      </c>
      <c r="AW76" s="1">
        <v>1.4</v>
      </c>
      <c r="AX76" s="1">
        <v>1.1000000000000001</v>
      </c>
      <c r="AY76" s="1">
        <f t="shared" si="30"/>
        <v>1.2</v>
      </c>
      <c r="AZ76" s="1">
        <v>3</v>
      </c>
      <c r="BA76" s="1">
        <v>3</v>
      </c>
      <c r="BB76" s="1">
        <v>5</v>
      </c>
      <c r="BC76" s="1">
        <v>5</v>
      </c>
      <c r="BD76" s="1">
        <v>4</v>
      </c>
      <c r="BE76" s="1">
        <v>7</v>
      </c>
      <c r="BF76" s="1">
        <v>7</v>
      </c>
      <c r="BG76" s="1">
        <f t="shared" si="31"/>
        <v>5.6</v>
      </c>
      <c r="BH76" s="1">
        <v>5</v>
      </c>
      <c r="BI76" s="1">
        <v>11</v>
      </c>
      <c r="BJ76" s="1">
        <v>10</v>
      </c>
      <c r="BK76" s="1">
        <v>9</v>
      </c>
      <c r="BL76" s="1">
        <v>9</v>
      </c>
      <c r="BM76" s="1">
        <v>8</v>
      </c>
      <c r="BN76" s="1">
        <f t="shared" si="32"/>
        <v>9.4</v>
      </c>
      <c r="BO76" s="1">
        <v>1</v>
      </c>
      <c r="BP76" s="1">
        <v>3</v>
      </c>
      <c r="BQ76" s="1">
        <v>2</v>
      </c>
      <c r="BR76" s="1">
        <v>2</v>
      </c>
      <c r="BS76" s="1">
        <v>2</v>
      </c>
      <c r="BT76" s="1">
        <v>3</v>
      </c>
      <c r="BU76" s="1">
        <v>2</v>
      </c>
      <c r="BV76" s="1">
        <f t="shared" si="33"/>
        <v>2.2000000000000002</v>
      </c>
      <c r="BW76" s="1">
        <v>23</v>
      </c>
      <c r="BX76" s="1">
        <v>26</v>
      </c>
      <c r="BY76" s="1">
        <v>40</v>
      </c>
      <c r="BZ76" s="1">
        <v>36</v>
      </c>
      <c r="CA76" s="1">
        <v>32</v>
      </c>
      <c r="CB76" s="1">
        <f t="shared" si="34"/>
        <v>31.4</v>
      </c>
      <c r="CC76" s="1">
        <v>2</v>
      </c>
      <c r="CD76" s="1">
        <v>3</v>
      </c>
      <c r="CE76" s="1">
        <v>6.41</v>
      </c>
      <c r="CF76" s="1">
        <v>5.73</v>
      </c>
      <c r="CG76" s="1">
        <v>4.92</v>
      </c>
      <c r="CH76" s="1">
        <v>5.2</v>
      </c>
      <c r="CI76" s="1">
        <v>5.88</v>
      </c>
      <c r="CJ76" s="1">
        <f t="shared" si="35"/>
        <v>5.6280000000000001</v>
      </c>
      <c r="CK76" s="1">
        <v>2.7</v>
      </c>
      <c r="CL76" s="1">
        <v>3.15</v>
      </c>
      <c r="CM76" s="1">
        <v>2.83</v>
      </c>
      <c r="CN76" s="1">
        <v>3.2</v>
      </c>
      <c r="CO76" s="1">
        <v>3.02</v>
      </c>
      <c r="CP76" s="1">
        <f t="shared" si="36"/>
        <v>2.9799999999999995</v>
      </c>
      <c r="CQ76" s="1">
        <v>2.15</v>
      </c>
      <c r="CR76" s="1">
        <v>2.75</v>
      </c>
      <c r="CS76" s="1">
        <v>2.44</v>
      </c>
      <c r="CT76" s="1">
        <v>2.57</v>
      </c>
      <c r="CU76" s="1">
        <v>2.44</v>
      </c>
      <c r="CV76" s="1">
        <f t="shared" si="37"/>
        <v>2.4699999999999998</v>
      </c>
      <c r="CW76" s="1">
        <v>23.3</v>
      </c>
      <c r="CX76" s="1">
        <v>9.6999999999999993</v>
      </c>
      <c r="CY76" s="1">
        <v>0.72</v>
      </c>
      <c r="CZ76" s="1">
        <f t="shared" si="38"/>
        <v>1.6</v>
      </c>
      <c r="DA76" s="1">
        <f t="shared" si="41"/>
        <v>0.90300000000000002</v>
      </c>
      <c r="DB76" s="1">
        <f t="shared" si="42"/>
        <v>1.6702890173410405</v>
      </c>
    </row>
    <row r="77" spans="1:106" ht="16" thickBot="1" x14ac:dyDescent="0.4">
      <c r="A77" s="1">
        <v>193</v>
      </c>
      <c r="B77" s="7" t="s">
        <v>200</v>
      </c>
      <c r="C77" s="11" t="s">
        <v>69</v>
      </c>
      <c r="D77" s="10" t="s">
        <v>116</v>
      </c>
      <c r="E77" s="3">
        <v>45293</v>
      </c>
      <c r="F77" s="3">
        <f t="shared" si="45"/>
        <v>45274</v>
      </c>
      <c r="G77" s="1">
        <f t="shared" si="43"/>
        <v>19</v>
      </c>
      <c r="H77" s="1">
        <f t="shared" si="39"/>
        <v>102</v>
      </c>
      <c r="I77" s="1">
        <v>7</v>
      </c>
      <c r="J77" s="3">
        <v>45376</v>
      </c>
      <c r="K77" s="3">
        <v>45383</v>
      </c>
      <c r="L77" s="15">
        <f t="shared" si="44"/>
        <v>109</v>
      </c>
      <c r="M77" s="13">
        <f t="shared" si="40"/>
        <v>146</v>
      </c>
      <c r="N77" s="3">
        <v>45420</v>
      </c>
      <c r="O77" s="1">
        <v>84</v>
      </c>
      <c r="P77" s="1">
        <v>101.5</v>
      </c>
      <c r="Q77" s="1">
        <v>97</v>
      </c>
      <c r="R77" s="1">
        <v>81</v>
      </c>
      <c r="S77" s="1">
        <v>80.5</v>
      </c>
      <c r="T77" s="1">
        <f t="shared" si="25"/>
        <v>88.8</v>
      </c>
      <c r="U77" s="1">
        <v>16</v>
      </c>
      <c r="V77" s="1">
        <v>18.899999999999999</v>
      </c>
      <c r="W77" s="1">
        <v>17.5</v>
      </c>
      <c r="X77" s="1">
        <v>16.3</v>
      </c>
      <c r="Y77" s="1">
        <v>14.2</v>
      </c>
      <c r="Z77" s="1">
        <f t="shared" si="26"/>
        <v>16.580000000000002</v>
      </c>
      <c r="AA77" s="1">
        <v>9.1999999999999993</v>
      </c>
      <c r="AB77" s="1">
        <v>8.6</v>
      </c>
      <c r="AC77" s="1">
        <v>8.8000000000000007</v>
      </c>
      <c r="AD77" s="1">
        <v>8</v>
      </c>
      <c r="AE77" s="1">
        <v>8.1999999999999993</v>
      </c>
      <c r="AF77" s="1">
        <f t="shared" si="27"/>
        <v>8.5599999999999987</v>
      </c>
      <c r="AG77" s="1">
        <v>9.4</v>
      </c>
      <c r="AH77" s="1">
        <v>5</v>
      </c>
      <c r="AI77" s="1">
        <v>4.4000000000000004</v>
      </c>
      <c r="AJ77" s="1">
        <v>5.2</v>
      </c>
      <c r="AK77" s="1">
        <v>5.2</v>
      </c>
      <c r="AL77" s="1">
        <f t="shared" si="28"/>
        <v>5.84</v>
      </c>
      <c r="AM77" s="1">
        <v>7</v>
      </c>
      <c r="AN77" s="1">
        <v>9.5</v>
      </c>
      <c r="AO77" s="1">
        <v>12.7</v>
      </c>
      <c r="AP77" s="1">
        <v>11.1</v>
      </c>
      <c r="AQ77" s="1">
        <v>9.5</v>
      </c>
      <c r="AR77" s="1">
        <v>13.2</v>
      </c>
      <c r="AS77" s="1">
        <f t="shared" si="29"/>
        <v>11.2</v>
      </c>
      <c r="AT77" s="1">
        <v>1.5</v>
      </c>
      <c r="AU77" s="1">
        <v>1.6</v>
      </c>
      <c r="AV77" s="1">
        <v>1.5</v>
      </c>
      <c r="AW77" s="1">
        <v>1.4</v>
      </c>
      <c r="AX77" s="1">
        <v>1.8</v>
      </c>
      <c r="AY77" s="1">
        <f t="shared" si="30"/>
        <v>1.56</v>
      </c>
      <c r="AZ77" s="1">
        <v>5</v>
      </c>
      <c r="BA77" s="1">
        <v>3</v>
      </c>
      <c r="BB77" s="1">
        <v>10</v>
      </c>
      <c r="BC77" s="1">
        <v>7</v>
      </c>
      <c r="BD77" s="1">
        <v>6</v>
      </c>
      <c r="BE77" s="1">
        <v>9</v>
      </c>
      <c r="BF77" s="1">
        <v>6</v>
      </c>
      <c r="BG77" s="1">
        <f t="shared" si="31"/>
        <v>7.6</v>
      </c>
      <c r="BH77" s="1">
        <v>5</v>
      </c>
      <c r="BI77" s="1">
        <v>9</v>
      </c>
      <c r="BJ77" s="1">
        <v>9</v>
      </c>
      <c r="BK77" s="1">
        <v>10</v>
      </c>
      <c r="BL77" s="1">
        <v>10</v>
      </c>
      <c r="BM77" s="1">
        <v>10</v>
      </c>
      <c r="BN77" s="1">
        <f t="shared" si="32"/>
        <v>9.6</v>
      </c>
      <c r="BO77" s="1">
        <v>1</v>
      </c>
      <c r="BP77" s="1">
        <v>0</v>
      </c>
      <c r="BQ77" s="1">
        <v>2</v>
      </c>
      <c r="BR77" s="1">
        <v>3</v>
      </c>
      <c r="BS77" s="1">
        <v>3</v>
      </c>
      <c r="BT77" s="1">
        <v>4</v>
      </c>
      <c r="BU77" s="1">
        <v>4</v>
      </c>
      <c r="BV77" s="1">
        <f t="shared" si="33"/>
        <v>3.2</v>
      </c>
      <c r="BW77" s="1">
        <v>41</v>
      </c>
      <c r="BX77" s="1">
        <v>42</v>
      </c>
      <c r="BY77" s="1">
        <v>59</v>
      </c>
      <c r="BZ77" s="1">
        <v>52</v>
      </c>
      <c r="CA77" s="1">
        <v>32</v>
      </c>
      <c r="CB77" s="1">
        <f t="shared" si="34"/>
        <v>45.2</v>
      </c>
      <c r="CC77" s="1">
        <v>2</v>
      </c>
      <c r="CD77" s="1">
        <v>5</v>
      </c>
      <c r="CE77" s="1">
        <v>5.89</v>
      </c>
      <c r="CF77" s="1">
        <v>6.14</v>
      </c>
      <c r="CG77" s="1">
        <v>5.32</v>
      </c>
      <c r="CH77" s="1">
        <v>5.94</v>
      </c>
      <c r="CI77" s="1">
        <v>5.7</v>
      </c>
      <c r="CJ77" s="1">
        <f t="shared" si="35"/>
        <v>5.798</v>
      </c>
      <c r="CK77" s="1">
        <v>3.29</v>
      </c>
      <c r="CL77" s="1">
        <v>3.82</v>
      </c>
      <c r="CM77" s="1">
        <v>2.8</v>
      </c>
      <c r="CN77" s="1">
        <v>2.64</v>
      </c>
      <c r="CO77" s="1">
        <v>2.64</v>
      </c>
      <c r="CP77" s="1">
        <f t="shared" si="36"/>
        <v>3.0380000000000003</v>
      </c>
      <c r="CQ77" s="1">
        <v>2.41</v>
      </c>
      <c r="CR77" s="1">
        <v>3.08</v>
      </c>
      <c r="CS77" s="1">
        <v>2.25</v>
      </c>
      <c r="CT77" s="1">
        <v>2.2200000000000002</v>
      </c>
      <c r="CU77" s="1">
        <v>2.2999999999999998</v>
      </c>
      <c r="CV77" s="1">
        <f t="shared" si="37"/>
        <v>2.4520000000000004</v>
      </c>
      <c r="CW77" s="1">
        <v>37.1</v>
      </c>
      <c r="CX77" s="1">
        <v>9.6999999999999993</v>
      </c>
      <c r="CY77" s="1">
        <v>1</v>
      </c>
      <c r="CZ77" s="1">
        <f t="shared" si="38"/>
        <v>2.2222222222222223</v>
      </c>
      <c r="DA77" s="1">
        <f t="shared" si="41"/>
        <v>0.90300000000000002</v>
      </c>
      <c r="DB77" s="1">
        <f t="shared" si="42"/>
        <v>2.319845857418112</v>
      </c>
    </row>
    <row r="78" spans="1:106" ht="16" thickBot="1" x14ac:dyDescent="0.4">
      <c r="A78" s="1">
        <v>194</v>
      </c>
      <c r="B78" s="7" t="s">
        <v>201</v>
      </c>
      <c r="C78" s="11" t="s">
        <v>52</v>
      </c>
      <c r="D78" s="10" t="s">
        <v>119</v>
      </c>
      <c r="E78" s="3">
        <v>45294</v>
      </c>
      <c r="F78" s="3">
        <f t="shared" si="45"/>
        <v>45274</v>
      </c>
      <c r="G78" s="1">
        <f t="shared" si="43"/>
        <v>20</v>
      </c>
      <c r="H78" s="1">
        <f t="shared" si="39"/>
        <v>104</v>
      </c>
      <c r="I78" s="1">
        <v>7</v>
      </c>
      <c r="J78" s="3">
        <v>45378</v>
      </c>
      <c r="K78" s="3">
        <v>45386</v>
      </c>
      <c r="L78" s="15">
        <f t="shared" si="44"/>
        <v>112</v>
      </c>
      <c r="M78" s="13">
        <f t="shared" si="40"/>
        <v>144</v>
      </c>
      <c r="N78" s="3">
        <v>45418</v>
      </c>
      <c r="O78" s="1">
        <v>87</v>
      </c>
      <c r="P78" s="1">
        <v>89.5</v>
      </c>
      <c r="Q78" s="1">
        <v>88</v>
      </c>
      <c r="R78" s="1">
        <v>82</v>
      </c>
      <c r="S78" s="1">
        <v>86.2</v>
      </c>
      <c r="T78" s="1">
        <f t="shared" ref="T78:T119" si="46">AVERAGE(O78:S78)</f>
        <v>86.539999999999992</v>
      </c>
      <c r="U78" s="1">
        <v>16.3</v>
      </c>
      <c r="V78" s="1">
        <v>16.2</v>
      </c>
      <c r="W78" s="1">
        <v>18</v>
      </c>
      <c r="X78" s="1">
        <v>12.5</v>
      </c>
      <c r="Y78" s="1">
        <v>10.9</v>
      </c>
      <c r="Z78" s="1">
        <f t="shared" ref="Z78:Z119" si="47">AVERAGE(U78:Y78)</f>
        <v>14.780000000000001</v>
      </c>
      <c r="AA78" s="1">
        <v>9.3000000000000007</v>
      </c>
      <c r="AB78" s="1">
        <v>11.2</v>
      </c>
      <c r="AC78" s="1">
        <v>10.5</v>
      </c>
      <c r="AD78" s="1">
        <v>10.199999999999999</v>
      </c>
      <c r="AE78" s="1">
        <v>9</v>
      </c>
      <c r="AF78" s="1">
        <f t="shared" ref="AF78:AF119" si="48">AVERAGE(AA78:AE78)</f>
        <v>10.040000000000001</v>
      </c>
      <c r="AG78" s="1">
        <v>5.2</v>
      </c>
      <c r="AH78" s="1">
        <v>4.3</v>
      </c>
      <c r="AI78" s="1">
        <v>5.2</v>
      </c>
      <c r="AJ78" s="1">
        <v>4.5</v>
      </c>
      <c r="AK78" s="1">
        <v>5.6</v>
      </c>
      <c r="AL78" s="1">
        <f t="shared" ref="AL78:AL119" si="49">AVERAGE(AG78:AK78)</f>
        <v>4.9599999999999991</v>
      </c>
      <c r="AM78" s="1">
        <v>7</v>
      </c>
      <c r="AN78" s="1">
        <v>17.3</v>
      </c>
      <c r="AO78" s="1">
        <v>11</v>
      </c>
      <c r="AP78" s="1">
        <v>10.9</v>
      </c>
      <c r="AQ78" s="1">
        <v>12.3</v>
      </c>
      <c r="AR78" s="1">
        <v>10.4</v>
      </c>
      <c r="AS78" s="1">
        <f t="shared" ref="AS78:AS119" si="50">AVERAGE(AN78:AR78)</f>
        <v>12.379999999999999</v>
      </c>
      <c r="AT78" s="1">
        <v>1.4</v>
      </c>
      <c r="AU78" s="1">
        <v>1.3</v>
      </c>
      <c r="AV78" s="1">
        <v>1</v>
      </c>
      <c r="AW78" s="1">
        <v>1.7</v>
      </c>
      <c r="AX78" s="1">
        <v>1</v>
      </c>
      <c r="AY78" s="1">
        <f t="shared" ref="AY78:AY119" si="51">AVERAGE(AT78:AX78)</f>
        <v>1.28</v>
      </c>
      <c r="AZ78" s="1">
        <v>7</v>
      </c>
      <c r="BA78" s="1">
        <v>5</v>
      </c>
      <c r="BB78" s="1">
        <v>6</v>
      </c>
      <c r="BC78" s="1">
        <v>6</v>
      </c>
      <c r="BD78" s="1">
        <v>9</v>
      </c>
      <c r="BE78" s="1">
        <v>3</v>
      </c>
      <c r="BF78" s="1">
        <v>5</v>
      </c>
      <c r="BG78" s="1">
        <f t="shared" ref="BG78:BG119" si="52">AVERAGE(BB78:BF78)</f>
        <v>5.8</v>
      </c>
      <c r="BH78" s="1">
        <v>7</v>
      </c>
      <c r="BI78" s="1">
        <v>10</v>
      </c>
      <c r="BJ78" s="1">
        <v>10</v>
      </c>
      <c r="BK78" s="1">
        <v>9</v>
      </c>
      <c r="BL78" s="1">
        <v>9</v>
      </c>
      <c r="BM78" s="1">
        <v>8</v>
      </c>
      <c r="BN78" s="1">
        <f t="shared" ref="BN78:BN119" si="53">AVERAGE(BI78:BM78)</f>
        <v>9.1999999999999993</v>
      </c>
      <c r="BO78" s="1">
        <v>1</v>
      </c>
      <c r="BP78" s="1">
        <v>0</v>
      </c>
      <c r="BQ78" s="1">
        <v>4</v>
      </c>
      <c r="BR78" s="1">
        <v>3</v>
      </c>
      <c r="BS78" s="1">
        <v>3</v>
      </c>
      <c r="BT78" s="1">
        <v>3</v>
      </c>
      <c r="BU78" s="1">
        <v>4</v>
      </c>
      <c r="BV78" s="1">
        <f t="shared" ref="BV78:BV119" si="54">AVERAGE(BQ78:BU78)</f>
        <v>3.4</v>
      </c>
      <c r="BW78" s="1">
        <v>25</v>
      </c>
      <c r="BX78" s="1">
        <v>59</v>
      </c>
      <c r="BY78" s="1">
        <v>38</v>
      </c>
      <c r="BZ78" s="1">
        <v>39</v>
      </c>
      <c r="CA78" s="1">
        <v>52</v>
      </c>
      <c r="CB78" s="1">
        <f t="shared" ref="CB78:CB119" si="55">AVERAGE(BW78:CA78)</f>
        <v>42.6</v>
      </c>
      <c r="CC78" s="1">
        <v>1</v>
      </c>
      <c r="CD78" s="1">
        <v>5</v>
      </c>
      <c r="CE78" s="1">
        <v>5.96</v>
      </c>
      <c r="CF78" s="1">
        <v>5.88</v>
      </c>
      <c r="CG78" s="1">
        <v>6.63</v>
      </c>
      <c r="CH78" s="1">
        <v>5.74</v>
      </c>
      <c r="CI78" s="1">
        <v>4.91</v>
      </c>
      <c r="CJ78" s="1">
        <f t="shared" ref="CJ78:CJ119" si="56">AVERAGE(CE78:CI78)</f>
        <v>5.8239999999999998</v>
      </c>
      <c r="CK78" s="1">
        <v>3.42</v>
      </c>
      <c r="CL78" s="1">
        <v>3.27</v>
      </c>
      <c r="CM78" s="1">
        <v>3.38</v>
      </c>
      <c r="CN78" s="1">
        <v>2.91</v>
      </c>
      <c r="CO78" s="1">
        <v>2.9</v>
      </c>
      <c r="CP78" s="1">
        <f t="shared" ref="CP78:CP119" si="57">AVERAGE(CK78:CO78)</f>
        <v>3.1760000000000002</v>
      </c>
      <c r="CQ78" s="1">
        <v>2.68</v>
      </c>
      <c r="CR78" s="1">
        <v>2.4700000000000002</v>
      </c>
      <c r="CS78" s="1">
        <v>2.96</v>
      </c>
      <c r="CT78" s="1">
        <v>2.29</v>
      </c>
      <c r="CU78" s="1">
        <v>2.0699999999999998</v>
      </c>
      <c r="CV78" s="1">
        <f t="shared" ref="CV78:CV119" si="58">AVERAGE(CQ78:CU78)</f>
        <v>2.4939999999999998</v>
      </c>
      <c r="CW78" s="1">
        <v>31.1</v>
      </c>
      <c r="CX78" s="1">
        <v>10.7</v>
      </c>
      <c r="CY78" s="1">
        <v>0.60499999999999998</v>
      </c>
      <c r="CZ78" s="1">
        <f t="shared" ref="CZ78:CZ119" si="59">(CY78/4.5)*10</f>
        <v>1.3444444444444446</v>
      </c>
      <c r="DA78" s="1">
        <f t="shared" si="41"/>
        <v>0.89300000000000002</v>
      </c>
      <c r="DB78" s="1">
        <f t="shared" si="42"/>
        <v>1.3879640333975594</v>
      </c>
    </row>
    <row r="79" spans="1:106" ht="16" thickBot="1" x14ac:dyDescent="0.4">
      <c r="A79" s="1">
        <v>195</v>
      </c>
      <c r="B79" s="7" t="s">
        <v>202</v>
      </c>
      <c r="C79" s="11" t="s">
        <v>71</v>
      </c>
      <c r="D79" s="10" t="s">
        <v>110</v>
      </c>
      <c r="E79" s="3">
        <v>45294</v>
      </c>
      <c r="F79" s="3">
        <f t="shared" si="45"/>
        <v>45274</v>
      </c>
      <c r="G79" s="1">
        <f t="shared" si="43"/>
        <v>20</v>
      </c>
      <c r="H79" s="1">
        <f t="shared" si="39"/>
        <v>108</v>
      </c>
      <c r="I79" s="1">
        <v>7</v>
      </c>
      <c r="J79" s="3">
        <v>45382</v>
      </c>
      <c r="K79" s="3">
        <v>45386</v>
      </c>
      <c r="L79" s="15">
        <f t="shared" si="44"/>
        <v>112</v>
      </c>
      <c r="M79" s="13">
        <f t="shared" si="40"/>
        <v>146</v>
      </c>
      <c r="N79" s="3">
        <v>45420</v>
      </c>
      <c r="O79" s="1">
        <v>101.4</v>
      </c>
      <c r="P79" s="1">
        <v>101.5</v>
      </c>
      <c r="Q79" s="1">
        <v>96</v>
      </c>
      <c r="R79" s="1">
        <v>101.4</v>
      </c>
      <c r="S79" s="1">
        <v>94</v>
      </c>
      <c r="T79" s="1">
        <f t="shared" si="46"/>
        <v>98.859999999999985</v>
      </c>
      <c r="U79" s="1">
        <v>26.4</v>
      </c>
      <c r="V79" s="1">
        <v>27.2</v>
      </c>
      <c r="W79" s="1">
        <v>17.2</v>
      </c>
      <c r="X79" s="1">
        <v>23.5</v>
      </c>
      <c r="Y79" s="1">
        <v>17.8</v>
      </c>
      <c r="Z79" s="1">
        <f t="shared" si="47"/>
        <v>22.419999999999998</v>
      </c>
      <c r="AA79" s="1">
        <v>10</v>
      </c>
      <c r="AB79" s="1">
        <v>9.8000000000000007</v>
      </c>
      <c r="AC79" s="1">
        <v>7.2</v>
      </c>
      <c r="AD79" s="1">
        <v>9.3000000000000007</v>
      </c>
      <c r="AE79" s="1">
        <v>7.2</v>
      </c>
      <c r="AF79" s="1">
        <f t="shared" si="48"/>
        <v>8.6999999999999993</v>
      </c>
      <c r="AG79" s="1">
        <v>0.5</v>
      </c>
      <c r="AH79" s="1">
        <v>0.5</v>
      </c>
      <c r="AI79" s="1">
        <v>3.3</v>
      </c>
      <c r="AJ79" s="1">
        <v>3.3</v>
      </c>
      <c r="AK79" s="1">
        <v>3.2</v>
      </c>
      <c r="AL79" s="1">
        <f t="shared" si="49"/>
        <v>2.16</v>
      </c>
      <c r="AM79" s="1">
        <v>7</v>
      </c>
      <c r="AN79" s="1">
        <v>12.3</v>
      </c>
      <c r="AO79" s="1">
        <v>12</v>
      </c>
      <c r="AP79" s="1">
        <v>15.1</v>
      </c>
      <c r="AQ79" s="1">
        <v>15.9</v>
      </c>
      <c r="AR79" s="1">
        <v>10.9</v>
      </c>
      <c r="AS79" s="1">
        <f t="shared" si="50"/>
        <v>13.24</v>
      </c>
      <c r="AT79" s="1">
        <v>1.3</v>
      </c>
      <c r="AU79" s="1">
        <v>1.4</v>
      </c>
      <c r="AV79" s="1">
        <v>0.9</v>
      </c>
      <c r="AW79" s="1">
        <v>1.5</v>
      </c>
      <c r="AX79" s="1">
        <v>0.8</v>
      </c>
      <c r="AY79" s="1">
        <f t="shared" si="51"/>
        <v>1.18</v>
      </c>
      <c r="AZ79" s="1">
        <v>5</v>
      </c>
      <c r="BA79" s="1">
        <v>3</v>
      </c>
      <c r="BB79" s="1">
        <v>12</v>
      </c>
      <c r="BC79" s="1">
        <v>8</v>
      </c>
      <c r="BD79" s="1">
        <v>10</v>
      </c>
      <c r="BE79" s="1">
        <v>14</v>
      </c>
      <c r="BF79" s="1">
        <v>8</v>
      </c>
      <c r="BG79" s="1">
        <f t="shared" si="52"/>
        <v>10.4</v>
      </c>
      <c r="BH79" s="1">
        <v>5</v>
      </c>
      <c r="BI79" s="1">
        <v>8</v>
      </c>
      <c r="BJ79" s="1">
        <v>10</v>
      </c>
      <c r="BK79" s="1">
        <v>10</v>
      </c>
      <c r="BL79" s="1">
        <v>10</v>
      </c>
      <c r="BM79" s="1">
        <v>11</v>
      </c>
      <c r="BN79" s="1">
        <f t="shared" si="53"/>
        <v>9.8000000000000007</v>
      </c>
      <c r="BO79" s="1">
        <v>2</v>
      </c>
      <c r="BP79" s="1">
        <v>3</v>
      </c>
      <c r="BQ79" s="1">
        <v>4</v>
      </c>
      <c r="BR79" s="1">
        <v>3</v>
      </c>
      <c r="BS79" s="1">
        <v>3</v>
      </c>
      <c r="BT79" s="1">
        <v>3</v>
      </c>
      <c r="BU79" s="1">
        <v>3</v>
      </c>
      <c r="BV79" s="1">
        <f t="shared" si="54"/>
        <v>3.2</v>
      </c>
      <c r="BW79" s="1">
        <v>48</v>
      </c>
      <c r="BX79" s="1">
        <v>38</v>
      </c>
      <c r="BY79" s="1">
        <v>29</v>
      </c>
      <c r="BZ79" s="1">
        <v>44</v>
      </c>
      <c r="CA79" s="1">
        <v>40</v>
      </c>
      <c r="CB79" s="1">
        <f t="shared" si="55"/>
        <v>39.799999999999997</v>
      </c>
      <c r="CC79" s="1">
        <v>2</v>
      </c>
      <c r="CD79" s="1">
        <v>3</v>
      </c>
      <c r="CE79" s="1">
        <v>6.78</v>
      </c>
      <c r="CF79" s="1">
        <v>6.02</v>
      </c>
      <c r="CG79" s="1">
        <v>6.83</v>
      </c>
      <c r="CH79" s="1">
        <v>5.86</v>
      </c>
      <c r="CI79" s="1">
        <v>6.77</v>
      </c>
      <c r="CJ79" s="1">
        <f t="shared" si="56"/>
        <v>6.4520000000000008</v>
      </c>
      <c r="CK79" s="1">
        <v>3.59</v>
      </c>
      <c r="CL79" s="1">
        <v>3.53</v>
      </c>
      <c r="CM79" s="1">
        <v>3.67</v>
      </c>
      <c r="CN79" s="1">
        <v>3.45</v>
      </c>
      <c r="CO79" s="1">
        <v>3.39</v>
      </c>
      <c r="CP79" s="1">
        <f t="shared" si="57"/>
        <v>3.5259999999999998</v>
      </c>
      <c r="CQ79" s="1">
        <v>2.98</v>
      </c>
      <c r="CR79" s="1">
        <v>2.79</v>
      </c>
      <c r="CS79" s="1">
        <v>3.14</v>
      </c>
      <c r="CT79" s="1">
        <v>2.76</v>
      </c>
      <c r="CU79" s="1">
        <v>2.81</v>
      </c>
      <c r="CV79" s="1">
        <f t="shared" si="58"/>
        <v>2.8959999999999999</v>
      </c>
      <c r="CW79" s="1">
        <v>41.5</v>
      </c>
      <c r="CX79" s="1">
        <v>10.199999999999999</v>
      </c>
      <c r="CY79" s="1">
        <v>0.65500000000000003</v>
      </c>
      <c r="CZ79" s="1">
        <f t="shared" si="59"/>
        <v>1.4555555555555555</v>
      </c>
      <c r="DA79" s="1">
        <f t="shared" si="41"/>
        <v>0.89800000000000002</v>
      </c>
      <c r="DB79" s="1">
        <f t="shared" si="42"/>
        <v>1.5110854206807964</v>
      </c>
    </row>
    <row r="80" spans="1:106" ht="16" thickBot="1" x14ac:dyDescent="0.4">
      <c r="A80" s="1">
        <v>196</v>
      </c>
      <c r="B80" s="7" t="s">
        <v>203</v>
      </c>
      <c r="C80" s="10"/>
      <c r="D80" s="10"/>
      <c r="E80" s="3">
        <v>45295</v>
      </c>
      <c r="F80" s="3">
        <f t="shared" si="45"/>
        <v>45274</v>
      </c>
      <c r="G80" s="1">
        <f t="shared" si="43"/>
        <v>21</v>
      </c>
      <c r="H80" s="1">
        <f t="shared" si="39"/>
        <v>106</v>
      </c>
      <c r="I80" s="1">
        <v>3</v>
      </c>
      <c r="J80" s="3">
        <v>45380</v>
      </c>
      <c r="K80" s="3">
        <v>45384</v>
      </c>
      <c r="L80" s="15">
        <f t="shared" si="44"/>
        <v>110</v>
      </c>
      <c r="M80" s="13">
        <f t="shared" si="40"/>
        <v>144</v>
      </c>
      <c r="N80" s="3">
        <v>45418</v>
      </c>
      <c r="O80" s="1">
        <v>109.7</v>
      </c>
      <c r="P80" s="1">
        <v>104.5</v>
      </c>
      <c r="Q80" s="1">
        <v>101.6</v>
      </c>
      <c r="R80" s="1">
        <v>109.7</v>
      </c>
      <c r="S80" s="1">
        <v>106.6</v>
      </c>
      <c r="T80" s="1">
        <f t="shared" si="46"/>
        <v>106.41999999999999</v>
      </c>
      <c r="U80" s="1">
        <v>25.2</v>
      </c>
      <c r="V80" s="1">
        <v>24.2</v>
      </c>
      <c r="W80" s="1">
        <v>24</v>
      </c>
      <c r="X80" s="1">
        <v>22.2</v>
      </c>
      <c r="Y80" s="1">
        <v>16.600000000000001</v>
      </c>
      <c r="Z80" s="1">
        <f t="shared" si="47"/>
        <v>22.440000000000005</v>
      </c>
      <c r="AA80" s="1">
        <v>11.3</v>
      </c>
      <c r="AB80" s="1">
        <v>9</v>
      </c>
      <c r="AC80" s="1">
        <v>10</v>
      </c>
      <c r="AD80" s="1">
        <v>10</v>
      </c>
      <c r="AE80" s="1">
        <v>9</v>
      </c>
      <c r="AF80" s="1">
        <f t="shared" si="48"/>
        <v>9.86</v>
      </c>
      <c r="AG80" s="1">
        <v>0.2</v>
      </c>
      <c r="AH80" s="1">
        <v>0.2</v>
      </c>
      <c r="AI80" s="1">
        <v>0.2</v>
      </c>
      <c r="AJ80" s="1">
        <v>0.2</v>
      </c>
      <c r="AK80" s="1">
        <v>0.1</v>
      </c>
      <c r="AL80" s="1">
        <f t="shared" si="49"/>
        <v>0.18</v>
      </c>
      <c r="AM80" s="1">
        <v>3</v>
      </c>
      <c r="AN80" s="1">
        <v>9.5</v>
      </c>
      <c r="AO80" s="1">
        <v>10.8</v>
      </c>
      <c r="AP80" s="1">
        <v>7.8</v>
      </c>
      <c r="AQ80" s="1">
        <v>11.4</v>
      </c>
      <c r="AR80" s="1">
        <v>10.5</v>
      </c>
      <c r="AS80" s="1">
        <f t="shared" si="50"/>
        <v>10</v>
      </c>
      <c r="AT80" s="1">
        <v>1</v>
      </c>
      <c r="AU80" s="1">
        <v>1.2</v>
      </c>
      <c r="AV80" s="1">
        <v>1.4</v>
      </c>
      <c r="AW80" s="1">
        <v>0.6</v>
      </c>
      <c r="AX80" s="1">
        <v>1</v>
      </c>
      <c r="AY80" s="1">
        <f t="shared" si="51"/>
        <v>1.04</v>
      </c>
      <c r="AZ80" s="1">
        <v>3</v>
      </c>
      <c r="BA80" s="1">
        <v>3</v>
      </c>
      <c r="BB80" s="1">
        <v>12</v>
      </c>
      <c r="BC80" s="1">
        <v>7</v>
      </c>
      <c r="BD80" s="1">
        <v>6</v>
      </c>
      <c r="BE80" s="1">
        <v>8</v>
      </c>
      <c r="BF80" s="1">
        <v>10</v>
      </c>
      <c r="BG80" s="1">
        <f t="shared" si="52"/>
        <v>8.6</v>
      </c>
      <c r="BH80" s="1">
        <v>5</v>
      </c>
      <c r="BI80" s="1">
        <v>9</v>
      </c>
      <c r="BJ80" s="1">
        <v>9</v>
      </c>
      <c r="BK80" s="1">
        <v>9</v>
      </c>
      <c r="BL80" s="1">
        <v>8</v>
      </c>
      <c r="BM80" s="1">
        <v>9</v>
      </c>
      <c r="BN80" s="1">
        <f t="shared" si="53"/>
        <v>8.8000000000000007</v>
      </c>
      <c r="BO80" s="1">
        <v>1</v>
      </c>
      <c r="BP80" s="1">
        <v>0</v>
      </c>
      <c r="BQ80" s="1">
        <v>3</v>
      </c>
      <c r="BR80" s="1">
        <v>2</v>
      </c>
      <c r="BS80" s="1">
        <v>2</v>
      </c>
      <c r="BT80" s="1">
        <v>3</v>
      </c>
      <c r="BU80" s="1">
        <v>2</v>
      </c>
      <c r="BV80" s="1">
        <f t="shared" si="54"/>
        <v>2.4</v>
      </c>
      <c r="BW80" s="1">
        <v>43</v>
      </c>
      <c r="BX80" s="1">
        <v>36</v>
      </c>
      <c r="BY80" s="1">
        <v>32</v>
      </c>
      <c r="BZ80" s="1">
        <v>41</v>
      </c>
      <c r="CA80" s="1">
        <v>41</v>
      </c>
      <c r="CB80" s="1">
        <f t="shared" si="55"/>
        <v>38.6</v>
      </c>
      <c r="CC80" s="1">
        <v>2</v>
      </c>
      <c r="CD80" s="1">
        <v>3</v>
      </c>
      <c r="CE80" s="1">
        <v>6.15</v>
      </c>
      <c r="CF80" s="1">
        <v>5.4</v>
      </c>
      <c r="CG80" s="1">
        <v>5.46</v>
      </c>
      <c r="CH80" s="1">
        <v>5.69</v>
      </c>
      <c r="CI80" s="1">
        <v>5.88</v>
      </c>
      <c r="CJ80" s="1">
        <f t="shared" si="56"/>
        <v>5.7160000000000002</v>
      </c>
      <c r="CK80" s="1">
        <v>3.47</v>
      </c>
      <c r="CL80" s="1">
        <v>3.04</v>
      </c>
      <c r="CM80" s="1">
        <v>3.51</v>
      </c>
      <c r="CN80" s="1">
        <v>3.39</v>
      </c>
      <c r="CO80" s="1">
        <v>3.57</v>
      </c>
      <c r="CP80" s="1">
        <f t="shared" si="57"/>
        <v>3.3959999999999999</v>
      </c>
      <c r="CQ80" s="1">
        <v>2.69</v>
      </c>
      <c r="CR80" s="1">
        <v>2.38</v>
      </c>
      <c r="CS80" s="1">
        <v>2.66</v>
      </c>
      <c r="CT80" s="1">
        <v>2.39</v>
      </c>
      <c r="CU80" s="1">
        <v>2.69</v>
      </c>
      <c r="CV80" s="1">
        <f t="shared" si="58"/>
        <v>2.5620000000000003</v>
      </c>
      <c r="CW80" s="1">
        <v>32.4</v>
      </c>
      <c r="CX80" s="1">
        <v>10.199999999999999</v>
      </c>
      <c r="CY80" s="1">
        <v>0.66</v>
      </c>
      <c r="CZ80" s="1">
        <f t="shared" si="59"/>
        <v>1.4666666666666668</v>
      </c>
      <c r="DA80" s="1">
        <f t="shared" si="41"/>
        <v>0.89800000000000002</v>
      </c>
      <c r="DB80" s="1">
        <f t="shared" si="42"/>
        <v>1.5226204238921004</v>
      </c>
    </row>
    <row r="81" spans="1:106" ht="16" thickBot="1" x14ac:dyDescent="0.4">
      <c r="A81" s="1">
        <v>197</v>
      </c>
      <c r="B81" s="7" t="s">
        <v>204</v>
      </c>
      <c r="C81" s="10"/>
      <c r="D81" s="10" t="s">
        <v>109</v>
      </c>
      <c r="E81" s="3">
        <v>45295</v>
      </c>
      <c r="F81" s="3">
        <f t="shared" si="45"/>
        <v>45274</v>
      </c>
      <c r="G81" s="1">
        <f t="shared" si="43"/>
        <v>21</v>
      </c>
      <c r="H81" s="1">
        <f t="shared" si="39"/>
        <v>112</v>
      </c>
      <c r="I81" s="1">
        <v>7</v>
      </c>
      <c r="J81" s="3">
        <v>45386</v>
      </c>
      <c r="K81" s="3">
        <v>45389</v>
      </c>
      <c r="L81" s="15">
        <f t="shared" si="44"/>
        <v>115</v>
      </c>
      <c r="M81" s="13">
        <f t="shared" si="40"/>
        <v>144</v>
      </c>
      <c r="N81" s="3">
        <v>45418</v>
      </c>
      <c r="O81" s="1">
        <v>85</v>
      </c>
      <c r="P81" s="1">
        <v>81</v>
      </c>
      <c r="Q81" s="1">
        <v>84</v>
      </c>
      <c r="R81" s="1">
        <v>89</v>
      </c>
      <c r="S81" s="1">
        <v>77</v>
      </c>
      <c r="T81" s="1">
        <f t="shared" si="46"/>
        <v>83.2</v>
      </c>
      <c r="U81" s="1">
        <v>9.1999999999999993</v>
      </c>
      <c r="V81" s="1">
        <v>10.9</v>
      </c>
      <c r="W81" s="1">
        <v>6.8</v>
      </c>
      <c r="X81" s="1">
        <v>9.9</v>
      </c>
      <c r="Y81" s="1">
        <v>8</v>
      </c>
      <c r="Z81" s="1">
        <f t="shared" si="47"/>
        <v>8.9600000000000009</v>
      </c>
      <c r="AA81" s="1">
        <v>12.2</v>
      </c>
      <c r="AB81" s="1">
        <v>11.2</v>
      </c>
      <c r="AC81" s="1">
        <v>11.1</v>
      </c>
      <c r="AD81" s="1">
        <v>12.9</v>
      </c>
      <c r="AE81" s="1">
        <v>10.199999999999999</v>
      </c>
      <c r="AF81" s="1">
        <f t="shared" si="48"/>
        <v>11.52</v>
      </c>
      <c r="AG81" s="1">
        <v>3.2</v>
      </c>
      <c r="AH81" s="1">
        <v>5.2</v>
      </c>
      <c r="AI81" s="1">
        <v>3.1</v>
      </c>
      <c r="AJ81" s="1">
        <v>4.2</v>
      </c>
      <c r="AK81" s="1">
        <v>4</v>
      </c>
      <c r="AL81" s="1">
        <f t="shared" si="49"/>
        <v>3.94</v>
      </c>
      <c r="AM81" s="1">
        <v>7</v>
      </c>
      <c r="AN81" s="1">
        <v>13.8</v>
      </c>
      <c r="AO81" s="1">
        <v>10.9</v>
      </c>
      <c r="AP81" s="1">
        <v>11.5</v>
      </c>
      <c r="AQ81" s="1">
        <v>9.6</v>
      </c>
      <c r="AR81" s="1">
        <v>12.8</v>
      </c>
      <c r="AS81" s="1">
        <f t="shared" si="50"/>
        <v>11.720000000000002</v>
      </c>
      <c r="AT81" s="1">
        <v>1.2</v>
      </c>
      <c r="AU81" s="1">
        <v>0.8</v>
      </c>
      <c r="AV81" s="1">
        <v>1.3</v>
      </c>
      <c r="AW81" s="1">
        <v>0.9</v>
      </c>
      <c r="AX81" s="1">
        <v>1.2</v>
      </c>
      <c r="AY81" s="1">
        <f t="shared" si="51"/>
        <v>1.08</v>
      </c>
      <c r="AZ81" s="1">
        <v>5</v>
      </c>
      <c r="BA81" s="1">
        <v>3</v>
      </c>
      <c r="BB81" s="1">
        <v>4</v>
      </c>
      <c r="BC81" s="1">
        <v>6</v>
      </c>
      <c r="BD81" s="1">
        <v>3</v>
      </c>
      <c r="BE81" s="1">
        <v>2</v>
      </c>
      <c r="BF81" s="1">
        <v>4</v>
      </c>
      <c r="BG81" s="1">
        <f t="shared" si="52"/>
        <v>3.8</v>
      </c>
      <c r="BH81" s="1">
        <v>3</v>
      </c>
      <c r="BI81" s="1">
        <v>9</v>
      </c>
      <c r="BJ81" s="1">
        <v>10</v>
      </c>
      <c r="BK81" s="1">
        <v>10</v>
      </c>
      <c r="BL81" s="1">
        <v>10</v>
      </c>
      <c r="BM81" s="1">
        <v>11</v>
      </c>
      <c r="BN81" s="1">
        <f t="shared" si="53"/>
        <v>10</v>
      </c>
      <c r="BO81" s="1">
        <v>1</v>
      </c>
      <c r="BP81" s="1">
        <v>0</v>
      </c>
      <c r="BQ81" s="1">
        <v>3</v>
      </c>
      <c r="BR81" s="1">
        <v>4</v>
      </c>
      <c r="BS81" s="1">
        <v>4</v>
      </c>
      <c r="BT81" s="1">
        <v>3</v>
      </c>
      <c r="BU81" s="1">
        <v>3</v>
      </c>
      <c r="BV81" s="1">
        <f t="shared" si="54"/>
        <v>3.4</v>
      </c>
      <c r="BW81" s="1">
        <v>54</v>
      </c>
      <c r="BX81" s="1">
        <v>46</v>
      </c>
      <c r="BY81" s="1">
        <v>43</v>
      </c>
      <c r="BZ81" s="1">
        <v>52</v>
      </c>
      <c r="CA81" s="1">
        <v>38</v>
      </c>
      <c r="CB81" s="1">
        <f t="shared" si="55"/>
        <v>46.6</v>
      </c>
      <c r="CC81" s="1">
        <v>1</v>
      </c>
      <c r="CD81" s="1">
        <v>7</v>
      </c>
      <c r="CE81" s="1">
        <v>6.97</v>
      </c>
      <c r="CF81" s="1">
        <v>6.41</v>
      </c>
      <c r="CG81" s="1">
        <v>6.99</v>
      </c>
      <c r="CH81" s="1">
        <v>6.25</v>
      </c>
      <c r="CI81" s="1">
        <v>5.9</v>
      </c>
      <c r="CJ81" s="1">
        <f t="shared" si="56"/>
        <v>6.5039999999999996</v>
      </c>
      <c r="CK81" s="1">
        <v>3.66</v>
      </c>
      <c r="CL81" s="1">
        <v>3.69</v>
      </c>
      <c r="CM81" s="1">
        <v>3.75</v>
      </c>
      <c r="CN81" s="1">
        <v>3.52</v>
      </c>
      <c r="CO81" s="1">
        <v>2.98</v>
      </c>
      <c r="CP81" s="1">
        <f t="shared" si="57"/>
        <v>3.5199999999999996</v>
      </c>
      <c r="CQ81" s="1">
        <v>2.75</v>
      </c>
      <c r="CR81" s="1">
        <v>2.57</v>
      </c>
      <c r="CS81" s="1">
        <v>2.76</v>
      </c>
      <c r="CT81" s="1">
        <v>2.34</v>
      </c>
      <c r="CU81" s="1">
        <v>2.5099999999999998</v>
      </c>
      <c r="CV81" s="1">
        <f t="shared" si="58"/>
        <v>2.5859999999999999</v>
      </c>
      <c r="CW81" s="1">
        <v>53.1</v>
      </c>
      <c r="CX81" s="1">
        <v>11.7</v>
      </c>
      <c r="CY81" s="1">
        <v>0.54</v>
      </c>
      <c r="CZ81" s="1">
        <f t="shared" si="59"/>
        <v>1.2000000000000002</v>
      </c>
      <c r="DA81" s="1">
        <f t="shared" si="41"/>
        <v>0.88300000000000001</v>
      </c>
      <c r="DB81" s="1">
        <f t="shared" si="42"/>
        <v>1.2249710982658961</v>
      </c>
    </row>
    <row r="82" spans="1:106" ht="16" thickBot="1" x14ac:dyDescent="0.4">
      <c r="A82" s="1">
        <v>198</v>
      </c>
      <c r="B82" s="7" t="s">
        <v>205</v>
      </c>
      <c r="C82" s="10" t="s">
        <v>72</v>
      </c>
      <c r="D82" s="10" t="s">
        <v>113</v>
      </c>
      <c r="E82" s="3">
        <v>45295</v>
      </c>
      <c r="F82" s="3">
        <f t="shared" si="45"/>
        <v>45274</v>
      </c>
      <c r="G82" s="1">
        <f t="shared" si="43"/>
        <v>21</v>
      </c>
      <c r="H82" s="1">
        <f t="shared" si="39"/>
        <v>106</v>
      </c>
      <c r="I82" s="1">
        <v>5</v>
      </c>
      <c r="J82" s="3">
        <v>45380</v>
      </c>
      <c r="K82" s="3">
        <v>45387</v>
      </c>
      <c r="L82" s="15">
        <f t="shared" si="44"/>
        <v>113</v>
      </c>
      <c r="M82" s="13">
        <f t="shared" si="40"/>
        <v>142</v>
      </c>
      <c r="N82" s="3">
        <v>45416</v>
      </c>
      <c r="O82" s="1">
        <v>102.4</v>
      </c>
      <c r="P82" s="1">
        <v>101.5</v>
      </c>
      <c r="Q82" s="1">
        <v>104.6</v>
      </c>
      <c r="R82" s="1">
        <v>97</v>
      </c>
      <c r="S82" s="1">
        <v>106.6</v>
      </c>
      <c r="T82" s="1">
        <f t="shared" si="46"/>
        <v>102.42</v>
      </c>
      <c r="U82" s="1">
        <v>22.8</v>
      </c>
      <c r="V82" s="1">
        <v>16.2</v>
      </c>
      <c r="W82" s="1">
        <v>19.899999999999999</v>
      </c>
      <c r="X82" s="1">
        <v>16.399999999999999</v>
      </c>
      <c r="Y82" s="1">
        <v>17.8</v>
      </c>
      <c r="Z82" s="1">
        <f t="shared" si="47"/>
        <v>18.619999999999997</v>
      </c>
      <c r="AA82" s="1">
        <v>11</v>
      </c>
      <c r="AB82" s="1">
        <v>8</v>
      </c>
      <c r="AC82" s="1">
        <v>8.5</v>
      </c>
      <c r="AD82" s="1">
        <v>9.4</v>
      </c>
      <c r="AE82" s="1">
        <v>9.8000000000000007</v>
      </c>
      <c r="AF82" s="1">
        <f t="shared" si="48"/>
        <v>9.34</v>
      </c>
      <c r="AG82" s="1">
        <v>3.4</v>
      </c>
      <c r="AH82" s="1">
        <v>4</v>
      </c>
      <c r="AI82" s="1">
        <v>4.4000000000000004</v>
      </c>
      <c r="AJ82" s="1">
        <v>1.3</v>
      </c>
      <c r="AK82" s="1">
        <v>3</v>
      </c>
      <c r="AL82" s="1">
        <f t="shared" si="49"/>
        <v>3.22</v>
      </c>
      <c r="AM82" s="1">
        <v>7</v>
      </c>
      <c r="AN82" s="1">
        <v>13.4</v>
      </c>
      <c r="AO82" s="1">
        <v>12.6</v>
      </c>
      <c r="AP82" s="1">
        <v>13.8</v>
      </c>
      <c r="AQ82" s="1">
        <v>11.2</v>
      </c>
      <c r="AR82" s="1">
        <v>11.5</v>
      </c>
      <c r="AS82" s="1">
        <f t="shared" si="50"/>
        <v>12.5</v>
      </c>
      <c r="AT82" s="1">
        <v>1.4</v>
      </c>
      <c r="AU82" s="1">
        <v>1.2</v>
      </c>
      <c r="AV82" s="1">
        <v>1.4</v>
      </c>
      <c r="AW82" s="1">
        <v>1.4</v>
      </c>
      <c r="AX82" s="1">
        <v>1.3</v>
      </c>
      <c r="AY82" s="1">
        <f t="shared" si="51"/>
        <v>1.3399999999999999</v>
      </c>
      <c r="AZ82" s="1">
        <v>5</v>
      </c>
      <c r="BA82" s="1">
        <v>3</v>
      </c>
      <c r="BB82" s="1">
        <v>2</v>
      </c>
      <c r="BC82" s="1">
        <v>9</v>
      </c>
      <c r="BD82" s="1">
        <v>5</v>
      </c>
      <c r="BE82" s="1">
        <v>4</v>
      </c>
      <c r="BF82" s="1">
        <v>8</v>
      </c>
      <c r="BG82" s="1">
        <f t="shared" si="52"/>
        <v>5.6</v>
      </c>
      <c r="BH82" s="1">
        <v>3</v>
      </c>
      <c r="BI82" s="1">
        <v>11</v>
      </c>
      <c r="BJ82" s="1">
        <v>9</v>
      </c>
      <c r="BK82" s="1">
        <v>10</v>
      </c>
      <c r="BL82" s="1">
        <v>10</v>
      </c>
      <c r="BM82" s="1">
        <v>10</v>
      </c>
      <c r="BN82" s="1">
        <f t="shared" si="53"/>
        <v>10</v>
      </c>
      <c r="BO82" s="1">
        <v>1</v>
      </c>
      <c r="BP82" s="1">
        <v>0</v>
      </c>
      <c r="BQ82" s="1">
        <v>3</v>
      </c>
      <c r="BR82" s="1">
        <v>4</v>
      </c>
      <c r="BS82" s="1">
        <v>3</v>
      </c>
      <c r="BT82" s="1">
        <v>3</v>
      </c>
      <c r="BU82" s="1">
        <v>3</v>
      </c>
      <c r="BV82" s="1">
        <f t="shared" si="54"/>
        <v>3.2</v>
      </c>
      <c r="BW82" s="1">
        <v>43</v>
      </c>
      <c r="BX82" s="1">
        <v>35</v>
      </c>
      <c r="BY82" s="1">
        <v>40</v>
      </c>
      <c r="BZ82" s="1">
        <v>41</v>
      </c>
      <c r="CA82" s="1">
        <v>56</v>
      </c>
      <c r="CB82" s="1">
        <f t="shared" si="55"/>
        <v>43</v>
      </c>
      <c r="CC82" s="1">
        <v>2</v>
      </c>
      <c r="CD82" s="1">
        <v>5</v>
      </c>
      <c r="CE82" s="1">
        <v>6.86</v>
      </c>
      <c r="CF82" s="1">
        <v>6.08</v>
      </c>
      <c r="CG82" s="1">
        <v>5.27</v>
      </c>
      <c r="CH82" s="1">
        <v>5.83</v>
      </c>
      <c r="CI82" s="1">
        <v>5.12</v>
      </c>
      <c r="CJ82" s="1">
        <f t="shared" si="56"/>
        <v>5.8319999999999999</v>
      </c>
      <c r="CK82" s="1">
        <v>3.48</v>
      </c>
      <c r="CL82" s="1">
        <v>3.43</v>
      </c>
      <c r="CM82" s="1">
        <v>2.72</v>
      </c>
      <c r="CN82" s="1">
        <v>3.32</v>
      </c>
      <c r="CO82" s="1">
        <v>2.5</v>
      </c>
      <c r="CP82" s="1">
        <f t="shared" si="57"/>
        <v>3.0900000000000003</v>
      </c>
      <c r="CQ82" s="1">
        <v>3.06</v>
      </c>
      <c r="CR82" s="1">
        <v>3.1</v>
      </c>
      <c r="CS82" s="1">
        <v>2.58</v>
      </c>
      <c r="CT82" s="1">
        <v>2.93</v>
      </c>
      <c r="CU82" s="1">
        <v>2.61</v>
      </c>
      <c r="CV82" s="1">
        <f t="shared" si="58"/>
        <v>2.8559999999999999</v>
      </c>
      <c r="CW82" s="1">
        <v>45.9</v>
      </c>
      <c r="CX82" s="1">
        <v>9.5</v>
      </c>
      <c r="CY82" s="1">
        <v>0.31</v>
      </c>
      <c r="CZ82" s="1">
        <f t="shared" si="59"/>
        <v>0.68888888888888888</v>
      </c>
      <c r="DA82" s="1">
        <f t="shared" si="41"/>
        <v>0.90500000000000003</v>
      </c>
      <c r="DB82" s="1">
        <f t="shared" si="42"/>
        <v>0.72074502247912653</v>
      </c>
    </row>
    <row r="83" spans="1:106" ht="16" thickBot="1" x14ac:dyDescent="0.4">
      <c r="A83" s="1">
        <v>199</v>
      </c>
      <c r="B83" s="7" t="s">
        <v>206</v>
      </c>
      <c r="C83" s="10" t="s">
        <v>73</v>
      </c>
      <c r="D83" s="10" t="s">
        <v>113</v>
      </c>
      <c r="E83" s="3">
        <v>45293</v>
      </c>
      <c r="F83" s="3">
        <f t="shared" si="45"/>
        <v>45274</v>
      </c>
      <c r="G83" s="1">
        <f t="shared" si="43"/>
        <v>19</v>
      </c>
      <c r="H83" s="1">
        <f t="shared" si="39"/>
        <v>112</v>
      </c>
      <c r="I83" s="1">
        <v>7</v>
      </c>
      <c r="J83" s="3">
        <v>45386</v>
      </c>
      <c r="K83" s="3">
        <v>45389</v>
      </c>
      <c r="L83" s="15">
        <f t="shared" si="44"/>
        <v>115</v>
      </c>
      <c r="M83" s="13">
        <f t="shared" si="40"/>
        <v>146</v>
      </c>
      <c r="N83" s="3">
        <v>45420</v>
      </c>
      <c r="O83" s="1">
        <v>128.5</v>
      </c>
      <c r="P83" s="1">
        <v>130.5</v>
      </c>
      <c r="Q83" s="1">
        <v>128.6</v>
      </c>
      <c r="R83" s="1">
        <v>132.4</v>
      </c>
      <c r="S83" s="1">
        <v>127.5</v>
      </c>
      <c r="T83" s="1">
        <f t="shared" si="46"/>
        <v>129.5</v>
      </c>
      <c r="U83" s="1">
        <v>21</v>
      </c>
      <c r="V83" s="1">
        <v>13.3</v>
      </c>
      <c r="W83" s="1">
        <v>24.3</v>
      </c>
      <c r="X83" s="1">
        <v>24</v>
      </c>
      <c r="Y83" s="1">
        <v>20</v>
      </c>
      <c r="Z83" s="1">
        <f t="shared" si="47"/>
        <v>20.52</v>
      </c>
      <c r="AA83" s="1">
        <v>8.1999999999999993</v>
      </c>
      <c r="AB83" s="1">
        <v>9</v>
      </c>
      <c r="AC83" s="1">
        <v>7.4</v>
      </c>
      <c r="AD83" s="1">
        <v>9</v>
      </c>
      <c r="AE83" s="1">
        <v>7.3</v>
      </c>
      <c r="AF83" s="1">
        <f t="shared" si="48"/>
        <v>8.18</v>
      </c>
      <c r="AG83" s="1">
        <v>0.1</v>
      </c>
      <c r="AH83" s="1">
        <v>1.2</v>
      </c>
      <c r="AI83" s="1">
        <v>1.5</v>
      </c>
      <c r="AJ83" s="1">
        <v>1</v>
      </c>
      <c r="AK83" s="1">
        <v>1.1000000000000001</v>
      </c>
      <c r="AL83" s="1">
        <f t="shared" si="49"/>
        <v>0.98000000000000009</v>
      </c>
      <c r="AM83" s="1">
        <v>3</v>
      </c>
      <c r="AN83" s="1">
        <v>12</v>
      </c>
      <c r="AO83" s="1">
        <v>11.1</v>
      </c>
      <c r="AP83" s="1">
        <v>11.6</v>
      </c>
      <c r="AQ83" s="1">
        <v>12.3</v>
      </c>
      <c r="AR83" s="1">
        <v>11.4</v>
      </c>
      <c r="AS83" s="1">
        <f t="shared" si="50"/>
        <v>11.68</v>
      </c>
      <c r="AT83" s="1">
        <v>1.3</v>
      </c>
      <c r="AU83" s="1">
        <v>1.3</v>
      </c>
      <c r="AV83" s="1">
        <v>1.3</v>
      </c>
      <c r="AW83" s="1">
        <v>1.3</v>
      </c>
      <c r="AX83" s="1">
        <v>1.3</v>
      </c>
      <c r="AY83" s="1">
        <f t="shared" si="51"/>
        <v>1.3</v>
      </c>
      <c r="AZ83" s="1">
        <v>3</v>
      </c>
      <c r="BA83" s="1">
        <v>3</v>
      </c>
      <c r="BB83" s="1">
        <v>11</v>
      </c>
      <c r="BC83" s="1">
        <v>14</v>
      </c>
      <c r="BD83" s="1">
        <v>16</v>
      </c>
      <c r="BE83" s="1">
        <v>4</v>
      </c>
      <c r="BF83" s="1">
        <v>9</v>
      </c>
      <c r="BG83" s="1">
        <f t="shared" si="52"/>
        <v>10.8</v>
      </c>
      <c r="BH83" s="1">
        <v>7</v>
      </c>
      <c r="BI83" s="1">
        <v>10</v>
      </c>
      <c r="BJ83" s="1">
        <v>11</v>
      </c>
      <c r="BK83" s="1">
        <v>10</v>
      </c>
      <c r="BL83" s="1">
        <v>11</v>
      </c>
      <c r="BM83" s="1">
        <v>10</v>
      </c>
      <c r="BN83" s="1">
        <f t="shared" si="53"/>
        <v>10.4</v>
      </c>
      <c r="BO83" s="1">
        <v>2</v>
      </c>
      <c r="BP83" s="1">
        <v>3</v>
      </c>
      <c r="BQ83" s="1">
        <v>2</v>
      </c>
      <c r="BR83" s="1">
        <v>2</v>
      </c>
      <c r="BS83" s="1">
        <v>3</v>
      </c>
      <c r="BT83" s="1">
        <v>2</v>
      </c>
      <c r="BU83" s="1">
        <v>2</v>
      </c>
      <c r="BV83" s="1">
        <f t="shared" si="54"/>
        <v>2.2000000000000002</v>
      </c>
      <c r="BW83" s="1">
        <v>42</v>
      </c>
      <c r="BX83" s="1">
        <v>35</v>
      </c>
      <c r="BY83" s="1">
        <v>34</v>
      </c>
      <c r="BZ83" s="1">
        <v>31</v>
      </c>
      <c r="CA83" s="1">
        <v>48</v>
      </c>
      <c r="CB83" s="1">
        <f t="shared" si="55"/>
        <v>38</v>
      </c>
      <c r="CC83" s="1">
        <v>2</v>
      </c>
      <c r="CD83" s="1">
        <v>3</v>
      </c>
      <c r="CE83" s="1">
        <v>6.34</v>
      </c>
      <c r="CF83" s="1">
        <v>5.67</v>
      </c>
      <c r="CG83" s="1">
        <v>5.48</v>
      </c>
      <c r="CH83" s="1">
        <v>6.08</v>
      </c>
      <c r="CI83" s="1">
        <v>5.72</v>
      </c>
      <c r="CJ83" s="1">
        <f t="shared" si="56"/>
        <v>5.8579999999999997</v>
      </c>
      <c r="CK83" s="1">
        <v>3.09</v>
      </c>
      <c r="CL83" s="1">
        <v>3.11</v>
      </c>
      <c r="CM83" s="1">
        <v>2.85</v>
      </c>
      <c r="CN83" s="1">
        <v>2.93</v>
      </c>
      <c r="CO83" s="1">
        <v>3.05</v>
      </c>
      <c r="CP83" s="1">
        <f t="shared" si="57"/>
        <v>3.0059999999999993</v>
      </c>
      <c r="CQ83" s="1">
        <v>2.82</v>
      </c>
      <c r="CR83" s="1">
        <v>2.63</v>
      </c>
      <c r="CS83" s="1">
        <v>2.42</v>
      </c>
      <c r="CT83" s="1">
        <v>2.52</v>
      </c>
      <c r="CU83" s="1">
        <v>2.65</v>
      </c>
      <c r="CV83" s="1">
        <f t="shared" si="58"/>
        <v>2.6079999999999997</v>
      </c>
      <c r="CW83" s="1">
        <v>24.9</v>
      </c>
      <c r="CX83" s="1">
        <v>9.6999999999999993</v>
      </c>
      <c r="CY83" s="1">
        <v>0.69499999999999995</v>
      </c>
      <c r="CZ83" s="1">
        <f t="shared" si="59"/>
        <v>1.5444444444444443</v>
      </c>
      <c r="DA83" s="1">
        <f t="shared" si="41"/>
        <v>0.90300000000000002</v>
      </c>
      <c r="DB83" s="1">
        <f t="shared" si="42"/>
        <v>1.6122928709055875</v>
      </c>
    </row>
    <row r="84" spans="1:106" ht="16" thickBot="1" x14ac:dyDescent="0.4">
      <c r="A84" s="1">
        <v>200</v>
      </c>
      <c r="B84" s="7" t="s">
        <v>207</v>
      </c>
      <c r="C84" s="10" t="s">
        <v>63</v>
      </c>
      <c r="D84" s="10" t="s">
        <v>113</v>
      </c>
      <c r="E84" s="3">
        <v>45293</v>
      </c>
      <c r="F84" s="3">
        <f t="shared" si="45"/>
        <v>45274</v>
      </c>
      <c r="G84" s="1">
        <f t="shared" si="43"/>
        <v>19</v>
      </c>
      <c r="H84" s="1">
        <f t="shared" si="39"/>
        <v>112</v>
      </c>
      <c r="I84" s="1">
        <v>7</v>
      </c>
      <c r="J84" s="3">
        <v>45386</v>
      </c>
      <c r="K84" s="3">
        <v>45390</v>
      </c>
      <c r="L84" s="15">
        <f t="shared" si="44"/>
        <v>116</v>
      </c>
      <c r="M84" s="13">
        <f t="shared" si="40"/>
        <v>146</v>
      </c>
      <c r="N84" s="3">
        <v>45420</v>
      </c>
      <c r="O84" s="1">
        <v>123.5</v>
      </c>
      <c r="P84" s="1">
        <v>122.5</v>
      </c>
      <c r="Q84" s="1">
        <v>130.30000000000001</v>
      </c>
      <c r="R84" s="1">
        <v>126.6</v>
      </c>
      <c r="S84" s="1">
        <v>126.6</v>
      </c>
      <c r="T84" s="1">
        <f t="shared" si="46"/>
        <v>125.9</v>
      </c>
      <c r="U84" s="1">
        <v>16.399999999999999</v>
      </c>
      <c r="V84" s="1">
        <v>28</v>
      </c>
      <c r="W84" s="1">
        <v>17.3</v>
      </c>
      <c r="X84" s="1">
        <v>20</v>
      </c>
      <c r="Y84" s="1">
        <v>18.2</v>
      </c>
      <c r="Z84" s="1">
        <f t="shared" si="47"/>
        <v>19.98</v>
      </c>
      <c r="AA84" s="1">
        <v>7</v>
      </c>
      <c r="AB84" s="1">
        <v>7.2</v>
      </c>
      <c r="AC84" s="1">
        <v>7.2</v>
      </c>
      <c r="AD84" s="1">
        <v>7</v>
      </c>
      <c r="AE84" s="1">
        <v>6.6</v>
      </c>
      <c r="AF84" s="1">
        <f t="shared" si="48"/>
        <v>7</v>
      </c>
      <c r="AG84" s="1">
        <v>0.3</v>
      </c>
      <c r="AH84" s="1">
        <v>2</v>
      </c>
      <c r="AI84" s="1">
        <v>1.2</v>
      </c>
      <c r="AJ84" s="1">
        <v>2.1</v>
      </c>
      <c r="AK84" s="1">
        <v>1.3</v>
      </c>
      <c r="AL84" s="1">
        <f t="shared" si="49"/>
        <v>1.38</v>
      </c>
      <c r="AM84" s="1">
        <v>7</v>
      </c>
      <c r="AN84" s="1">
        <v>16</v>
      </c>
      <c r="AO84" s="1">
        <v>13.5</v>
      </c>
      <c r="AP84" s="1">
        <v>14.5</v>
      </c>
      <c r="AQ84" s="1">
        <v>12.2</v>
      </c>
      <c r="AR84" s="1">
        <v>11.6</v>
      </c>
      <c r="AS84" s="1">
        <f t="shared" si="50"/>
        <v>13.559999999999999</v>
      </c>
      <c r="AT84" s="1">
        <v>1.3</v>
      </c>
      <c r="AU84" s="1">
        <v>1.4</v>
      </c>
      <c r="AV84" s="1">
        <v>1.4</v>
      </c>
      <c r="AW84" s="1">
        <v>1.2</v>
      </c>
      <c r="AX84" s="1">
        <v>1.4</v>
      </c>
      <c r="AY84" s="1">
        <f t="shared" si="51"/>
        <v>1.3399999999999999</v>
      </c>
      <c r="AZ84" s="1">
        <v>3</v>
      </c>
      <c r="BA84" s="1">
        <v>3</v>
      </c>
      <c r="BB84" s="1">
        <v>26</v>
      </c>
      <c r="BC84" s="1">
        <v>28</v>
      </c>
      <c r="BD84" s="1">
        <v>10</v>
      </c>
      <c r="BE84" s="1">
        <v>30</v>
      </c>
      <c r="BF84" s="1">
        <v>25</v>
      </c>
      <c r="BG84" s="1">
        <f t="shared" si="52"/>
        <v>23.8</v>
      </c>
      <c r="BH84" s="1">
        <v>9</v>
      </c>
      <c r="BI84" s="1">
        <v>10</v>
      </c>
      <c r="BJ84" s="1">
        <v>11</v>
      </c>
      <c r="BK84" s="1">
        <v>11</v>
      </c>
      <c r="BL84" s="1">
        <v>11</v>
      </c>
      <c r="BM84" s="1">
        <v>11</v>
      </c>
      <c r="BN84" s="1">
        <f t="shared" si="53"/>
        <v>10.8</v>
      </c>
      <c r="BO84" s="1">
        <v>3</v>
      </c>
      <c r="BP84" s="1">
        <v>0</v>
      </c>
      <c r="BQ84" s="1">
        <v>2</v>
      </c>
      <c r="BR84" s="1">
        <v>3</v>
      </c>
      <c r="BS84" s="1">
        <v>2</v>
      </c>
      <c r="BT84" s="1">
        <v>2</v>
      </c>
      <c r="BU84" s="1">
        <v>2</v>
      </c>
      <c r="BV84" s="1">
        <f t="shared" si="54"/>
        <v>2.2000000000000002</v>
      </c>
      <c r="BW84" s="1">
        <v>37</v>
      </c>
      <c r="BX84" s="1">
        <v>42</v>
      </c>
      <c r="BY84" s="1">
        <v>45</v>
      </c>
      <c r="BZ84" s="1">
        <v>43</v>
      </c>
      <c r="CA84" s="1">
        <v>61</v>
      </c>
      <c r="CB84" s="1">
        <f t="shared" si="55"/>
        <v>45.6</v>
      </c>
      <c r="CC84" s="1">
        <v>2</v>
      </c>
      <c r="CD84" s="1">
        <v>3</v>
      </c>
      <c r="CE84" s="1">
        <v>5.59</v>
      </c>
      <c r="CF84" s="1">
        <v>6.16</v>
      </c>
      <c r="CG84" s="1">
        <v>5.77</v>
      </c>
      <c r="CH84" s="1">
        <v>5.85</v>
      </c>
      <c r="CI84" s="1">
        <v>4.99</v>
      </c>
      <c r="CJ84" s="1">
        <f t="shared" si="56"/>
        <v>5.6719999999999997</v>
      </c>
      <c r="CK84" s="1">
        <v>3.08</v>
      </c>
      <c r="CL84" s="1">
        <v>3.02</v>
      </c>
      <c r="CM84" s="1">
        <v>3.21</v>
      </c>
      <c r="CN84" s="1">
        <v>3.21</v>
      </c>
      <c r="CO84" s="1">
        <v>2.91</v>
      </c>
      <c r="CP84" s="1">
        <f t="shared" si="57"/>
        <v>3.0859999999999999</v>
      </c>
      <c r="CQ84" s="1">
        <v>2.81</v>
      </c>
      <c r="CR84" s="1">
        <v>2.87</v>
      </c>
      <c r="CS84" s="1">
        <v>2.65</v>
      </c>
      <c r="CT84" s="1">
        <v>2.52</v>
      </c>
      <c r="CU84" s="1">
        <v>2.6</v>
      </c>
      <c r="CV84" s="1">
        <f t="shared" si="58"/>
        <v>2.69</v>
      </c>
      <c r="CW84" s="1">
        <v>17.600000000000001</v>
      </c>
      <c r="CX84" s="1">
        <v>9.9</v>
      </c>
      <c r="CY84" s="1">
        <v>0.48499999999999999</v>
      </c>
      <c r="CZ84" s="1">
        <f t="shared" si="59"/>
        <v>1.0777777777777777</v>
      </c>
      <c r="DA84" s="1">
        <f t="shared" si="41"/>
        <v>0.90099999999999991</v>
      </c>
      <c r="DB84" s="1">
        <f t="shared" si="42"/>
        <v>1.1226332691072574</v>
      </c>
    </row>
    <row r="85" spans="1:106" ht="16" thickBot="1" x14ac:dyDescent="0.4">
      <c r="A85" s="1">
        <v>201</v>
      </c>
      <c r="B85" s="7" t="s">
        <v>208</v>
      </c>
      <c r="C85" s="10" t="s">
        <v>52</v>
      </c>
      <c r="D85" s="10" t="s">
        <v>111</v>
      </c>
      <c r="E85" s="3">
        <v>45292</v>
      </c>
      <c r="F85" s="3">
        <f t="shared" si="45"/>
        <v>45274</v>
      </c>
      <c r="G85" s="1">
        <f t="shared" si="43"/>
        <v>18</v>
      </c>
      <c r="H85" s="1">
        <f t="shared" si="39"/>
        <v>112</v>
      </c>
      <c r="I85" s="1">
        <v>7</v>
      </c>
      <c r="J85" s="3">
        <v>45386</v>
      </c>
      <c r="K85" s="3">
        <v>45389</v>
      </c>
      <c r="L85" s="15">
        <f t="shared" si="44"/>
        <v>115</v>
      </c>
      <c r="M85" s="13">
        <f t="shared" si="40"/>
        <v>146</v>
      </c>
      <c r="N85" s="3">
        <v>45420</v>
      </c>
      <c r="O85" s="1">
        <v>127.5</v>
      </c>
      <c r="P85" s="1">
        <v>129.6</v>
      </c>
      <c r="Q85" s="1">
        <v>127.4</v>
      </c>
      <c r="R85" s="1">
        <v>130.6</v>
      </c>
      <c r="S85" s="1">
        <v>128.5</v>
      </c>
      <c r="T85" s="1">
        <f t="shared" si="46"/>
        <v>128.72</v>
      </c>
      <c r="U85" s="1">
        <v>9.5</v>
      </c>
      <c r="V85" s="1">
        <v>21.2</v>
      </c>
      <c r="W85" s="1">
        <v>23.4</v>
      </c>
      <c r="X85" s="1">
        <v>27.2</v>
      </c>
      <c r="Y85" s="1">
        <v>24.5</v>
      </c>
      <c r="Z85" s="1">
        <f t="shared" si="47"/>
        <v>21.16</v>
      </c>
      <c r="AA85" s="1">
        <v>9</v>
      </c>
      <c r="AB85" s="1">
        <v>8.9</v>
      </c>
      <c r="AC85" s="1">
        <v>9.3000000000000007</v>
      </c>
      <c r="AD85" s="1">
        <v>7</v>
      </c>
      <c r="AE85" s="1">
        <v>7.3</v>
      </c>
      <c r="AF85" s="1">
        <f t="shared" si="48"/>
        <v>8.3000000000000007</v>
      </c>
      <c r="AG85" s="1">
        <v>0.2</v>
      </c>
      <c r="AH85" s="1">
        <v>0.9</v>
      </c>
      <c r="AI85" s="1">
        <v>1</v>
      </c>
      <c r="AJ85" s="1">
        <v>1.3</v>
      </c>
      <c r="AK85" s="1">
        <v>1.1000000000000001</v>
      </c>
      <c r="AL85" s="1">
        <f t="shared" si="49"/>
        <v>0.9</v>
      </c>
      <c r="AM85" s="1">
        <v>3</v>
      </c>
      <c r="AN85" s="1">
        <v>13.1</v>
      </c>
      <c r="AO85" s="1">
        <v>13.3</v>
      </c>
      <c r="AP85" s="1">
        <v>13.4</v>
      </c>
      <c r="AQ85" s="1">
        <v>12.4</v>
      </c>
      <c r="AR85" s="1">
        <v>1.7</v>
      </c>
      <c r="AS85" s="1">
        <f t="shared" si="50"/>
        <v>10.78</v>
      </c>
      <c r="AT85" s="1">
        <v>1.1000000000000001</v>
      </c>
      <c r="AU85" s="1">
        <v>1.1000000000000001</v>
      </c>
      <c r="AV85" s="1">
        <v>1.1000000000000001</v>
      </c>
      <c r="AW85" s="1">
        <v>1.1000000000000001</v>
      </c>
      <c r="AX85" s="1">
        <v>1.2</v>
      </c>
      <c r="AY85" s="1">
        <f t="shared" si="51"/>
        <v>1.1200000000000001</v>
      </c>
      <c r="AZ85" s="1">
        <v>5</v>
      </c>
      <c r="BA85" s="1">
        <v>5</v>
      </c>
      <c r="BB85" s="1">
        <v>8</v>
      </c>
      <c r="BC85" s="1">
        <v>12</v>
      </c>
      <c r="BD85" s="1">
        <v>6</v>
      </c>
      <c r="BE85" s="1">
        <v>4</v>
      </c>
      <c r="BF85" s="1">
        <v>14</v>
      </c>
      <c r="BG85" s="1">
        <f t="shared" si="52"/>
        <v>8.8000000000000007</v>
      </c>
      <c r="BH85" s="1">
        <v>7</v>
      </c>
      <c r="BI85" s="1">
        <v>11</v>
      </c>
      <c r="BJ85" s="1">
        <v>11</v>
      </c>
      <c r="BK85" s="1">
        <v>11</v>
      </c>
      <c r="BL85" s="1">
        <v>12</v>
      </c>
      <c r="BM85" s="1">
        <v>11</v>
      </c>
      <c r="BN85" s="1">
        <f t="shared" si="53"/>
        <v>11.2</v>
      </c>
      <c r="BO85" s="1">
        <v>2</v>
      </c>
      <c r="BP85" s="1">
        <v>7</v>
      </c>
      <c r="BQ85" s="1">
        <v>4</v>
      </c>
      <c r="BR85" s="1">
        <v>3</v>
      </c>
      <c r="BS85" s="1">
        <v>3</v>
      </c>
      <c r="BT85" s="1">
        <v>2</v>
      </c>
      <c r="BU85" s="1">
        <v>3</v>
      </c>
      <c r="BV85" s="1">
        <f t="shared" si="54"/>
        <v>3</v>
      </c>
      <c r="BW85" s="1">
        <v>72</v>
      </c>
      <c r="BX85" s="1">
        <v>44</v>
      </c>
      <c r="BY85" s="1">
        <v>62</v>
      </c>
      <c r="BZ85" s="1">
        <v>56</v>
      </c>
      <c r="CA85" s="1">
        <v>45</v>
      </c>
      <c r="CB85" s="1">
        <f t="shared" si="55"/>
        <v>55.8</v>
      </c>
      <c r="CC85" s="1">
        <v>2</v>
      </c>
      <c r="CD85" s="1">
        <v>5</v>
      </c>
      <c r="CE85" s="1">
        <v>6.67</v>
      </c>
      <c r="CF85" s="1">
        <v>6.09</v>
      </c>
      <c r="CG85" s="1">
        <v>5.7</v>
      </c>
      <c r="CH85" s="1">
        <v>5.1100000000000003</v>
      </c>
      <c r="CI85" s="1">
        <v>6.18</v>
      </c>
      <c r="CJ85" s="1">
        <f t="shared" si="56"/>
        <v>5.95</v>
      </c>
      <c r="CK85" s="1">
        <v>3.09</v>
      </c>
      <c r="CL85" s="1">
        <v>3.19</v>
      </c>
      <c r="CM85" s="1">
        <v>2.87</v>
      </c>
      <c r="CN85" s="1">
        <v>2.87</v>
      </c>
      <c r="CO85" s="1">
        <v>3.11</v>
      </c>
      <c r="CP85" s="1">
        <f t="shared" si="57"/>
        <v>3.0259999999999998</v>
      </c>
      <c r="CQ85" s="1">
        <v>2.82</v>
      </c>
      <c r="CR85" s="1">
        <v>2.7</v>
      </c>
      <c r="CS85" s="1">
        <v>3.08</v>
      </c>
      <c r="CT85" s="1">
        <v>2.23</v>
      </c>
      <c r="CU85" s="1">
        <v>2.97</v>
      </c>
      <c r="CV85" s="1">
        <f t="shared" si="58"/>
        <v>2.7600000000000002</v>
      </c>
      <c r="CW85" s="1">
        <v>31.5</v>
      </c>
      <c r="CX85" s="1">
        <v>10.3</v>
      </c>
      <c r="CY85" s="1">
        <v>0.71</v>
      </c>
      <c r="CZ85" s="1">
        <f t="shared" si="59"/>
        <v>1.5777777777777777</v>
      </c>
      <c r="DA85" s="1">
        <f t="shared" si="41"/>
        <v>0.89700000000000002</v>
      </c>
      <c r="DB85" s="1">
        <f t="shared" si="42"/>
        <v>1.6361464354527939</v>
      </c>
    </row>
    <row r="86" spans="1:106" ht="16" thickBot="1" x14ac:dyDescent="0.4">
      <c r="A86" s="1">
        <v>202</v>
      </c>
      <c r="B86" s="7" t="s">
        <v>209</v>
      </c>
      <c r="C86" s="10" t="s">
        <v>74</v>
      </c>
      <c r="D86" s="10" t="s">
        <v>111</v>
      </c>
      <c r="E86" s="3">
        <v>45292</v>
      </c>
      <c r="F86" s="3">
        <f t="shared" si="45"/>
        <v>45274</v>
      </c>
      <c r="G86" s="1">
        <f t="shared" si="43"/>
        <v>18</v>
      </c>
      <c r="H86" s="1">
        <f t="shared" si="39"/>
        <v>112</v>
      </c>
      <c r="I86" s="1">
        <v>7</v>
      </c>
      <c r="J86" s="3">
        <v>45386</v>
      </c>
      <c r="K86" s="3">
        <v>45388</v>
      </c>
      <c r="L86" s="15">
        <f t="shared" si="44"/>
        <v>114</v>
      </c>
      <c r="M86" s="13">
        <f t="shared" si="40"/>
        <v>146</v>
      </c>
      <c r="N86" s="3">
        <v>45420</v>
      </c>
      <c r="O86" s="1">
        <v>115.4</v>
      </c>
      <c r="P86" s="1">
        <v>120.8</v>
      </c>
      <c r="Q86" s="1">
        <v>128.5</v>
      </c>
      <c r="R86" s="1">
        <v>133.6</v>
      </c>
      <c r="S86" s="1">
        <v>131.30000000000001</v>
      </c>
      <c r="T86" s="1">
        <f t="shared" si="46"/>
        <v>125.91999999999999</v>
      </c>
      <c r="U86" s="1">
        <v>26</v>
      </c>
      <c r="V86" s="1">
        <v>27</v>
      </c>
      <c r="W86" s="1">
        <v>22</v>
      </c>
      <c r="X86" s="1">
        <v>21</v>
      </c>
      <c r="Y86" s="1">
        <v>21</v>
      </c>
      <c r="Z86" s="1">
        <f t="shared" si="47"/>
        <v>23.4</v>
      </c>
      <c r="AA86" s="1">
        <v>8</v>
      </c>
      <c r="AB86" s="1">
        <v>7.2</v>
      </c>
      <c r="AC86" s="1">
        <v>6.6</v>
      </c>
      <c r="AD86" s="1">
        <v>8.3000000000000007</v>
      </c>
      <c r="AE86" s="1">
        <v>8.1999999999999993</v>
      </c>
      <c r="AF86" s="1">
        <f t="shared" si="48"/>
        <v>7.6599999999999993</v>
      </c>
      <c r="AG86" s="1">
        <v>7.8</v>
      </c>
      <c r="AH86" s="1">
        <v>1.2</v>
      </c>
      <c r="AI86" s="1">
        <v>0.8</v>
      </c>
      <c r="AJ86" s="1">
        <v>0.4</v>
      </c>
      <c r="AK86" s="1">
        <v>1.1000000000000001</v>
      </c>
      <c r="AL86" s="1">
        <f t="shared" si="49"/>
        <v>2.2600000000000002</v>
      </c>
      <c r="AM86" s="1">
        <v>7</v>
      </c>
      <c r="AN86" s="1">
        <v>13</v>
      </c>
      <c r="AO86" s="1">
        <v>14.4</v>
      </c>
      <c r="AP86" s="1">
        <v>12.6</v>
      </c>
      <c r="AQ86" s="1">
        <v>9.3000000000000007</v>
      </c>
      <c r="AR86" s="1">
        <v>10.9</v>
      </c>
      <c r="AS86" s="1">
        <f t="shared" si="50"/>
        <v>12.04</v>
      </c>
      <c r="AT86" s="1">
        <v>1.2</v>
      </c>
      <c r="AU86" s="1">
        <v>1.5</v>
      </c>
      <c r="AV86" s="1">
        <v>1.3</v>
      </c>
      <c r="AW86" s="1">
        <v>1.2</v>
      </c>
      <c r="AX86" s="1">
        <v>1.3</v>
      </c>
      <c r="AY86" s="1">
        <f t="shared" si="51"/>
        <v>1.3</v>
      </c>
      <c r="AZ86" s="1">
        <v>5</v>
      </c>
      <c r="BA86" s="1">
        <v>5</v>
      </c>
      <c r="BB86" s="1">
        <v>8</v>
      </c>
      <c r="BC86" s="1">
        <v>7</v>
      </c>
      <c r="BD86" s="1">
        <v>10</v>
      </c>
      <c r="BE86" s="1">
        <v>5</v>
      </c>
      <c r="BF86" s="1">
        <v>6</v>
      </c>
      <c r="BG86" s="1">
        <f t="shared" si="52"/>
        <v>7.2</v>
      </c>
      <c r="BH86" s="1">
        <v>9</v>
      </c>
      <c r="BI86" s="1">
        <v>9</v>
      </c>
      <c r="BJ86" s="1">
        <v>10</v>
      </c>
      <c r="BK86" s="1">
        <v>9</v>
      </c>
      <c r="BL86" s="1">
        <v>10</v>
      </c>
      <c r="BM86" s="1">
        <v>9</v>
      </c>
      <c r="BN86" s="1">
        <f t="shared" si="53"/>
        <v>9.4</v>
      </c>
      <c r="BO86" s="1">
        <v>2</v>
      </c>
      <c r="BP86" s="1">
        <v>3</v>
      </c>
      <c r="BQ86" s="1">
        <v>3</v>
      </c>
      <c r="BR86" s="1">
        <v>3</v>
      </c>
      <c r="BS86" s="1">
        <v>3</v>
      </c>
      <c r="BT86" s="1">
        <v>4</v>
      </c>
      <c r="BU86" s="1">
        <v>3</v>
      </c>
      <c r="BV86" s="1">
        <f t="shared" si="54"/>
        <v>3.2</v>
      </c>
      <c r="BW86" s="1">
        <v>49</v>
      </c>
      <c r="BX86" s="1">
        <v>32</v>
      </c>
      <c r="BY86" s="1">
        <v>42</v>
      </c>
      <c r="BZ86" s="1">
        <v>54</v>
      </c>
      <c r="CA86" s="1">
        <v>58</v>
      </c>
      <c r="CB86" s="1">
        <f t="shared" si="55"/>
        <v>47</v>
      </c>
      <c r="CC86" s="1">
        <v>2</v>
      </c>
      <c r="CD86" s="1">
        <v>5</v>
      </c>
      <c r="CE86" s="1">
        <v>5.46</v>
      </c>
      <c r="CF86" s="1">
        <v>5.28</v>
      </c>
      <c r="CG86" s="1">
        <v>5.97</v>
      </c>
      <c r="CH86" s="1">
        <v>6.32</v>
      </c>
      <c r="CI86" s="1">
        <v>5.37</v>
      </c>
      <c r="CJ86" s="1">
        <f t="shared" si="56"/>
        <v>5.6800000000000006</v>
      </c>
      <c r="CK86" s="1">
        <v>3.27</v>
      </c>
      <c r="CL86" s="1">
        <v>3.29</v>
      </c>
      <c r="CM86" s="1">
        <v>2.98</v>
      </c>
      <c r="CN86" s="1">
        <v>3.21</v>
      </c>
      <c r="CO86" s="1">
        <v>2.72</v>
      </c>
      <c r="CP86" s="1">
        <f t="shared" si="57"/>
        <v>3.0940000000000003</v>
      </c>
      <c r="CQ86" s="1">
        <v>2.73</v>
      </c>
      <c r="CR86" s="1">
        <v>2.78</v>
      </c>
      <c r="CS86" s="1">
        <v>2.46</v>
      </c>
      <c r="CT86" s="1">
        <v>3.26</v>
      </c>
      <c r="CU86" s="1">
        <v>3.03</v>
      </c>
      <c r="CV86" s="1">
        <f t="shared" si="58"/>
        <v>2.8519999999999999</v>
      </c>
      <c r="CW86" s="1">
        <v>31.5</v>
      </c>
      <c r="CX86" s="1">
        <v>10.199999999999999</v>
      </c>
      <c r="CY86" s="1">
        <v>0.57499999999999996</v>
      </c>
      <c r="CZ86" s="1">
        <f t="shared" si="59"/>
        <v>1.2777777777777777</v>
      </c>
      <c r="DA86" s="1">
        <f t="shared" si="41"/>
        <v>0.89800000000000002</v>
      </c>
      <c r="DB86" s="1">
        <f t="shared" si="42"/>
        <v>1.3265253692999359</v>
      </c>
    </row>
    <row r="87" spans="1:106" ht="16" thickBot="1" x14ac:dyDescent="0.4">
      <c r="A87" s="1">
        <v>203</v>
      </c>
      <c r="B87" s="7" t="s">
        <v>210</v>
      </c>
      <c r="C87" s="10" t="s">
        <v>52</v>
      </c>
      <c r="D87" s="10" t="s">
        <v>120</v>
      </c>
      <c r="E87" s="3">
        <v>45292</v>
      </c>
      <c r="F87" s="3">
        <f t="shared" si="45"/>
        <v>45274</v>
      </c>
      <c r="G87" s="1">
        <f t="shared" si="43"/>
        <v>18</v>
      </c>
      <c r="H87" s="1">
        <f t="shared" si="39"/>
        <v>103</v>
      </c>
      <c r="I87" s="1">
        <v>7</v>
      </c>
      <c r="J87" s="3">
        <v>45377</v>
      </c>
      <c r="K87" s="3">
        <v>45386</v>
      </c>
      <c r="L87" s="15">
        <f t="shared" si="44"/>
        <v>112</v>
      </c>
      <c r="M87" s="13">
        <f t="shared" si="40"/>
        <v>148</v>
      </c>
      <c r="N87" s="3">
        <v>45422</v>
      </c>
      <c r="O87" s="1">
        <v>106.3</v>
      </c>
      <c r="P87" s="1">
        <v>106.8</v>
      </c>
      <c r="Q87" s="1">
        <v>101.1</v>
      </c>
      <c r="R87" s="1">
        <v>103.4</v>
      </c>
      <c r="S87" s="1">
        <v>95</v>
      </c>
      <c r="T87" s="1">
        <f t="shared" si="46"/>
        <v>102.52000000000001</v>
      </c>
      <c r="U87" s="1">
        <v>18.2</v>
      </c>
      <c r="V87" s="1">
        <v>19.2</v>
      </c>
      <c r="W87" s="1">
        <v>20.5</v>
      </c>
      <c r="X87" s="1">
        <v>19</v>
      </c>
      <c r="Y87" s="1">
        <v>19</v>
      </c>
      <c r="Z87" s="1">
        <f t="shared" si="47"/>
        <v>19.18</v>
      </c>
      <c r="AA87" s="1">
        <v>10</v>
      </c>
      <c r="AB87" s="1">
        <v>10.199999999999999</v>
      </c>
      <c r="AC87" s="1">
        <v>10</v>
      </c>
      <c r="AD87" s="1">
        <v>11</v>
      </c>
      <c r="AE87" s="1">
        <v>10</v>
      </c>
      <c r="AF87" s="1">
        <f t="shared" si="48"/>
        <v>10.24</v>
      </c>
      <c r="AG87" s="1">
        <v>5.3</v>
      </c>
      <c r="AH87" s="1">
        <v>5</v>
      </c>
      <c r="AI87" s="1">
        <v>6</v>
      </c>
      <c r="AJ87" s="1">
        <v>6.2</v>
      </c>
      <c r="AK87" s="1">
        <v>6.2</v>
      </c>
      <c r="AL87" s="1">
        <f t="shared" si="49"/>
        <v>5.74</v>
      </c>
      <c r="AM87" s="1">
        <v>7</v>
      </c>
      <c r="AN87" s="1">
        <v>12.1</v>
      </c>
      <c r="AO87" s="1">
        <v>11.8</v>
      </c>
      <c r="AP87" s="1">
        <v>10.9</v>
      </c>
      <c r="AQ87" s="1">
        <v>9.8000000000000007</v>
      </c>
      <c r="AR87" s="1">
        <v>12.6</v>
      </c>
      <c r="AS87" s="1">
        <f t="shared" si="50"/>
        <v>11.44</v>
      </c>
      <c r="AT87" s="1">
        <v>1.1000000000000001</v>
      </c>
      <c r="AU87" s="1">
        <v>1.2</v>
      </c>
      <c r="AV87" s="1">
        <v>1</v>
      </c>
      <c r="AW87" s="1">
        <v>1.1000000000000001</v>
      </c>
      <c r="AX87" s="1">
        <v>1</v>
      </c>
      <c r="AY87" s="1">
        <f t="shared" si="51"/>
        <v>1.08</v>
      </c>
      <c r="AZ87" s="1">
        <v>5</v>
      </c>
      <c r="BA87" s="1">
        <v>5</v>
      </c>
      <c r="BB87" s="1">
        <v>17</v>
      </c>
      <c r="BC87" s="1">
        <v>10</v>
      </c>
      <c r="BD87" s="1">
        <v>8</v>
      </c>
      <c r="BE87" s="1">
        <v>7</v>
      </c>
      <c r="BF87" s="1">
        <v>3</v>
      </c>
      <c r="BG87" s="1">
        <f t="shared" si="52"/>
        <v>9</v>
      </c>
      <c r="BH87" s="1">
        <v>1</v>
      </c>
      <c r="BI87" s="1">
        <v>8</v>
      </c>
      <c r="BJ87" s="1">
        <v>9</v>
      </c>
      <c r="BK87" s="1">
        <v>9</v>
      </c>
      <c r="BL87" s="1">
        <v>9</v>
      </c>
      <c r="BM87" s="1">
        <v>8</v>
      </c>
      <c r="BN87" s="1">
        <f t="shared" si="53"/>
        <v>8.6</v>
      </c>
      <c r="BO87" s="1">
        <v>2</v>
      </c>
      <c r="BP87" s="1">
        <v>0</v>
      </c>
      <c r="BQ87" s="1">
        <v>3</v>
      </c>
      <c r="BR87" s="1">
        <v>3</v>
      </c>
      <c r="BS87" s="1">
        <v>2</v>
      </c>
      <c r="BT87" s="1">
        <v>3</v>
      </c>
      <c r="BU87" s="1">
        <v>3</v>
      </c>
      <c r="BV87" s="1">
        <f t="shared" si="54"/>
        <v>2.8</v>
      </c>
      <c r="BW87" s="1">
        <v>42</v>
      </c>
      <c r="BX87" s="1">
        <v>33</v>
      </c>
      <c r="BY87" s="1">
        <v>40</v>
      </c>
      <c r="BZ87" s="1">
        <v>34</v>
      </c>
      <c r="CA87" s="1">
        <v>29</v>
      </c>
      <c r="CB87" s="1">
        <f t="shared" si="55"/>
        <v>35.6</v>
      </c>
      <c r="CC87" s="1">
        <v>1</v>
      </c>
      <c r="CD87" s="1">
        <v>7</v>
      </c>
      <c r="CE87" s="1">
        <v>7.16</v>
      </c>
      <c r="CF87" s="1">
        <v>6.78</v>
      </c>
      <c r="CG87" s="1">
        <v>6.32</v>
      </c>
      <c r="CH87" s="1">
        <v>5.95</v>
      </c>
      <c r="CI87" s="1">
        <v>6.5</v>
      </c>
      <c r="CJ87" s="1">
        <f t="shared" si="56"/>
        <v>6.5419999999999998</v>
      </c>
      <c r="CK87" s="1">
        <v>3.62</v>
      </c>
      <c r="CL87" s="1">
        <v>3.48</v>
      </c>
      <c r="CM87" s="1">
        <v>3.77</v>
      </c>
      <c r="CN87" s="1">
        <v>3.58</v>
      </c>
      <c r="CO87" s="1">
        <v>3.42</v>
      </c>
      <c r="CP87" s="1">
        <f t="shared" si="57"/>
        <v>3.5739999999999994</v>
      </c>
      <c r="CQ87" s="1">
        <v>3.16</v>
      </c>
      <c r="CR87" s="1">
        <v>2.83</v>
      </c>
      <c r="CS87" s="1">
        <v>2.91</v>
      </c>
      <c r="CT87" s="1">
        <v>2.79</v>
      </c>
      <c r="CU87" s="1">
        <v>2.59</v>
      </c>
      <c r="CV87" s="1">
        <f t="shared" si="58"/>
        <v>2.8560000000000003</v>
      </c>
      <c r="CW87" s="1">
        <v>47.6</v>
      </c>
      <c r="CX87" s="1">
        <v>10</v>
      </c>
      <c r="CY87" s="1">
        <v>0.71299999999999997</v>
      </c>
      <c r="CZ87" s="1">
        <f t="shared" si="59"/>
        <v>1.5844444444444443</v>
      </c>
      <c r="DA87" s="1">
        <f t="shared" si="41"/>
        <v>0.9</v>
      </c>
      <c r="DB87" s="1">
        <f t="shared" si="42"/>
        <v>1.6485549132947976</v>
      </c>
    </row>
    <row r="88" spans="1:106" ht="16" thickBot="1" x14ac:dyDescent="0.4">
      <c r="A88" s="1">
        <v>204</v>
      </c>
      <c r="B88" s="7" t="s">
        <v>211</v>
      </c>
      <c r="C88" s="10" t="s">
        <v>75</v>
      </c>
      <c r="D88" s="10"/>
      <c r="E88" s="3">
        <v>45293</v>
      </c>
      <c r="F88" s="3">
        <f t="shared" si="45"/>
        <v>45274</v>
      </c>
      <c r="G88" s="1">
        <f t="shared" si="43"/>
        <v>19</v>
      </c>
      <c r="H88" s="1">
        <f t="shared" si="39"/>
        <v>104</v>
      </c>
      <c r="I88" s="1">
        <v>7</v>
      </c>
      <c r="J88" s="3">
        <v>45378</v>
      </c>
      <c r="K88" s="3">
        <v>45383</v>
      </c>
      <c r="L88" s="15">
        <f t="shared" si="44"/>
        <v>109</v>
      </c>
      <c r="M88" s="13">
        <f t="shared" si="40"/>
        <v>149</v>
      </c>
      <c r="N88" s="3">
        <v>45423</v>
      </c>
      <c r="O88" s="1">
        <v>103.3</v>
      </c>
      <c r="P88" s="1">
        <v>90</v>
      </c>
      <c r="Q88" s="1">
        <v>89</v>
      </c>
      <c r="R88" s="1">
        <v>90</v>
      </c>
      <c r="S88" s="1">
        <v>102.2</v>
      </c>
      <c r="T88" s="1">
        <f t="shared" si="46"/>
        <v>94.9</v>
      </c>
      <c r="U88" s="1">
        <v>13</v>
      </c>
      <c r="V88" s="1">
        <v>17</v>
      </c>
      <c r="W88" s="1">
        <v>9.5</v>
      </c>
      <c r="X88" s="1">
        <v>19.5</v>
      </c>
      <c r="Y88" s="1">
        <v>12.5</v>
      </c>
      <c r="Z88" s="1">
        <f t="shared" si="47"/>
        <v>14.3</v>
      </c>
      <c r="AA88" s="1">
        <v>9</v>
      </c>
      <c r="AB88" s="1">
        <v>8.1999999999999993</v>
      </c>
      <c r="AC88" s="1">
        <v>7.5</v>
      </c>
      <c r="AD88" s="1">
        <v>7.5</v>
      </c>
      <c r="AE88" s="1">
        <v>9.5</v>
      </c>
      <c r="AF88" s="1">
        <f t="shared" si="48"/>
        <v>8.34</v>
      </c>
      <c r="AG88" s="1">
        <v>5</v>
      </c>
      <c r="AH88" s="1">
        <v>5</v>
      </c>
      <c r="AI88" s="1">
        <v>6.5</v>
      </c>
      <c r="AJ88" s="1">
        <v>7.5</v>
      </c>
      <c r="AK88" s="1">
        <v>5.5</v>
      </c>
      <c r="AL88" s="1">
        <f t="shared" si="49"/>
        <v>5.9</v>
      </c>
      <c r="AM88" s="1">
        <v>7</v>
      </c>
      <c r="AN88" s="1">
        <v>14</v>
      </c>
      <c r="AO88" s="1">
        <v>11.2</v>
      </c>
      <c r="AP88" s="1">
        <v>15.1</v>
      </c>
      <c r="AQ88" s="1">
        <v>15.5</v>
      </c>
      <c r="AR88" s="1">
        <v>11.9</v>
      </c>
      <c r="AS88" s="1">
        <f t="shared" si="50"/>
        <v>13.540000000000001</v>
      </c>
      <c r="AT88" s="1">
        <v>1.5</v>
      </c>
      <c r="AU88" s="1">
        <v>1.1000000000000001</v>
      </c>
      <c r="AV88" s="1">
        <v>1.4</v>
      </c>
      <c r="AW88" s="1">
        <v>1.4</v>
      </c>
      <c r="AX88" s="1">
        <v>1.3</v>
      </c>
      <c r="AY88" s="1">
        <f t="shared" si="51"/>
        <v>1.34</v>
      </c>
      <c r="AZ88" s="1">
        <v>5</v>
      </c>
      <c r="BA88" s="1">
        <v>3</v>
      </c>
      <c r="BB88" s="1">
        <v>9</v>
      </c>
      <c r="BC88" s="1">
        <v>12</v>
      </c>
      <c r="BD88" s="1">
        <v>4</v>
      </c>
      <c r="BE88" s="1">
        <v>5</v>
      </c>
      <c r="BF88" s="1">
        <v>8</v>
      </c>
      <c r="BG88" s="1">
        <f t="shared" si="52"/>
        <v>7.6</v>
      </c>
      <c r="BH88" s="1">
        <v>3</v>
      </c>
      <c r="BI88" s="1">
        <v>9</v>
      </c>
      <c r="BJ88" s="1">
        <v>9</v>
      </c>
      <c r="BK88" s="1">
        <v>7</v>
      </c>
      <c r="BL88" s="1">
        <v>9</v>
      </c>
      <c r="BM88" s="1">
        <v>8</v>
      </c>
      <c r="BN88" s="1">
        <f t="shared" si="53"/>
        <v>8.4</v>
      </c>
      <c r="BO88" s="1">
        <v>1</v>
      </c>
      <c r="BP88" s="1">
        <v>0</v>
      </c>
      <c r="BQ88" s="1">
        <v>3</v>
      </c>
      <c r="BR88" s="1">
        <v>3</v>
      </c>
      <c r="BS88" s="1">
        <v>3</v>
      </c>
      <c r="BT88" s="1">
        <v>2</v>
      </c>
      <c r="BU88" s="1">
        <v>2</v>
      </c>
      <c r="BV88" s="1">
        <f t="shared" si="54"/>
        <v>2.6</v>
      </c>
      <c r="BW88" s="1">
        <v>30</v>
      </c>
      <c r="BX88" s="1">
        <v>40</v>
      </c>
      <c r="BY88" s="1">
        <v>32</v>
      </c>
      <c r="BZ88" s="1">
        <v>30</v>
      </c>
      <c r="CA88" s="1">
        <v>33</v>
      </c>
      <c r="CB88" s="1">
        <f t="shared" si="55"/>
        <v>33</v>
      </c>
      <c r="CC88" s="1">
        <v>2</v>
      </c>
      <c r="CD88" s="1">
        <v>5</v>
      </c>
      <c r="CE88" s="1">
        <v>5.0599999999999996</v>
      </c>
      <c r="CF88" s="1">
        <v>5.24</v>
      </c>
      <c r="CG88" s="1">
        <v>6.11</v>
      </c>
      <c r="CH88" s="1">
        <v>5.84</v>
      </c>
      <c r="CI88" s="1">
        <v>5.4</v>
      </c>
      <c r="CJ88" s="1">
        <f t="shared" si="56"/>
        <v>5.5299999999999994</v>
      </c>
      <c r="CK88" s="1">
        <v>3.06</v>
      </c>
      <c r="CL88" s="1">
        <v>3.95</v>
      </c>
      <c r="CM88" s="1">
        <v>3.45</v>
      </c>
      <c r="CN88" s="1">
        <v>3.37</v>
      </c>
      <c r="CO88" s="1">
        <v>3.28</v>
      </c>
      <c r="CP88" s="1">
        <f t="shared" si="57"/>
        <v>3.4220000000000006</v>
      </c>
      <c r="CQ88" s="1">
        <v>2.52</v>
      </c>
      <c r="CR88" s="1">
        <v>3</v>
      </c>
      <c r="CS88" s="1">
        <v>2.83</v>
      </c>
      <c r="CT88" s="1">
        <v>2.98</v>
      </c>
      <c r="CU88" s="1">
        <v>2.9</v>
      </c>
      <c r="CV88" s="1">
        <f t="shared" si="58"/>
        <v>2.8460000000000001</v>
      </c>
      <c r="CW88" s="1">
        <v>32.200000000000003</v>
      </c>
      <c r="CX88" s="1">
        <v>9.8000000000000007</v>
      </c>
      <c r="CY88" s="1">
        <v>0.48499999999999999</v>
      </c>
      <c r="CZ88" s="1">
        <f t="shared" si="59"/>
        <v>1.0777777777777777</v>
      </c>
      <c r="DA88" s="1">
        <f t="shared" si="41"/>
        <v>0.90200000000000002</v>
      </c>
      <c r="DB88" s="1">
        <f t="shared" si="42"/>
        <v>1.1238792549775209</v>
      </c>
    </row>
    <row r="89" spans="1:106" ht="16" thickBot="1" x14ac:dyDescent="0.4">
      <c r="A89" s="1">
        <v>205</v>
      </c>
      <c r="B89" s="7" t="s">
        <v>212</v>
      </c>
      <c r="C89" s="10" t="s">
        <v>76</v>
      </c>
      <c r="D89" s="10"/>
      <c r="E89" s="3">
        <v>45293</v>
      </c>
      <c r="F89" s="3">
        <f t="shared" si="45"/>
        <v>45274</v>
      </c>
      <c r="G89" s="1">
        <f t="shared" si="43"/>
        <v>19</v>
      </c>
      <c r="H89" s="1">
        <f t="shared" si="39"/>
        <v>106</v>
      </c>
      <c r="I89" s="1">
        <v>7</v>
      </c>
      <c r="J89" s="3">
        <v>45380</v>
      </c>
      <c r="K89" s="3">
        <v>45384</v>
      </c>
      <c r="L89" s="15">
        <f t="shared" si="44"/>
        <v>110</v>
      </c>
      <c r="M89" s="13">
        <f t="shared" si="40"/>
        <v>147</v>
      </c>
      <c r="N89" s="3">
        <v>45421</v>
      </c>
      <c r="O89" s="1">
        <v>81</v>
      </c>
      <c r="P89" s="1">
        <v>76</v>
      </c>
      <c r="Q89" s="1">
        <v>79</v>
      </c>
      <c r="R89" s="1">
        <v>74</v>
      </c>
      <c r="S89" s="1">
        <v>78.5</v>
      </c>
      <c r="T89" s="1">
        <f t="shared" si="46"/>
        <v>77.7</v>
      </c>
      <c r="U89" s="1">
        <v>9.5</v>
      </c>
      <c r="V89" s="1">
        <v>8</v>
      </c>
      <c r="W89" s="1">
        <v>9</v>
      </c>
      <c r="X89" s="1">
        <v>6.5</v>
      </c>
      <c r="Y89" s="1">
        <v>6</v>
      </c>
      <c r="Z89" s="1">
        <f t="shared" si="47"/>
        <v>7.8</v>
      </c>
      <c r="AA89" s="1">
        <v>4.3</v>
      </c>
      <c r="AB89" s="1">
        <v>8.5</v>
      </c>
      <c r="AC89" s="1">
        <v>9.5</v>
      </c>
      <c r="AD89" s="1">
        <v>9.5</v>
      </c>
      <c r="AE89" s="1">
        <v>9.5</v>
      </c>
      <c r="AF89" s="1">
        <f t="shared" si="48"/>
        <v>8.26</v>
      </c>
      <c r="AG89" s="1">
        <v>4.5</v>
      </c>
      <c r="AH89" s="1">
        <v>5</v>
      </c>
      <c r="AI89" s="1">
        <v>4.5</v>
      </c>
      <c r="AJ89" s="1">
        <v>4.5</v>
      </c>
      <c r="AK89" s="1">
        <v>6.2</v>
      </c>
      <c r="AL89" s="1">
        <f t="shared" si="49"/>
        <v>4.9399999999999995</v>
      </c>
      <c r="AM89" s="1">
        <v>7</v>
      </c>
      <c r="AN89" s="1">
        <v>8.9</v>
      </c>
      <c r="AO89" s="1">
        <v>10.5</v>
      </c>
      <c r="AP89" s="1">
        <v>10.9</v>
      </c>
      <c r="AQ89" s="1">
        <v>10.3</v>
      </c>
      <c r="AR89" s="1">
        <v>12.3</v>
      </c>
      <c r="AS89" s="1">
        <f t="shared" si="50"/>
        <v>10.579999999999998</v>
      </c>
      <c r="AT89" s="1">
        <v>1</v>
      </c>
      <c r="AU89" s="1">
        <v>1.3</v>
      </c>
      <c r="AV89" s="1">
        <v>1.3</v>
      </c>
      <c r="AW89" s="1">
        <v>1.1000000000000001</v>
      </c>
      <c r="AX89" s="1">
        <v>1.4</v>
      </c>
      <c r="AY89" s="1">
        <f t="shared" si="51"/>
        <v>1.22</v>
      </c>
      <c r="AZ89" s="1">
        <v>3</v>
      </c>
      <c r="BA89" s="1">
        <v>3</v>
      </c>
      <c r="BB89" s="1">
        <v>9</v>
      </c>
      <c r="BC89" s="1">
        <v>5</v>
      </c>
      <c r="BD89" s="1">
        <v>4</v>
      </c>
      <c r="BE89" s="1">
        <v>2</v>
      </c>
      <c r="BF89" s="1">
        <v>6</v>
      </c>
      <c r="BG89" s="1">
        <f t="shared" si="52"/>
        <v>5.2</v>
      </c>
      <c r="BH89" s="1">
        <v>3</v>
      </c>
      <c r="BI89" s="1">
        <v>9</v>
      </c>
      <c r="BJ89" s="1">
        <v>8</v>
      </c>
      <c r="BK89" s="1">
        <v>9</v>
      </c>
      <c r="BL89" s="1">
        <v>9</v>
      </c>
      <c r="BM89" s="1">
        <v>9</v>
      </c>
      <c r="BN89" s="1">
        <f t="shared" si="53"/>
        <v>8.8000000000000007</v>
      </c>
      <c r="BO89" s="1">
        <v>1</v>
      </c>
      <c r="BP89" s="1">
        <v>0</v>
      </c>
      <c r="BQ89" s="1">
        <v>3</v>
      </c>
      <c r="BR89" s="1">
        <v>3</v>
      </c>
      <c r="BS89" s="1">
        <v>3</v>
      </c>
      <c r="BT89" s="1">
        <v>3</v>
      </c>
      <c r="BU89" s="1">
        <v>3</v>
      </c>
      <c r="BV89" s="1">
        <f t="shared" si="54"/>
        <v>3</v>
      </c>
      <c r="BW89" s="1">
        <v>40</v>
      </c>
      <c r="BX89" s="1">
        <v>42</v>
      </c>
      <c r="BY89" s="1">
        <v>41</v>
      </c>
      <c r="BZ89" s="1">
        <v>30</v>
      </c>
      <c r="CA89" s="1">
        <v>36</v>
      </c>
      <c r="CB89" s="1">
        <f t="shared" si="55"/>
        <v>37.799999999999997</v>
      </c>
      <c r="CC89" s="1">
        <v>1</v>
      </c>
      <c r="CD89" s="1">
        <v>7</v>
      </c>
      <c r="CE89" s="1">
        <v>6.03</v>
      </c>
      <c r="CF89" s="1">
        <v>5.89</v>
      </c>
      <c r="CG89" s="1">
        <v>5.7</v>
      </c>
      <c r="CH89" s="1">
        <v>5.82</v>
      </c>
      <c r="CI89" s="1">
        <v>6.25</v>
      </c>
      <c r="CJ89" s="1">
        <f t="shared" si="56"/>
        <v>5.9380000000000006</v>
      </c>
      <c r="CK89" s="1">
        <v>3.48</v>
      </c>
      <c r="CL89" s="1">
        <v>3.44</v>
      </c>
      <c r="CM89" s="1">
        <v>3.6</v>
      </c>
      <c r="CN89" s="1">
        <v>3.21</v>
      </c>
      <c r="CO89" s="1">
        <v>3.76</v>
      </c>
      <c r="CP89" s="1">
        <f t="shared" si="57"/>
        <v>3.4980000000000002</v>
      </c>
      <c r="CQ89" s="1">
        <v>2.64</v>
      </c>
      <c r="CR89" s="1">
        <v>3.03</v>
      </c>
      <c r="CS89" s="1">
        <v>2.79</v>
      </c>
      <c r="CT89" s="1">
        <v>2.66</v>
      </c>
      <c r="CU89" s="1">
        <v>2.78</v>
      </c>
      <c r="CV89" s="1">
        <f t="shared" si="58"/>
        <v>2.7800000000000002</v>
      </c>
      <c r="CW89" s="1">
        <v>42.1</v>
      </c>
      <c r="CX89" s="1">
        <v>11.5</v>
      </c>
      <c r="CY89" s="1">
        <v>0.32500000000000001</v>
      </c>
      <c r="CZ89" s="1">
        <f t="shared" si="59"/>
        <v>0.72222222222222232</v>
      </c>
      <c r="DA89" s="1">
        <f t="shared" si="41"/>
        <v>0.88500000000000001</v>
      </c>
      <c r="DB89" s="1">
        <f t="shared" si="42"/>
        <v>0.73892100192678245</v>
      </c>
    </row>
    <row r="90" spans="1:106" ht="16" thickBot="1" x14ac:dyDescent="0.4">
      <c r="A90" s="1">
        <v>206</v>
      </c>
      <c r="B90" s="7" t="s">
        <v>213</v>
      </c>
      <c r="C90" s="10"/>
      <c r="D90" s="10" t="s">
        <v>91</v>
      </c>
      <c r="E90" s="3">
        <v>45293</v>
      </c>
      <c r="F90" s="3">
        <f t="shared" si="45"/>
        <v>45274</v>
      </c>
      <c r="G90" s="1">
        <f t="shared" si="43"/>
        <v>19</v>
      </c>
      <c r="H90" s="1">
        <f t="shared" si="39"/>
        <v>105</v>
      </c>
      <c r="I90" s="1">
        <v>7</v>
      </c>
      <c r="J90" s="3">
        <v>45379</v>
      </c>
      <c r="K90" s="3">
        <v>45387</v>
      </c>
      <c r="L90" s="15">
        <f t="shared" si="44"/>
        <v>113</v>
      </c>
      <c r="M90" s="13">
        <f t="shared" si="40"/>
        <v>147</v>
      </c>
      <c r="N90" s="3">
        <v>45421</v>
      </c>
      <c r="O90" s="1">
        <v>93</v>
      </c>
      <c r="P90" s="1">
        <v>95</v>
      </c>
      <c r="Q90" s="1">
        <v>92</v>
      </c>
      <c r="R90" s="1">
        <v>93.5</v>
      </c>
      <c r="S90" s="1">
        <v>95</v>
      </c>
      <c r="T90" s="1">
        <f t="shared" si="46"/>
        <v>93.7</v>
      </c>
      <c r="U90" s="1">
        <v>7.5</v>
      </c>
      <c r="V90" s="1">
        <v>12</v>
      </c>
      <c r="W90" s="1">
        <v>13</v>
      </c>
      <c r="X90" s="1">
        <v>10</v>
      </c>
      <c r="Y90" s="1">
        <v>13.5</v>
      </c>
      <c r="Z90" s="1">
        <f t="shared" si="47"/>
        <v>11.2</v>
      </c>
      <c r="AA90" s="1">
        <v>14</v>
      </c>
      <c r="AB90" s="1">
        <v>12</v>
      </c>
      <c r="AC90" s="1">
        <v>11.5</v>
      </c>
      <c r="AD90" s="1">
        <v>7.5</v>
      </c>
      <c r="AE90" s="1">
        <v>11</v>
      </c>
      <c r="AF90" s="1">
        <f t="shared" si="48"/>
        <v>11.2</v>
      </c>
      <c r="AG90" s="1">
        <v>4.5</v>
      </c>
      <c r="AH90" s="1">
        <v>4.3</v>
      </c>
      <c r="AI90" s="1">
        <v>4.3</v>
      </c>
      <c r="AJ90" s="1">
        <v>5.5</v>
      </c>
      <c r="AK90" s="1">
        <v>4.5</v>
      </c>
      <c r="AL90" s="1">
        <f t="shared" si="49"/>
        <v>4.62</v>
      </c>
      <c r="AM90" s="1">
        <v>7</v>
      </c>
      <c r="AN90" s="1">
        <v>12.5</v>
      </c>
      <c r="AO90" s="1">
        <v>12</v>
      </c>
      <c r="AP90" s="1">
        <v>11.3</v>
      </c>
      <c r="AQ90" s="1">
        <v>14.6</v>
      </c>
      <c r="AR90" s="1">
        <v>14.3</v>
      </c>
      <c r="AS90" s="1">
        <f t="shared" si="50"/>
        <v>12.940000000000001</v>
      </c>
      <c r="AT90" s="1">
        <v>1.9</v>
      </c>
      <c r="AU90" s="1">
        <v>1.3</v>
      </c>
      <c r="AV90" s="1">
        <v>1.2</v>
      </c>
      <c r="AW90" s="1">
        <v>1.4</v>
      </c>
      <c r="AX90" s="1">
        <v>1.4</v>
      </c>
      <c r="AY90" s="1">
        <f t="shared" si="51"/>
        <v>1.4400000000000002</v>
      </c>
      <c r="AZ90" s="1">
        <v>3</v>
      </c>
      <c r="BA90" s="1">
        <v>3</v>
      </c>
      <c r="BB90" s="1">
        <v>3</v>
      </c>
      <c r="BC90" s="1">
        <v>4</v>
      </c>
      <c r="BD90" s="1">
        <v>8</v>
      </c>
      <c r="BE90" s="1">
        <v>11</v>
      </c>
      <c r="BF90" s="1">
        <v>6</v>
      </c>
      <c r="BG90" s="1">
        <f t="shared" si="52"/>
        <v>6.4</v>
      </c>
      <c r="BH90" s="1">
        <v>3</v>
      </c>
      <c r="BI90" s="1">
        <v>10</v>
      </c>
      <c r="BJ90" s="1">
        <v>10</v>
      </c>
      <c r="BK90" s="1">
        <v>10</v>
      </c>
      <c r="BL90" s="1">
        <v>10</v>
      </c>
      <c r="BM90" s="1">
        <v>9</v>
      </c>
      <c r="BN90" s="1">
        <f t="shared" si="53"/>
        <v>9.8000000000000007</v>
      </c>
      <c r="BO90" s="1">
        <v>1</v>
      </c>
      <c r="BP90" s="1">
        <v>0</v>
      </c>
      <c r="BQ90" s="1">
        <v>3</v>
      </c>
      <c r="BR90" s="1">
        <v>3</v>
      </c>
      <c r="BS90" s="1">
        <v>3</v>
      </c>
      <c r="BT90" s="1">
        <v>3</v>
      </c>
      <c r="BU90" s="1">
        <v>4</v>
      </c>
      <c r="BV90" s="1">
        <f t="shared" si="54"/>
        <v>3.2</v>
      </c>
      <c r="BW90" s="1">
        <v>41</v>
      </c>
      <c r="BX90" s="1">
        <v>40</v>
      </c>
      <c r="BY90" s="1">
        <v>42</v>
      </c>
      <c r="BZ90" s="1">
        <v>40</v>
      </c>
      <c r="CA90" s="1">
        <v>53</v>
      </c>
      <c r="CB90" s="1">
        <f t="shared" si="55"/>
        <v>43.2</v>
      </c>
      <c r="CC90" s="1">
        <v>1</v>
      </c>
      <c r="CD90" s="1">
        <v>7</v>
      </c>
      <c r="CE90" s="1">
        <v>7.4</v>
      </c>
      <c r="CF90" s="1">
        <v>7.15</v>
      </c>
      <c r="CG90" s="1">
        <v>6.64</v>
      </c>
      <c r="CH90" s="1">
        <v>7.53</v>
      </c>
      <c r="CI90" s="1">
        <v>5.62</v>
      </c>
      <c r="CJ90" s="1">
        <f t="shared" si="56"/>
        <v>6.8680000000000003</v>
      </c>
      <c r="CK90" s="1">
        <v>3.95</v>
      </c>
      <c r="CL90" s="1">
        <v>3.57</v>
      </c>
      <c r="CM90" s="1">
        <v>3.55</v>
      </c>
      <c r="CN90" s="1">
        <v>3.63</v>
      </c>
      <c r="CO90" s="1">
        <v>3.09</v>
      </c>
      <c r="CP90" s="1">
        <f t="shared" si="57"/>
        <v>3.5579999999999998</v>
      </c>
      <c r="CQ90" s="1">
        <v>2.88</v>
      </c>
      <c r="CR90" s="1">
        <v>2.75</v>
      </c>
      <c r="CS90" s="1">
        <v>2.67</v>
      </c>
      <c r="CT90" s="1">
        <v>2.56</v>
      </c>
      <c r="CU90" s="1">
        <v>2.44</v>
      </c>
      <c r="CV90" s="1">
        <f t="shared" si="58"/>
        <v>2.66</v>
      </c>
      <c r="CW90" s="1">
        <v>50.4</v>
      </c>
      <c r="CX90" s="1">
        <v>10.7</v>
      </c>
      <c r="CY90" s="1">
        <v>0.495</v>
      </c>
      <c r="CZ90" s="1">
        <f t="shared" si="59"/>
        <v>1.1000000000000001</v>
      </c>
      <c r="DA90" s="1">
        <f t="shared" si="41"/>
        <v>0.89300000000000002</v>
      </c>
      <c r="DB90" s="1">
        <f t="shared" si="42"/>
        <v>1.1356069364161852</v>
      </c>
    </row>
    <row r="91" spans="1:106" ht="16" thickBot="1" x14ac:dyDescent="0.4">
      <c r="A91" s="1">
        <v>207</v>
      </c>
      <c r="B91" s="7" t="s">
        <v>214</v>
      </c>
      <c r="C91" s="10"/>
      <c r="D91" s="10"/>
      <c r="E91" s="3">
        <v>45292</v>
      </c>
      <c r="F91" s="3">
        <f t="shared" si="45"/>
        <v>45274</v>
      </c>
      <c r="G91" s="1">
        <f t="shared" si="43"/>
        <v>18</v>
      </c>
      <c r="H91" s="1">
        <f t="shared" si="39"/>
        <v>105</v>
      </c>
      <c r="I91" s="1">
        <v>7</v>
      </c>
      <c r="J91" s="3">
        <v>45379</v>
      </c>
      <c r="K91" s="3">
        <v>45387</v>
      </c>
      <c r="L91" s="15">
        <f t="shared" si="44"/>
        <v>113</v>
      </c>
      <c r="M91" s="13">
        <f t="shared" si="40"/>
        <v>146</v>
      </c>
      <c r="N91" s="3">
        <v>45420</v>
      </c>
      <c r="O91" s="1">
        <v>87</v>
      </c>
      <c r="P91" s="1">
        <v>87</v>
      </c>
      <c r="Q91" s="1">
        <v>101.2</v>
      </c>
      <c r="R91" s="1">
        <v>92</v>
      </c>
      <c r="S91" s="1">
        <v>101.4</v>
      </c>
      <c r="T91" s="1">
        <f t="shared" si="46"/>
        <v>93.72</v>
      </c>
      <c r="U91" s="1">
        <v>1.2</v>
      </c>
      <c r="V91" s="1">
        <v>11</v>
      </c>
      <c r="W91" s="1">
        <v>20</v>
      </c>
      <c r="X91" s="1">
        <v>12.5</v>
      </c>
      <c r="Y91" s="1">
        <v>12.4</v>
      </c>
      <c r="Z91" s="1">
        <f t="shared" si="47"/>
        <v>11.42</v>
      </c>
      <c r="AA91" s="1">
        <v>6.5</v>
      </c>
      <c r="AB91" s="1">
        <v>10</v>
      </c>
      <c r="AC91" s="1">
        <v>9</v>
      </c>
      <c r="AD91" s="1">
        <v>11</v>
      </c>
      <c r="AE91" s="1">
        <v>14</v>
      </c>
      <c r="AF91" s="1">
        <f t="shared" si="48"/>
        <v>10.1</v>
      </c>
      <c r="AG91" s="1">
        <v>5.4</v>
      </c>
      <c r="AH91" s="1">
        <v>5.2</v>
      </c>
      <c r="AI91" s="1">
        <v>2.5</v>
      </c>
      <c r="AJ91" s="1">
        <v>4.3</v>
      </c>
      <c r="AK91" s="1">
        <v>4.2</v>
      </c>
      <c r="AL91" s="1">
        <f t="shared" si="49"/>
        <v>4.32</v>
      </c>
      <c r="AM91" s="1">
        <v>7</v>
      </c>
      <c r="AN91" s="1">
        <v>11.6</v>
      </c>
      <c r="AO91" s="1">
        <v>16</v>
      </c>
      <c r="AP91" s="1">
        <v>13</v>
      </c>
      <c r="AQ91" s="1">
        <v>17</v>
      </c>
      <c r="AR91" s="1">
        <v>16</v>
      </c>
      <c r="AS91" s="1">
        <f t="shared" si="50"/>
        <v>14.719999999999999</v>
      </c>
      <c r="AT91" s="1">
        <v>1.4</v>
      </c>
      <c r="AU91" s="1">
        <v>1.6</v>
      </c>
      <c r="AV91" s="1">
        <v>1.4</v>
      </c>
      <c r="AW91" s="1">
        <v>1.8</v>
      </c>
      <c r="AX91" s="1">
        <v>1.4</v>
      </c>
      <c r="AY91" s="1">
        <f t="shared" si="51"/>
        <v>1.52</v>
      </c>
      <c r="AZ91" s="1">
        <v>5</v>
      </c>
      <c r="BA91" s="1">
        <v>3</v>
      </c>
      <c r="BB91" s="1">
        <v>20</v>
      </c>
      <c r="BC91" s="1">
        <v>5</v>
      </c>
      <c r="BD91" s="1">
        <v>3</v>
      </c>
      <c r="BE91" s="1">
        <v>20</v>
      </c>
      <c r="BF91" s="1">
        <v>6</v>
      </c>
      <c r="BG91" s="1">
        <f t="shared" si="52"/>
        <v>10.8</v>
      </c>
      <c r="BH91" s="1">
        <v>3</v>
      </c>
      <c r="BI91" s="1">
        <v>9</v>
      </c>
      <c r="BJ91" s="1">
        <v>9</v>
      </c>
      <c r="BK91" s="1">
        <v>10</v>
      </c>
      <c r="BL91" s="1">
        <v>10</v>
      </c>
      <c r="BM91" s="1">
        <v>11</v>
      </c>
      <c r="BN91" s="1">
        <f t="shared" si="53"/>
        <v>9.8000000000000007</v>
      </c>
      <c r="BO91" s="1">
        <v>1</v>
      </c>
      <c r="BP91" s="1">
        <v>0</v>
      </c>
      <c r="BQ91" s="1">
        <v>3</v>
      </c>
      <c r="BR91" s="1">
        <v>3</v>
      </c>
      <c r="BS91" s="1">
        <v>3</v>
      </c>
      <c r="BT91" s="1">
        <v>3</v>
      </c>
      <c r="BU91" s="1">
        <v>3</v>
      </c>
      <c r="BV91" s="1">
        <f t="shared" si="54"/>
        <v>3</v>
      </c>
      <c r="BW91" s="1">
        <v>43</v>
      </c>
      <c r="BX91" s="1">
        <v>52</v>
      </c>
      <c r="BY91" s="1">
        <v>41</v>
      </c>
      <c r="BZ91" s="1">
        <v>45</v>
      </c>
      <c r="CA91" s="1">
        <v>34</v>
      </c>
      <c r="CB91" s="1">
        <f t="shared" si="55"/>
        <v>43</v>
      </c>
      <c r="CC91" s="1">
        <v>2</v>
      </c>
      <c r="CD91" s="1">
        <v>5</v>
      </c>
      <c r="CE91" s="1">
        <v>5.59</v>
      </c>
      <c r="CF91" s="1">
        <v>7.47</v>
      </c>
      <c r="CG91" s="1">
        <v>6.94</v>
      </c>
      <c r="CH91" s="1">
        <v>6.7</v>
      </c>
      <c r="CI91" s="1">
        <v>5.86</v>
      </c>
      <c r="CJ91" s="1">
        <f t="shared" si="56"/>
        <v>6.5120000000000005</v>
      </c>
      <c r="CK91" s="1">
        <v>3.15</v>
      </c>
      <c r="CL91" s="1">
        <v>3.78</v>
      </c>
      <c r="CM91" s="1">
        <v>3.94</v>
      </c>
      <c r="CN91" s="1">
        <v>3.44</v>
      </c>
      <c r="CO91" s="1">
        <v>3.75</v>
      </c>
      <c r="CP91" s="1">
        <f t="shared" si="57"/>
        <v>3.6119999999999997</v>
      </c>
      <c r="CQ91" s="1">
        <v>2.5499999999999998</v>
      </c>
      <c r="CR91" s="1">
        <v>2.46</v>
      </c>
      <c r="CS91" s="1">
        <v>2.5299999999999998</v>
      </c>
      <c r="CT91" s="1">
        <v>2.61</v>
      </c>
      <c r="CU91" s="1">
        <v>2.4900000000000002</v>
      </c>
      <c r="CV91" s="1">
        <f t="shared" si="58"/>
        <v>2.5279999999999996</v>
      </c>
      <c r="CW91" s="1">
        <v>44.01</v>
      </c>
      <c r="CX91" s="1">
        <v>10.4</v>
      </c>
      <c r="CY91" s="1">
        <v>0.66500000000000004</v>
      </c>
      <c r="CZ91" s="1">
        <f t="shared" si="59"/>
        <v>1.4777777777777779</v>
      </c>
      <c r="DA91" s="1">
        <f t="shared" si="41"/>
        <v>0.89599999999999991</v>
      </c>
      <c r="DB91" s="1">
        <f t="shared" si="42"/>
        <v>1.5307385998715479</v>
      </c>
    </row>
    <row r="92" spans="1:106" ht="16" thickBot="1" x14ac:dyDescent="0.4">
      <c r="A92" s="1">
        <v>208</v>
      </c>
      <c r="B92" s="7" t="s">
        <v>215</v>
      </c>
      <c r="C92" s="10"/>
      <c r="D92" s="10" t="s">
        <v>99</v>
      </c>
      <c r="E92" s="3">
        <v>45294</v>
      </c>
      <c r="F92" s="3">
        <f t="shared" si="45"/>
        <v>45274</v>
      </c>
      <c r="G92" s="1">
        <f t="shared" si="43"/>
        <v>20</v>
      </c>
      <c r="H92" s="1">
        <f t="shared" si="39"/>
        <v>103</v>
      </c>
      <c r="I92" s="1">
        <v>7</v>
      </c>
      <c r="J92" s="3">
        <v>45377</v>
      </c>
      <c r="K92" s="3">
        <v>45383</v>
      </c>
      <c r="L92" s="15">
        <f t="shared" si="44"/>
        <v>109</v>
      </c>
      <c r="M92" s="13">
        <f t="shared" si="40"/>
        <v>143</v>
      </c>
      <c r="N92" s="3">
        <v>45417</v>
      </c>
      <c r="O92" s="1">
        <v>101.3</v>
      </c>
      <c r="P92" s="1">
        <v>106.6</v>
      </c>
      <c r="Q92" s="1">
        <v>104.2</v>
      </c>
      <c r="R92" s="1">
        <v>88</v>
      </c>
      <c r="S92" s="1">
        <v>84</v>
      </c>
      <c r="T92" s="1">
        <f t="shared" si="46"/>
        <v>96.82</v>
      </c>
      <c r="U92" s="1">
        <v>20.5</v>
      </c>
      <c r="V92" s="1">
        <v>24</v>
      </c>
      <c r="W92" s="1">
        <v>10.5</v>
      </c>
      <c r="X92" s="1">
        <v>10.5</v>
      </c>
      <c r="Y92" s="1">
        <v>17</v>
      </c>
      <c r="Z92" s="1">
        <f t="shared" si="47"/>
        <v>16.5</v>
      </c>
      <c r="AA92" s="1">
        <v>8.5</v>
      </c>
      <c r="AB92" s="1">
        <v>10.9</v>
      </c>
      <c r="AC92" s="1">
        <v>8.5</v>
      </c>
      <c r="AD92" s="1">
        <v>8.5</v>
      </c>
      <c r="AE92" s="1">
        <v>7.5</v>
      </c>
      <c r="AF92" s="1">
        <f t="shared" si="48"/>
        <v>8.7799999999999994</v>
      </c>
      <c r="AG92" s="1">
        <v>5</v>
      </c>
      <c r="AH92" s="1">
        <v>5</v>
      </c>
      <c r="AI92" s="1">
        <v>2.9</v>
      </c>
      <c r="AJ92" s="1">
        <v>5</v>
      </c>
      <c r="AK92" s="1">
        <v>2.9</v>
      </c>
      <c r="AL92" s="1">
        <f t="shared" si="49"/>
        <v>4.1599999999999993</v>
      </c>
      <c r="AM92" s="1">
        <v>7</v>
      </c>
      <c r="AN92" s="1">
        <v>15</v>
      </c>
      <c r="AO92" s="1">
        <v>14</v>
      </c>
      <c r="AP92" s="1">
        <v>13.2</v>
      </c>
      <c r="AQ92" s="1">
        <v>12</v>
      </c>
      <c r="AR92" s="1">
        <v>7.5</v>
      </c>
      <c r="AS92" s="1">
        <f t="shared" si="50"/>
        <v>12.34</v>
      </c>
      <c r="AT92" s="1">
        <v>1.1000000000000001</v>
      </c>
      <c r="AU92" s="1">
        <v>1.9</v>
      </c>
      <c r="AV92" s="1">
        <v>0.9</v>
      </c>
      <c r="AW92" s="1">
        <v>1.1000000000000001</v>
      </c>
      <c r="AX92" s="1">
        <v>0.7</v>
      </c>
      <c r="AY92" s="1">
        <f t="shared" si="51"/>
        <v>1.1400000000000001</v>
      </c>
      <c r="AZ92" s="1">
        <v>5</v>
      </c>
      <c r="BA92" s="1">
        <v>3</v>
      </c>
      <c r="BB92" s="1">
        <v>11</v>
      </c>
      <c r="BC92" s="1">
        <v>3</v>
      </c>
      <c r="BD92" s="1">
        <v>12</v>
      </c>
      <c r="BE92" s="1">
        <v>9</v>
      </c>
      <c r="BF92" s="1">
        <v>13</v>
      </c>
      <c r="BG92" s="1">
        <f t="shared" si="52"/>
        <v>9.6</v>
      </c>
      <c r="BH92" s="1">
        <v>3</v>
      </c>
      <c r="BI92" s="1">
        <v>11</v>
      </c>
      <c r="BJ92" s="1">
        <v>10</v>
      </c>
      <c r="BK92" s="1">
        <v>10</v>
      </c>
      <c r="BL92" s="1">
        <v>9</v>
      </c>
      <c r="BM92" s="1">
        <v>8</v>
      </c>
      <c r="BN92" s="1">
        <f t="shared" si="53"/>
        <v>9.6</v>
      </c>
      <c r="BO92" s="1">
        <v>1</v>
      </c>
      <c r="BP92" s="1">
        <v>0</v>
      </c>
      <c r="BQ92" s="1">
        <v>3</v>
      </c>
      <c r="BR92" s="1">
        <v>4</v>
      </c>
      <c r="BS92" s="1">
        <v>4</v>
      </c>
      <c r="BT92" s="1">
        <v>3</v>
      </c>
      <c r="BU92" s="1">
        <v>3</v>
      </c>
      <c r="BV92" s="1">
        <f t="shared" si="54"/>
        <v>3.4</v>
      </c>
      <c r="BW92" s="1">
        <v>61</v>
      </c>
      <c r="BX92" s="1">
        <v>50</v>
      </c>
      <c r="BY92" s="1">
        <v>57</v>
      </c>
      <c r="BZ92" s="1">
        <v>48</v>
      </c>
      <c r="CA92" s="1">
        <v>42</v>
      </c>
      <c r="CB92" s="1">
        <f t="shared" si="55"/>
        <v>51.6</v>
      </c>
      <c r="CC92" s="1">
        <v>2</v>
      </c>
      <c r="CD92" s="1">
        <v>5</v>
      </c>
      <c r="CE92" s="1">
        <v>6.23</v>
      </c>
      <c r="CF92" s="1">
        <v>6.54</v>
      </c>
      <c r="CG92" s="1">
        <v>6.31</v>
      </c>
      <c r="CH92" s="1">
        <v>6.42</v>
      </c>
      <c r="CI92" s="1">
        <v>6.59</v>
      </c>
      <c r="CJ92" s="1">
        <f t="shared" si="56"/>
        <v>6.418000000000001</v>
      </c>
      <c r="CK92" s="1">
        <v>3.57</v>
      </c>
      <c r="CL92" s="1">
        <v>3.45</v>
      </c>
      <c r="CM92" s="1">
        <v>3.2</v>
      </c>
      <c r="CN92" s="1">
        <v>3.52</v>
      </c>
      <c r="CO92" s="1">
        <v>3.64</v>
      </c>
      <c r="CP92" s="1">
        <f t="shared" si="57"/>
        <v>3.476</v>
      </c>
      <c r="CQ92" s="1">
        <v>2.8</v>
      </c>
      <c r="CR92" s="1">
        <v>2.94</v>
      </c>
      <c r="CS92" s="1">
        <v>2.72</v>
      </c>
      <c r="CT92" s="1">
        <v>2.8</v>
      </c>
      <c r="CU92" s="1">
        <v>2.8</v>
      </c>
      <c r="CV92" s="1">
        <f t="shared" si="58"/>
        <v>2.8120000000000003</v>
      </c>
      <c r="CW92" s="1">
        <v>38.1</v>
      </c>
      <c r="CX92" s="1">
        <v>10.199999999999999</v>
      </c>
      <c r="CY92" s="1">
        <v>0.5</v>
      </c>
      <c r="CZ92" s="1">
        <f t="shared" si="59"/>
        <v>1.1111111111111112</v>
      </c>
      <c r="DA92" s="1">
        <f t="shared" si="41"/>
        <v>0.89800000000000002</v>
      </c>
      <c r="DB92" s="1">
        <f t="shared" si="42"/>
        <v>1.1535003211303791</v>
      </c>
    </row>
    <row r="93" spans="1:106" ht="16" thickBot="1" x14ac:dyDescent="0.4">
      <c r="A93" s="1">
        <v>209</v>
      </c>
      <c r="B93" s="7" t="s">
        <v>216</v>
      </c>
      <c r="C93" s="10" t="s">
        <v>52</v>
      </c>
      <c r="D93" s="10" t="s">
        <v>121</v>
      </c>
      <c r="E93" s="3">
        <v>45300</v>
      </c>
      <c r="F93" s="3">
        <f t="shared" si="45"/>
        <v>45274</v>
      </c>
      <c r="G93" s="1">
        <f t="shared" si="43"/>
        <v>26</v>
      </c>
      <c r="H93" s="1">
        <f t="shared" si="39"/>
        <v>106</v>
      </c>
      <c r="I93" s="1">
        <v>7</v>
      </c>
      <c r="J93" s="3">
        <v>45380</v>
      </c>
      <c r="K93" s="3">
        <v>45386</v>
      </c>
      <c r="L93" s="15">
        <f t="shared" si="44"/>
        <v>112</v>
      </c>
      <c r="M93" s="13">
        <f t="shared" si="40"/>
        <v>144</v>
      </c>
      <c r="N93" s="3">
        <v>45418</v>
      </c>
      <c r="O93" s="1">
        <v>101.9</v>
      </c>
      <c r="P93" s="1">
        <v>108.5</v>
      </c>
      <c r="Q93" s="1">
        <v>106.6</v>
      </c>
      <c r="R93" s="1">
        <v>109.3</v>
      </c>
      <c r="S93" s="1">
        <v>106.5</v>
      </c>
      <c r="T93" s="1">
        <f t="shared" si="46"/>
        <v>106.55999999999999</v>
      </c>
      <c r="U93" s="1">
        <v>20</v>
      </c>
      <c r="V93" s="1">
        <v>18</v>
      </c>
      <c r="W93" s="1">
        <v>23</v>
      </c>
      <c r="X93" s="1">
        <v>13</v>
      </c>
      <c r="Y93" s="1">
        <v>25.5</v>
      </c>
      <c r="Z93" s="1">
        <f t="shared" si="47"/>
        <v>19.899999999999999</v>
      </c>
      <c r="AA93" s="1">
        <v>11</v>
      </c>
      <c r="AB93" s="1">
        <v>8.5</v>
      </c>
      <c r="AC93" s="1">
        <v>7.5</v>
      </c>
      <c r="AD93" s="1">
        <v>8</v>
      </c>
      <c r="AE93" s="1">
        <v>9</v>
      </c>
      <c r="AF93" s="1">
        <f t="shared" si="48"/>
        <v>8.8000000000000007</v>
      </c>
      <c r="AG93" s="1">
        <v>1.3</v>
      </c>
      <c r="AH93" s="1">
        <v>0.5</v>
      </c>
      <c r="AI93" s="1">
        <v>1.3</v>
      </c>
      <c r="AJ93" s="1">
        <v>1.1000000000000001</v>
      </c>
      <c r="AK93" s="1">
        <v>1.3</v>
      </c>
      <c r="AL93" s="1">
        <f t="shared" si="49"/>
        <v>1.1000000000000001</v>
      </c>
      <c r="AM93" s="1">
        <v>7</v>
      </c>
      <c r="AN93" s="1">
        <v>11.5</v>
      </c>
      <c r="AO93" s="1">
        <v>11</v>
      </c>
      <c r="AP93" s="1">
        <v>11.6</v>
      </c>
      <c r="AQ93" s="1">
        <v>10</v>
      </c>
      <c r="AR93" s="1">
        <v>14</v>
      </c>
      <c r="AS93" s="1">
        <f t="shared" si="50"/>
        <v>11.620000000000001</v>
      </c>
      <c r="AT93" s="1">
        <v>1</v>
      </c>
      <c r="AU93" s="1">
        <v>1.2</v>
      </c>
      <c r="AV93" s="1">
        <v>1.2</v>
      </c>
      <c r="AW93" s="1">
        <v>1</v>
      </c>
      <c r="AX93" s="1">
        <v>1.3</v>
      </c>
      <c r="AY93" s="1">
        <f t="shared" si="51"/>
        <v>1.1400000000000001</v>
      </c>
      <c r="AZ93" s="1">
        <v>7</v>
      </c>
      <c r="BA93" s="1">
        <v>3</v>
      </c>
      <c r="BB93" s="1">
        <v>17</v>
      </c>
      <c r="BC93" s="1">
        <v>31</v>
      </c>
      <c r="BD93" s="1">
        <v>12</v>
      </c>
      <c r="BE93" s="1">
        <v>7</v>
      </c>
      <c r="BF93" s="1">
        <v>3</v>
      </c>
      <c r="BG93" s="1">
        <f t="shared" si="52"/>
        <v>14</v>
      </c>
      <c r="BH93" s="1">
        <v>7</v>
      </c>
      <c r="BI93" s="1">
        <v>9</v>
      </c>
      <c r="BJ93" s="1">
        <v>9</v>
      </c>
      <c r="BK93" s="1">
        <v>10</v>
      </c>
      <c r="BL93" s="1">
        <v>10</v>
      </c>
      <c r="BM93" s="1">
        <v>10</v>
      </c>
      <c r="BN93" s="1">
        <f t="shared" si="53"/>
        <v>9.6</v>
      </c>
      <c r="BO93" s="1">
        <v>1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f t="shared" si="54"/>
        <v>3</v>
      </c>
      <c r="BW93" s="1">
        <v>45</v>
      </c>
      <c r="BX93" s="1">
        <v>53</v>
      </c>
      <c r="BY93" s="1">
        <v>37</v>
      </c>
      <c r="BZ93" s="1">
        <v>29</v>
      </c>
      <c r="CA93" s="1">
        <v>54</v>
      </c>
      <c r="CB93" s="1">
        <f t="shared" si="55"/>
        <v>43.6</v>
      </c>
      <c r="CC93" s="1">
        <v>1</v>
      </c>
      <c r="CD93" s="1">
        <v>5</v>
      </c>
      <c r="CE93" s="1">
        <v>6.35</v>
      </c>
      <c r="CF93" s="1">
        <v>5.38</v>
      </c>
      <c r="CG93" s="1">
        <v>5.99</v>
      </c>
      <c r="CH93" s="1">
        <v>5.73</v>
      </c>
      <c r="CI93" s="1">
        <v>5.78</v>
      </c>
      <c r="CJ93" s="1">
        <f t="shared" si="56"/>
        <v>5.8460000000000001</v>
      </c>
      <c r="CK93" s="1">
        <v>3.6</v>
      </c>
      <c r="CL93" s="1">
        <v>3.47</v>
      </c>
      <c r="CM93" s="1">
        <v>3.38</v>
      </c>
      <c r="CN93" s="1">
        <v>2.75</v>
      </c>
      <c r="CO93" s="1">
        <v>3.28</v>
      </c>
      <c r="CP93" s="1">
        <f t="shared" si="57"/>
        <v>3.2960000000000003</v>
      </c>
      <c r="CQ93" s="1">
        <v>3.37</v>
      </c>
      <c r="CR93" s="1">
        <v>2.74</v>
      </c>
      <c r="CS93" s="1">
        <v>2.88</v>
      </c>
      <c r="CT93" s="1">
        <v>2.79</v>
      </c>
      <c r="CU93" s="1">
        <v>2.91</v>
      </c>
      <c r="CV93" s="1">
        <f t="shared" si="58"/>
        <v>2.9380000000000002</v>
      </c>
      <c r="CW93" s="1">
        <v>39.200000000000003</v>
      </c>
      <c r="CX93" s="1">
        <v>10.199999999999999</v>
      </c>
      <c r="CY93" s="1">
        <v>0.62</v>
      </c>
      <c r="CZ93" s="1">
        <f t="shared" si="59"/>
        <v>1.3777777777777778</v>
      </c>
      <c r="DA93" s="1">
        <f t="shared" si="41"/>
        <v>0.89800000000000002</v>
      </c>
      <c r="DB93" s="1">
        <f t="shared" si="42"/>
        <v>1.4303403982016698</v>
      </c>
    </row>
    <row r="94" spans="1:106" ht="16" thickBot="1" x14ac:dyDescent="0.4">
      <c r="A94" s="1">
        <v>210</v>
      </c>
      <c r="B94" s="7" t="s">
        <v>217</v>
      </c>
      <c r="C94" s="10" t="s">
        <v>52</v>
      </c>
      <c r="D94" s="10" t="s">
        <v>121</v>
      </c>
      <c r="E94" s="3">
        <v>45300</v>
      </c>
      <c r="F94" s="3">
        <f t="shared" si="45"/>
        <v>45274</v>
      </c>
      <c r="G94" s="1">
        <f t="shared" si="43"/>
        <v>26</v>
      </c>
      <c r="H94" s="1">
        <f t="shared" si="39"/>
        <v>109</v>
      </c>
      <c r="I94" s="1">
        <v>7</v>
      </c>
      <c r="J94" s="3">
        <v>45383</v>
      </c>
      <c r="K94" s="3">
        <v>45389</v>
      </c>
      <c r="L94" s="15">
        <f t="shared" si="44"/>
        <v>115</v>
      </c>
      <c r="M94" s="13">
        <f t="shared" si="40"/>
        <v>148</v>
      </c>
      <c r="N94" s="3">
        <v>45422</v>
      </c>
      <c r="O94" s="1">
        <v>102.3</v>
      </c>
      <c r="P94" s="1">
        <v>102.4</v>
      </c>
      <c r="Q94" s="1">
        <v>100</v>
      </c>
      <c r="R94" s="1">
        <v>103.4</v>
      </c>
      <c r="S94" s="1">
        <v>101.3</v>
      </c>
      <c r="T94" s="1">
        <f t="shared" si="46"/>
        <v>101.88000000000001</v>
      </c>
      <c r="U94" s="1">
        <v>17.5</v>
      </c>
      <c r="V94" s="1">
        <v>18</v>
      </c>
      <c r="W94" s="1">
        <v>12</v>
      </c>
      <c r="X94" s="1">
        <v>20</v>
      </c>
      <c r="Y94" s="1">
        <v>20.5</v>
      </c>
      <c r="Z94" s="1">
        <f t="shared" si="47"/>
        <v>17.600000000000001</v>
      </c>
      <c r="AA94" s="1">
        <v>7.5</v>
      </c>
      <c r="AB94" s="1">
        <v>8</v>
      </c>
      <c r="AC94" s="1">
        <v>8.5</v>
      </c>
      <c r="AD94" s="1">
        <v>6</v>
      </c>
      <c r="AE94" s="1">
        <v>8</v>
      </c>
      <c r="AF94" s="1">
        <f t="shared" si="48"/>
        <v>7.6</v>
      </c>
      <c r="AG94" s="1">
        <v>1</v>
      </c>
      <c r="AH94" s="1">
        <v>1.5</v>
      </c>
      <c r="AI94" s="1">
        <v>1.4</v>
      </c>
      <c r="AJ94" s="1">
        <v>2</v>
      </c>
      <c r="AK94" s="1">
        <v>1.1000000000000001</v>
      </c>
      <c r="AL94" s="1">
        <f t="shared" si="49"/>
        <v>1.4</v>
      </c>
      <c r="AM94" s="1">
        <v>7</v>
      </c>
      <c r="AN94" s="1">
        <v>12.3</v>
      </c>
      <c r="AO94" s="1">
        <v>15.5</v>
      </c>
      <c r="AP94" s="1">
        <v>14</v>
      </c>
      <c r="AQ94" s="1">
        <v>14</v>
      </c>
      <c r="AR94" s="1">
        <v>8.6999999999999993</v>
      </c>
      <c r="AS94" s="1">
        <f t="shared" si="50"/>
        <v>12.9</v>
      </c>
      <c r="AT94" s="1">
        <v>1.3</v>
      </c>
      <c r="AU94" s="1">
        <v>1.4</v>
      </c>
      <c r="AV94" s="1">
        <v>1.2</v>
      </c>
      <c r="AW94" s="1">
        <v>1.3</v>
      </c>
      <c r="AX94" s="1">
        <v>1</v>
      </c>
      <c r="AY94" s="1">
        <f t="shared" si="51"/>
        <v>1.24</v>
      </c>
      <c r="AZ94" s="1">
        <v>5</v>
      </c>
      <c r="BA94" s="1">
        <v>3</v>
      </c>
      <c r="BB94" s="1">
        <v>6</v>
      </c>
      <c r="BC94" s="1">
        <v>6</v>
      </c>
      <c r="BD94" s="1">
        <v>6</v>
      </c>
      <c r="BE94" s="1">
        <v>10</v>
      </c>
      <c r="BF94" s="1">
        <v>5</v>
      </c>
      <c r="BG94" s="1">
        <f t="shared" si="52"/>
        <v>6.6</v>
      </c>
      <c r="BH94" s="1">
        <v>9</v>
      </c>
      <c r="BI94" s="1">
        <v>8</v>
      </c>
      <c r="BJ94" s="1">
        <v>8</v>
      </c>
      <c r="BK94" s="1">
        <v>9</v>
      </c>
      <c r="BL94" s="1">
        <v>9</v>
      </c>
      <c r="BM94" s="1">
        <v>9</v>
      </c>
      <c r="BN94" s="1">
        <f t="shared" si="53"/>
        <v>8.6</v>
      </c>
      <c r="BO94" s="1">
        <v>1</v>
      </c>
      <c r="BP94" s="1">
        <v>3</v>
      </c>
      <c r="BQ94" s="1">
        <v>3</v>
      </c>
      <c r="BR94" s="1">
        <v>3</v>
      </c>
      <c r="BS94" s="1">
        <v>3</v>
      </c>
      <c r="BT94" s="1">
        <v>2</v>
      </c>
      <c r="BU94" s="1">
        <v>3</v>
      </c>
      <c r="BV94" s="1">
        <f t="shared" si="54"/>
        <v>2.8</v>
      </c>
      <c r="BW94" s="1">
        <v>42</v>
      </c>
      <c r="BX94" s="1">
        <v>38</v>
      </c>
      <c r="BY94" s="1">
        <v>55</v>
      </c>
      <c r="BZ94" s="1">
        <v>38</v>
      </c>
      <c r="CA94" s="1">
        <v>30</v>
      </c>
      <c r="CB94" s="1">
        <f t="shared" si="55"/>
        <v>40.6</v>
      </c>
      <c r="CC94" s="1">
        <v>1</v>
      </c>
      <c r="CD94" s="1">
        <v>5</v>
      </c>
      <c r="CE94" s="1">
        <v>6.88</v>
      </c>
      <c r="CF94" s="1">
        <v>7.04</v>
      </c>
      <c r="CG94" s="1">
        <v>6.87</v>
      </c>
      <c r="CH94" s="1">
        <v>6.93</v>
      </c>
      <c r="CI94" s="1">
        <v>7.1</v>
      </c>
      <c r="CJ94" s="1">
        <f t="shared" si="56"/>
        <v>6.9640000000000004</v>
      </c>
      <c r="CK94" s="1">
        <v>3.48</v>
      </c>
      <c r="CL94" s="1">
        <v>3.83</v>
      </c>
      <c r="CM94" s="1">
        <v>3.7</v>
      </c>
      <c r="CN94" s="1">
        <v>3.79</v>
      </c>
      <c r="CO94" s="1">
        <v>3.42</v>
      </c>
      <c r="CP94" s="1">
        <f t="shared" si="57"/>
        <v>3.6439999999999997</v>
      </c>
      <c r="CQ94" s="1">
        <v>3.21</v>
      </c>
      <c r="CR94" s="1">
        <v>2.62</v>
      </c>
      <c r="CS94" s="1">
        <v>3.36</v>
      </c>
      <c r="CT94" s="1">
        <v>2.95</v>
      </c>
      <c r="CU94" s="1">
        <v>3.39</v>
      </c>
      <c r="CV94" s="1">
        <f t="shared" si="58"/>
        <v>3.1060000000000003</v>
      </c>
      <c r="CW94" s="1">
        <v>48.9</v>
      </c>
      <c r="CX94" s="1">
        <v>9.8000000000000007</v>
      </c>
      <c r="CY94" s="1">
        <v>0.27500000000000002</v>
      </c>
      <c r="CZ94" s="1">
        <f t="shared" si="59"/>
        <v>0.61111111111111116</v>
      </c>
      <c r="DA94" s="1">
        <f t="shared" si="41"/>
        <v>0.90200000000000002</v>
      </c>
      <c r="DB94" s="1">
        <f t="shared" si="42"/>
        <v>0.63725112395632633</v>
      </c>
    </row>
    <row r="95" spans="1:106" ht="16" thickBot="1" x14ac:dyDescent="0.4">
      <c r="A95" s="1">
        <v>211</v>
      </c>
      <c r="B95" s="7" t="s">
        <v>218</v>
      </c>
      <c r="C95" s="10" t="s">
        <v>52</v>
      </c>
      <c r="D95" s="10" t="s">
        <v>121</v>
      </c>
      <c r="E95" s="3">
        <v>45300</v>
      </c>
      <c r="F95" s="3">
        <f t="shared" si="45"/>
        <v>45274</v>
      </c>
      <c r="G95" s="1">
        <f t="shared" si="43"/>
        <v>26</v>
      </c>
      <c r="H95" s="1">
        <f t="shared" si="39"/>
        <v>108</v>
      </c>
      <c r="I95" s="1">
        <v>7</v>
      </c>
      <c r="J95" s="3">
        <v>45382</v>
      </c>
      <c r="K95" s="3">
        <v>45388</v>
      </c>
      <c r="L95" s="15">
        <f t="shared" si="44"/>
        <v>114</v>
      </c>
      <c r="M95" s="13">
        <f t="shared" si="40"/>
        <v>143</v>
      </c>
      <c r="N95" s="3">
        <v>45417</v>
      </c>
      <c r="O95" s="1">
        <v>97</v>
      </c>
      <c r="P95" s="1">
        <v>102.4</v>
      </c>
      <c r="Q95" s="1">
        <v>102.3</v>
      </c>
      <c r="R95" s="1">
        <v>91</v>
      </c>
      <c r="S95" s="1">
        <v>97</v>
      </c>
      <c r="T95" s="1">
        <f t="shared" si="46"/>
        <v>97.94</v>
      </c>
      <c r="U95" s="1">
        <v>18.5</v>
      </c>
      <c r="V95" s="1">
        <v>19</v>
      </c>
      <c r="W95" s="1">
        <v>15</v>
      </c>
      <c r="X95" s="1">
        <v>14.5</v>
      </c>
      <c r="Y95" s="1">
        <v>15.4</v>
      </c>
      <c r="Z95" s="1">
        <f t="shared" si="47"/>
        <v>16.48</v>
      </c>
      <c r="AA95" s="1">
        <v>9</v>
      </c>
      <c r="AB95" s="1">
        <v>6.5</v>
      </c>
      <c r="AC95" s="1">
        <v>9.5</v>
      </c>
      <c r="AD95" s="1">
        <v>7.5</v>
      </c>
      <c r="AE95" s="1">
        <v>10</v>
      </c>
      <c r="AF95" s="1">
        <f t="shared" si="48"/>
        <v>8.5</v>
      </c>
      <c r="AG95" s="1">
        <v>6.5</v>
      </c>
      <c r="AH95" s="1">
        <v>5.5</v>
      </c>
      <c r="AI95" s="1">
        <v>5.5</v>
      </c>
      <c r="AJ95" s="1">
        <v>6.8</v>
      </c>
      <c r="AK95" s="1">
        <v>6.5</v>
      </c>
      <c r="AL95" s="1">
        <f t="shared" si="49"/>
        <v>6.16</v>
      </c>
      <c r="AM95" s="1">
        <v>7</v>
      </c>
      <c r="AN95" s="1">
        <v>10.5</v>
      </c>
      <c r="AO95" s="1">
        <v>11.5</v>
      </c>
      <c r="AP95" s="1">
        <v>11.2</v>
      </c>
      <c r="AQ95" s="1">
        <v>12</v>
      </c>
      <c r="AR95" s="1">
        <v>9</v>
      </c>
      <c r="AS95" s="1">
        <f t="shared" si="50"/>
        <v>10.84</v>
      </c>
      <c r="AT95" s="1">
        <v>0.8</v>
      </c>
      <c r="AU95" s="1">
        <v>0.9</v>
      </c>
      <c r="AV95" s="1">
        <v>0.8</v>
      </c>
      <c r="AW95" s="1">
        <v>0.9</v>
      </c>
      <c r="AX95" s="1">
        <v>1</v>
      </c>
      <c r="AY95" s="1">
        <f t="shared" si="51"/>
        <v>0.88000000000000012</v>
      </c>
      <c r="AZ95" s="1">
        <v>5</v>
      </c>
      <c r="BA95" s="1">
        <v>3</v>
      </c>
      <c r="BB95" s="1">
        <v>14</v>
      </c>
      <c r="BC95" s="1">
        <v>14</v>
      </c>
      <c r="BD95" s="1">
        <v>10</v>
      </c>
      <c r="BE95" s="1">
        <v>13</v>
      </c>
      <c r="BF95" s="1">
        <v>12</v>
      </c>
      <c r="BG95" s="1">
        <f t="shared" si="52"/>
        <v>12.6</v>
      </c>
      <c r="BH95" s="1">
        <v>7</v>
      </c>
      <c r="BI95" s="1">
        <v>10</v>
      </c>
      <c r="BJ95" s="1">
        <v>10</v>
      </c>
      <c r="BK95" s="1">
        <v>10</v>
      </c>
      <c r="BL95" s="1">
        <v>10</v>
      </c>
      <c r="BM95" s="1">
        <v>10</v>
      </c>
      <c r="BN95" s="1">
        <f t="shared" si="53"/>
        <v>10</v>
      </c>
      <c r="BO95" s="1">
        <v>1</v>
      </c>
      <c r="BP95" s="1">
        <v>0</v>
      </c>
      <c r="BQ95" s="1">
        <v>3</v>
      </c>
      <c r="BR95" s="1">
        <v>3</v>
      </c>
      <c r="BS95" s="1">
        <v>3</v>
      </c>
      <c r="BT95" s="1">
        <v>3</v>
      </c>
      <c r="BU95" s="1">
        <v>3</v>
      </c>
      <c r="BV95" s="1">
        <f t="shared" si="54"/>
        <v>3</v>
      </c>
      <c r="BW95" s="1">
        <v>41</v>
      </c>
      <c r="BX95" s="1">
        <v>28</v>
      </c>
      <c r="BY95" s="1">
        <v>38</v>
      </c>
      <c r="BZ95" s="1">
        <v>35</v>
      </c>
      <c r="CA95" s="1">
        <v>46</v>
      </c>
      <c r="CB95" s="1">
        <f t="shared" si="55"/>
        <v>37.6</v>
      </c>
      <c r="CC95" s="1">
        <v>1</v>
      </c>
      <c r="CD95" s="1">
        <v>3</v>
      </c>
      <c r="CE95" s="1">
        <v>5.43</v>
      </c>
      <c r="CF95" s="1">
        <v>5.88</v>
      </c>
      <c r="CG95" s="1">
        <v>5.59</v>
      </c>
      <c r="CH95" s="1">
        <v>5.97</v>
      </c>
      <c r="CI95" s="1">
        <v>5.98</v>
      </c>
      <c r="CJ95" s="1">
        <f t="shared" si="56"/>
        <v>5.77</v>
      </c>
      <c r="CK95" s="1">
        <v>2.66</v>
      </c>
      <c r="CL95" s="1">
        <v>2.5099999999999998</v>
      </c>
      <c r="CM95" s="1">
        <v>2.83</v>
      </c>
      <c r="CN95" s="1">
        <v>2.67</v>
      </c>
      <c r="CO95" s="1">
        <v>2.63</v>
      </c>
      <c r="CP95" s="1">
        <f t="shared" si="57"/>
        <v>2.66</v>
      </c>
      <c r="CQ95" s="1">
        <v>2.52</v>
      </c>
      <c r="CR95" s="1">
        <v>2.67</v>
      </c>
      <c r="CS95" s="1">
        <v>2.62</v>
      </c>
      <c r="CT95" s="1">
        <v>2.46</v>
      </c>
      <c r="CU95" s="1">
        <v>2.4500000000000002</v>
      </c>
      <c r="CV95" s="1">
        <f t="shared" si="58"/>
        <v>2.5439999999999996</v>
      </c>
      <c r="CW95" s="1">
        <v>29.4</v>
      </c>
      <c r="CX95" s="1">
        <v>9.6</v>
      </c>
      <c r="CY95" s="1">
        <v>0.68500000000000005</v>
      </c>
      <c r="CZ95" s="1">
        <f t="shared" si="59"/>
        <v>1.5222222222222224</v>
      </c>
      <c r="DA95" s="1">
        <f t="shared" si="41"/>
        <v>0.90400000000000003</v>
      </c>
      <c r="DB95" s="1">
        <f t="shared" si="42"/>
        <v>1.5908542068079643</v>
      </c>
    </row>
    <row r="96" spans="1:106" ht="16" thickBot="1" x14ac:dyDescent="0.4">
      <c r="A96" s="1">
        <v>212</v>
      </c>
      <c r="B96" s="7" t="s">
        <v>219</v>
      </c>
      <c r="C96" s="10" t="s">
        <v>52</v>
      </c>
      <c r="D96" s="10" t="s">
        <v>121</v>
      </c>
      <c r="E96" s="3">
        <v>45300</v>
      </c>
      <c r="F96" s="3">
        <f t="shared" si="45"/>
        <v>45274</v>
      </c>
      <c r="G96" s="1">
        <f t="shared" si="43"/>
        <v>26</v>
      </c>
      <c r="H96" s="1">
        <f t="shared" si="39"/>
        <v>103</v>
      </c>
      <c r="I96" s="1">
        <v>5</v>
      </c>
      <c r="J96" s="3">
        <v>45377</v>
      </c>
      <c r="K96" s="3">
        <v>45384</v>
      </c>
      <c r="L96" s="15">
        <f t="shared" si="44"/>
        <v>110</v>
      </c>
      <c r="M96" s="13">
        <f t="shared" si="40"/>
        <v>144</v>
      </c>
      <c r="N96" s="3">
        <v>45418</v>
      </c>
      <c r="O96" s="1">
        <v>89</v>
      </c>
      <c r="P96" s="1">
        <v>101.4</v>
      </c>
      <c r="Q96" s="1">
        <v>106.4</v>
      </c>
      <c r="R96" s="1">
        <v>101.3</v>
      </c>
      <c r="S96" s="1">
        <v>102.2</v>
      </c>
      <c r="T96" s="1">
        <f t="shared" si="46"/>
        <v>100.06</v>
      </c>
      <c r="U96" s="1">
        <v>1.75</v>
      </c>
      <c r="V96" s="1">
        <v>11</v>
      </c>
      <c r="W96" s="1">
        <v>13</v>
      </c>
      <c r="X96" s="1">
        <v>6.5</v>
      </c>
      <c r="Y96" s="1">
        <v>11.5</v>
      </c>
      <c r="Z96" s="1">
        <f t="shared" si="47"/>
        <v>8.75</v>
      </c>
      <c r="AA96" s="1">
        <v>9</v>
      </c>
      <c r="AB96" s="1">
        <v>9.5</v>
      </c>
      <c r="AC96" s="1">
        <v>8.9</v>
      </c>
      <c r="AD96" s="1">
        <v>8.6999999999999993</v>
      </c>
      <c r="AE96" s="1">
        <v>8</v>
      </c>
      <c r="AF96" s="1">
        <f t="shared" si="48"/>
        <v>8.8199999999999985</v>
      </c>
      <c r="AL96" s="1" t="s">
        <v>43</v>
      </c>
      <c r="AM96" s="1">
        <v>0</v>
      </c>
      <c r="AN96" s="1">
        <v>19.5</v>
      </c>
      <c r="AO96" s="1">
        <v>11</v>
      </c>
      <c r="AP96" s="1">
        <v>16.5</v>
      </c>
      <c r="AQ96" s="1">
        <v>13.5</v>
      </c>
      <c r="AR96" s="1">
        <v>11.5</v>
      </c>
      <c r="AS96" s="1">
        <f t="shared" si="50"/>
        <v>14.4</v>
      </c>
      <c r="AT96" s="1">
        <v>1.3</v>
      </c>
      <c r="AU96" s="1">
        <v>0.8</v>
      </c>
      <c r="AV96" s="1">
        <v>0.9</v>
      </c>
      <c r="AW96" s="1">
        <v>0.9</v>
      </c>
      <c r="AX96" s="1">
        <v>0.8</v>
      </c>
      <c r="AY96" s="1">
        <f t="shared" si="51"/>
        <v>0.94000000000000006</v>
      </c>
      <c r="AZ96" s="1">
        <v>3</v>
      </c>
      <c r="BA96" s="1">
        <v>3</v>
      </c>
      <c r="BB96" s="1">
        <v>23</v>
      </c>
      <c r="BC96" s="1">
        <v>11</v>
      </c>
      <c r="BD96" s="1">
        <v>19</v>
      </c>
      <c r="BE96" s="1">
        <v>8</v>
      </c>
      <c r="BF96" s="1">
        <v>19</v>
      </c>
      <c r="BG96" s="1">
        <f t="shared" si="52"/>
        <v>16</v>
      </c>
      <c r="BH96" s="1">
        <v>3</v>
      </c>
      <c r="BI96" s="1">
        <v>10</v>
      </c>
      <c r="BJ96" s="1">
        <v>10</v>
      </c>
      <c r="BK96" s="1">
        <v>8</v>
      </c>
      <c r="BL96" s="1">
        <v>9</v>
      </c>
      <c r="BM96" s="1">
        <v>8</v>
      </c>
      <c r="BN96" s="1">
        <f t="shared" si="53"/>
        <v>9</v>
      </c>
      <c r="BO96" s="1">
        <v>2</v>
      </c>
      <c r="BP96" s="1">
        <v>0</v>
      </c>
      <c r="BQ96" s="1">
        <v>3</v>
      </c>
      <c r="BR96" s="1">
        <v>4</v>
      </c>
      <c r="BS96" s="1">
        <v>3</v>
      </c>
      <c r="BT96" s="1">
        <v>3</v>
      </c>
      <c r="BU96" s="1">
        <v>3</v>
      </c>
      <c r="BV96" s="1">
        <f t="shared" si="54"/>
        <v>3.2</v>
      </c>
      <c r="BW96" s="1">
        <v>35</v>
      </c>
      <c r="BX96" s="1">
        <v>38</v>
      </c>
      <c r="BY96" s="1">
        <v>51</v>
      </c>
      <c r="BZ96" s="1">
        <v>38</v>
      </c>
      <c r="CA96" s="1">
        <v>40</v>
      </c>
      <c r="CB96" s="1">
        <f t="shared" si="55"/>
        <v>40.4</v>
      </c>
      <c r="CC96" s="1">
        <v>1</v>
      </c>
      <c r="CD96" s="1">
        <v>5</v>
      </c>
      <c r="CE96" s="1">
        <v>5.85</v>
      </c>
      <c r="CF96" s="1">
        <v>6.08</v>
      </c>
      <c r="CG96" s="1">
        <v>6.88</v>
      </c>
      <c r="CH96" s="1">
        <v>6.41</v>
      </c>
      <c r="CI96" s="1">
        <v>6.08</v>
      </c>
      <c r="CJ96" s="1">
        <f t="shared" si="56"/>
        <v>6.26</v>
      </c>
      <c r="CK96" s="1">
        <v>3.23</v>
      </c>
      <c r="CL96" s="1">
        <v>3.12</v>
      </c>
      <c r="CM96" s="1">
        <v>3.54</v>
      </c>
      <c r="CN96" s="1">
        <v>2.89</v>
      </c>
      <c r="CO96" s="1">
        <v>2.94</v>
      </c>
      <c r="CP96" s="1">
        <f t="shared" si="57"/>
        <v>3.1440000000000001</v>
      </c>
      <c r="CQ96" s="1">
        <v>2.4700000000000002</v>
      </c>
      <c r="CR96" s="1">
        <v>2.66</v>
      </c>
      <c r="CS96" s="1">
        <v>2.88</v>
      </c>
      <c r="CT96" s="1">
        <v>2.66</v>
      </c>
      <c r="CU96" s="1">
        <v>2.2999999999999998</v>
      </c>
      <c r="CV96" s="1">
        <f t="shared" si="58"/>
        <v>2.5940000000000003</v>
      </c>
      <c r="CW96" s="1">
        <v>37.9</v>
      </c>
      <c r="CX96" s="1">
        <v>10</v>
      </c>
      <c r="CY96" s="1">
        <v>0.56499999999999995</v>
      </c>
      <c r="CZ96" s="1">
        <f t="shared" si="59"/>
        <v>1.2555555555555553</v>
      </c>
      <c r="DA96" s="1">
        <f t="shared" si="41"/>
        <v>0.9</v>
      </c>
      <c r="DB96" s="1">
        <f t="shared" si="42"/>
        <v>1.3063583815028901</v>
      </c>
    </row>
    <row r="97" spans="1:106" ht="16" thickBot="1" x14ac:dyDescent="0.4">
      <c r="A97" s="1">
        <v>213</v>
      </c>
      <c r="B97" s="7" t="s">
        <v>220</v>
      </c>
      <c r="C97" s="10" t="s">
        <v>52</v>
      </c>
      <c r="D97" s="10" t="s">
        <v>122</v>
      </c>
      <c r="E97" s="3">
        <v>45296</v>
      </c>
      <c r="F97" s="3">
        <f t="shared" si="45"/>
        <v>45274</v>
      </c>
      <c r="G97" s="1">
        <f t="shared" si="43"/>
        <v>22</v>
      </c>
      <c r="H97" s="1">
        <f t="shared" si="39"/>
        <v>108</v>
      </c>
      <c r="I97" s="1">
        <v>7</v>
      </c>
      <c r="J97" s="3">
        <v>45382</v>
      </c>
      <c r="K97" s="3">
        <v>45383</v>
      </c>
      <c r="L97" s="15">
        <f t="shared" si="44"/>
        <v>109</v>
      </c>
      <c r="M97" s="13">
        <f t="shared" si="40"/>
        <v>142</v>
      </c>
      <c r="N97" s="3">
        <v>45416</v>
      </c>
      <c r="O97" s="1">
        <v>102.2</v>
      </c>
      <c r="P97" s="1">
        <v>101.7</v>
      </c>
      <c r="Q97" s="1">
        <v>102.3</v>
      </c>
      <c r="R97" s="1">
        <v>101.1</v>
      </c>
      <c r="S97" s="1">
        <v>101.6</v>
      </c>
      <c r="T97" s="1">
        <f t="shared" si="46"/>
        <v>101.78</v>
      </c>
      <c r="U97" s="1">
        <v>32</v>
      </c>
      <c r="V97" s="1">
        <v>27.5</v>
      </c>
      <c r="W97" s="1">
        <v>34</v>
      </c>
      <c r="X97" s="1">
        <v>34</v>
      </c>
      <c r="Y97" s="1">
        <v>29</v>
      </c>
      <c r="Z97" s="1">
        <f t="shared" si="47"/>
        <v>31.3</v>
      </c>
      <c r="AA97" s="1">
        <v>9</v>
      </c>
      <c r="AB97" s="1">
        <v>8</v>
      </c>
      <c r="AC97" s="1">
        <v>8</v>
      </c>
      <c r="AD97" s="1">
        <v>7</v>
      </c>
      <c r="AE97" s="1">
        <v>9</v>
      </c>
      <c r="AF97" s="1">
        <f t="shared" si="48"/>
        <v>8.1999999999999993</v>
      </c>
      <c r="AG97" s="1">
        <v>5.8</v>
      </c>
      <c r="AH97" s="1">
        <v>5.6</v>
      </c>
      <c r="AI97" s="1">
        <v>6.5</v>
      </c>
      <c r="AJ97" s="1">
        <v>6</v>
      </c>
      <c r="AK97" s="1">
        <v>6</v>
      </c>
      <c r="AL97" s="1">
        <f t="shared" si="49"/>
        <v>5.9799999999999995</v>
      </c>
      <c r="AM97" s="1">
        <v>7</v>
      </c>
      <c r="AN97" s="1">
        <v>14.5</v>
      </c>
      <c r="AO97" s="1">
        <v>12</v>
      </c>
      <c r="AP97" s="1">
        <v>15.5</v>
      </c>
      <c r="AQ97" s="1">
        <v>14</v>
      </c>
      <c r="AR97" s="1">
        <v>14.5</v>
      </c>
      <c r="AS97" s="1">
        <f t="shared" si="50"/>
        <v>14.1</v>
      </c>
      <c r="AT97" s="1">
        <v>0.8</v>
      </c>
      <c r="AU97" s="1">
        <v>1</v>
      </c>
      <c r="AV97" s="1">
        <v>0.9</v>
      </c>
      <c r="AW97" s="1">
        <v>1</v>
      </c>
      <c r="AX97" s="1">
        <v>0.8</v>
      </c>
      <c r="AY97" s="1">
        <f t="shared" si="51"/>
        <v>0.9</v>
      </c>
      <c r="AZ97" s="1">
        <v>3</v>
      </c>
      <c r="BA97" s="1">
        <v>3</v>
      </c>
      <c r="BB97" s="1">
        <v>14</v>
      </c>
      <c r="BC97" s="1">
        <v>16</v>
      </c>
      <c r="BD97" s="1">
        <v>18</v>
      </c>
      <c r="BE97" s="1">
        <v>28</v>
      </c>
      <c r="BF97" s="1">
        <v>16</v>
      </c>
      <c r="BG97" s="1">
        <f t="shared" si="52"/>
        <v>18.399999999999999</v>
      </c>
      <c r="BH97" s="1">
        <v>3</v>
      </c>
      <c r="BI97" s="1">
        <v>6</v>
      </c>
      <c r="BJ97" s="1">
        <v>7</v>
      </c>
      <c r="BK97" s="1">
        <v>8</v>
      </c>
      <c r="BL97" s="1">
        <v>8</v>
      </c>
      <c r="BM97" s="1">
        <v>9</v>
      </c>
      <c r="BN97" s="1">
        <f t="shared" si="53"/>
        <v>7.6</v>
      </c>
      <c r="BO97" s="1">
        <v>1</v>
      </c>
      <c r="BP97" s="1">
        <v>0</v>
      </c>
      <c r="BQ97" s="1">
        <v>3</v>
      </c>
      <c r="BR97" s="1">
        <v>3</v>
      </c>
      <c r="BS97" s="1">
        <v>2</v>
      </c>
      <c r="BT97" s="1">
        <v>2</v>
      </c>
      <c r="BU97" s="1">
        <v>3</v>
      </c>
      <c r="BV97" s="1">
        <f t="shared" si="54"/>
        <v>2.6</v>
      </c>
      <c r="BW97" s="1">
        <v>36</v>
      </c>
      <c r="BX97" s="1">
        <v>35</v>
      </c>
      <c r="BY97" s="1">
        <v>26</v>
      </c>
      <c r="BZ97" s="1">
        <v>30</v>
      </c>
      <c r="CA97" s="1">
        <v>32</v>
      </c>
      <c r="CB97" s="1">
        <f t="shared" si="55"/>
        <v>31.8</v>
      </c>
      <c r="CC97" s="1">
        <v>1</v>
      </c>
      <c r="CD97" s="1">
        <v>5</v>
      </c>
      <c r="CE97" s="1">
        <v>5.76</v>
      </c>
      <c r="CF97" s="1">
        <v>6.14</v>
      </c>
      <c r="CG97" s="1">
        <v>6.49</v>
      </c>
      <c r="CH97" s="1">
        <v>6.18</v>
      </c>
      <c r="CI97" s="1">
        <v>6.76</v>
      </c>
      <c r="CJ97" s="1">
        <f t="shared" si="56"/>
        <v>6.266</v>
      </c>
      <c r="CK97" s="1">
        <v>3.63</v>
      </c>
      <c r="CL97" s="1">
        <v>3.21</v>
      </c>
      <c r="CM97" s="1">
        <v>3.83</v>
      </c>
      <c r="CN97" s="1">
        <v>3.64</v>
      </c>
      <c r="CO97" s="1">
        <v>3.69</v>
      </c>
      <c r="CP97" s="1">
        <f t="shared" si="57"/>
        <v>3.6</v>
      </c>
      <c r="CQ97" s="1">
        <v>3.04</v>
      </c>
      <c r="CR97" s="1">
        <v>2.64</v>
      </c>
      <c r="CS97" s="1">
        <v>3.06</v>
      </c>
      <c r="CT97" s="1">
        <v>2.85</v>
      </c>
      <c r="CU97" s="1">
        <v>2.92</v>
      </c>
      <c r="CV97" s="1">
        <f t="shared" si="58"/>
        <v>2.9020000000000001</v>
      </c>
      <c r="CW97" s="1">
        <v>41.01</v>
      </c>
      <c r="CX97" s="1">
        <v>9.9</v>
      </c>
      <c r="CY97" s="1">
        <v>0.88500000000000001</v>
      </c>
      <c r="CZ97" s="1">
        <f t="shared" si="59"/>
        <v>1.9666666666666666</v>
      </c>
      <c r="DA97" s="1">
        <f t="shared" si="41"/>
        <v>0.90099999999999991</v>
      </c>
      <c r="DB97" s="1">
        <f t="shared" si="42"/>
        <v>2.0485163776493254</v>
      </c>
    </row>
    <row r="98" spans="1:106" ht="16" thickBot="1" x14ac:dyDescent="0.4">
      <c r="A98" s="1">
        <v>214</v>
      </c>
      <c r="B98" s="7" t="s">
        <v>221</v>
      </c>
      <c r="C98" s="10" t="s">
        <v>52</v>
      </c>
      <c r="D98" s="10" t="s">
        <v>121</v>
      </c>
      <c r="E98" s="3">
        <v>45296</v>
      </c>
      <c r="F98" s="3">
        <f t="shared" si="45"/>
        <v>45274</v>
      </c>
      <c r="G98" s="1">
        <f t="shared" si="43"/>
        <v>22</v>
      </c>
      <c r="H98" s="1">
        <f t="shared" si="39"/>
        <v>106</v>
      </c>
      <c r="I98" s="1">
        <v>3</v>
      </c>
      <c r="J98" s="3">
        <v>45380</v>
      </c>
      <c r="K98" s="3">
        <v>45386</v>
      </c>
      <c r="L98" s="15">
        <f t="shared" si="44"/>
        <v>112</v>
      </c>
      <c r="M98" s="13">
        <f t="shared" si="40"/>
        <v>146</v>
      </c>
      <c r="N98" s="3">
        <v>45420</v>
      </c>
      <c r="O98" s="1">
        <v>100</v>
      </c>
      <c r="P98" s="1">
        <v>107.5</v>
      </c>
      <c r="Q98" s="1">
        <v>101.1</v>
      </c>
      <c r="R98" s="1">
        <v>101.1</v>
      </c>
      <c r="S98" s="1">
        <v>100</v>
      </c>
      <c r="T98" s="1">
        <f t="shared" si="46"/>
        <v>101.94000000000001</v>
      </c>
      <c r="U98" s="1">
        <v>15.3</v>
      </c>
      <c r="V98" s="1">
        <v>32.5</v>
      </c>
      <c r="W98" s="1">
        <v>16</v>
      </c>
      <c r="X98" s="1">
        <v>19</v>
      </c>
      <c r="Y98" s="1">
        <v>14</v>
      </c>
      <c r="Z98" s="1">
        <f t="shared" si="47"/>
        <v>19.36</v>
      </c>
      <c r="AA98" s="1">
        <v>7.5</v>
      </c>
      <c r="AB98" s="1">
        <v>7.5</v>
      </c>
      <c r="AC98" s="1">
        <v>7</v>
      </c>
      <c r="AD98" s="1">
        <v>7.6</v>
      </c>
      <c r="AE98" s="1">
        <v>8.3000000000000007</v>
      </c>
      <c r="AF98" s="1">
        <f t="shared" si="48"/>
        <v>7.580000000000001</v>
      </c>
      <c r="AG98" s="1">
        <v>0.4</v>
      </c>
      <c r="AH98" s="1">
        <v>5.6</v>
      </c>
      <c r="AI98" s="1">
        <v>0.2</v>
      </c>
      <c r="AJ98" s="1">
        <v>0.4</v>
      </c>
      <c r="AK98" s="1">
        <v>0.1</v>
      </c>
      <c r="AL98" s="1">
        <f t="shared" si="49"/>
        <v>1.34</v>
      </c>
      <c r="AM98" s="1">
        <v>3</v>
      </c>
      <c r="AN98" s="1">
        <v>10.3</v>
      </c>
      <c r="AO98" s="1">
        <v>12.5</v>
      </c>
      <c r="AP98" s="1">
        <v>10.199999999999999</v>
      </c>
      <c r="AQ98" s="1">
        <v>10.6</v>
      </c>
      <c r="AR98" s="1">
        <v>14.5</v>
      </c>
      <c r="AS98" s="1">
        <f t="shared" si="50"/>
        <v>11.620000000000001</v>
      </c>
      <c r="AT98" s="1">
        <v>1</v>
      </c>
      <c r="AU98" s="1">
        <v>1</v>
      </c>
      <c r="AV98" s="1">
        <v>0.9</v>
      </c>
      <c r="AW98" s="1">
        <v>0.9</v>
      </c>
      <c r="AX98" s="1">
        <v>1.2</v>
      </c>
      <c r="AY98" s="1">
        <f t="shared" si="51"/>
        <v>1</v>
      </c>
      <c r="AZ98" s="1">
        <v>3</v>
      </c>
      <c r="BA98" s="1">
        <v>3</v>
      </c>
      <c r="BB98" s="1">
        <v>9</v>
      </c>
      <c r="BC98" s="1">
        <v>13</v>
      </c>
      <c r="BD98" s="1">
        <v>30</v>
      </c>
      <c r="BE98" s="1">
        <v>9</v>
      </c>
      <c r="BF98" s="1">
        <v>16</v>
      </c>
      <c r="BG98" s="1">
        <f t="shared" si="52"/>
        <v>15.4</v>
      </c>
      <c r="BH98" s="1">
        <v>5</v>
      </c>
      <c r="BI98" s="1">
        <v>9</v>
      </c>
      <c r="BJ98" s="1">
        <v>9</v>
      </c>
      <c r="BK98" s="1">
        <v>9</v>
      </c>
      <c r="BL98" s="1">
        <v>8</v>
      </c>
      <c r="BM98" s="1">
        <v>8</v>
      </c>
      <c r="BN98" s="1">
        <f t="shared" si="53"/>
        <v>8.6</v>
      </c>
      <c r="BO98" s="1">
        <v>1</v>
      </c>
      <c r="BP98" s="1">
        <v>0</v>
      </c>
      <c r="BQ98" s="1">
        <v>3</v>
      </c>
      <c r="BR98" s="1">
        <v>3</v>
      </c>
      <c r="BS98" s="1">
        <v>3</v>
      </c>
      <c r="BT98" s="1">
        <v>2</v>
      </c>
      <c r="BU98" s="1">
        <v>3</v>
      </c>
      <c r="BV98" s="1">
        <f t="shared" si="54"/>
        <v>2.8</v>
      </c>
      <c r="BW98" s="1">
        <v>27</v>
      </c>
      <c r="BX98" s="1">
        <v>48</v>
      </c>
      <c r="BY98" s="1">
        <v>31</v>
      </c>
      <c r="BZ98" s="1">
        <v>40</v>
      </c>
      <c r="CA98" s="1">
        <v>32</v>
      </c>
      <c r="CB98" s="1">
        <f t="shared" si="55"/>
        <v>35.6</v>
      </c>
      <c r="CC98" s="1">
        <v>1</v>
      </c>
      <c r="CD98" s="1">
        <v>5</v>
      </c>
      <c r="CE98" s="1">
        <v>6.3</v>
      </c>
      <c r="CF98" s="1">
        <v>6.57</v>
      </c>
      <c r="CG98" s="1">
        <v>6.03</v>
      </c>
      <c r="CH98" s="1">
        <v>6.17</v>
      </c>
      <c r="CI98" s="1">
        <v>5.92</v>
      </c>
      <c r="CJ98" s="1">
        <f t="shared" si="56"/>
        <v>6.1980000000000004</v>
      </c>
      <c r="CK98" s="1">
        <v>3.62</v>
      </c>
      <c r="CL98" s="1">
        <v>3.41</v>
      </c>
      <c r="CM98" s="1">
        <v>3.14</v>
      </c>
      <c r="CN98" s="1">
        <v>3.44</v>
      </c>
      <c r="CO98" s="1">
        <v>3.19</v>
      </c>
      <c r="CP98" s="1">
        <f t="shared" si="57"/>
        <v>3.3600000000000003</v>
      </c>
      <c r="CQ98" s="1">
        <v>2.89</v>
      </c>
      <c r="CR98" s="1">
        <v>2.81</v>
      </c>
      <c r="CS98" s="1">
        <v>2.94</v>
      </c>
      <c r="CT98" s="1">
        <v>2.78</v>
      </c>
      <c r="CU98" s="1">
        <v>1.99</v>
      </c>
      <c r="CV98" s="1">
        <f t="shared" si="58"/>
        <v>2.6819999999999999</v>
      </c>
      <c r="CW98" s="1">
        <v>36.700000000000003</v>
      </c>
      <c r="CX98" s="1">
        <v>11.2</v>
      </c>
      <c r="CY98" s="1">
        <v>0.45</v>
      </c>
      <c r="CZ98" s="1">
        <f t="shared" si="59"/>
        <v>1</v>
      </c>
      <c r="DA98" s="1">
        <f t="shared" si="41"/>
        <v>0.88800000000000001</v>
      </c>
      <c r="DB98" s="1">
        <f t="shared" si="42"/>
        <v>1.0265895953757225</v>
      </c>
    </row>
    <row r="99" spans="1:106" ht="16" thickBot="1" x14ac:dyDescent="0.4">
      <c r="A99" s="1">
        <v>215</v>
      </c>
      <c r="B99" s="7" t="s">
        <v>222</v>
      </c>
      <c r="C99" s="10" t="s">
        <v>52</v>
      </c>
      <c r="D99" s="10" t="s">
        <v>121</v>
      </c>
      <c r="E99" s="3">
        <v>45300</v>
      </c>
      <c r="F99" s="3">
        <f t="shared" si="45"/>
        <v>45274</v>
      </c>
      <c r="G99" s="1">
        <f t="shared" si="43"/>
        <v>26</v>
      </c>
      <c r="H99" s="1">
        <f t="shared" ref="H99:H119" si="60">J99-F99</f>
        <v>106</v>
      </c>
      <c r="I99" s="1">
        <v>7</v>
      </c>
      <c r="J99" s="3">
        <v>45380</v>
      </c>
      <c r="K99" s="3">
        <v>45384</v>
      </c>
      <c r="L99" s="15">
        <f t="shared" si="44"/>
        <v>110</v>
      </c>
      <c r="M99" s="13">
        <f t="shared" ref="M99:M119" si="61">N99-F99</f>
        <v>146</v>
      </c>
      <c r="N99" s="3">
        <v>45420</v>
      </c>
      <c r="O99" s="1">
        <v>97</v>
      </c>
      <c r="P99" s="1">
        <v>93</v>
      </c>
      <c r="Q99" s="1">
        <v>100</v>
      </c>
      <c r="R99" s="1">
        <v>99</v>
      </c>
      <c r="S99" s="1">
        <v>98</v>
      </c>
      <c r="T99" s="1">
        <f t="shared" si="46"/>
        <v>97.4</v>
      </c>
      <c r="U99" s="1">
        <v>22.5</v>
      </c>
      <c r="V99" s="1">
        <v>22.5</v>
      </c>
      <c r="W99" s="1">
        <v>19.5</v>
      </c>
      <c r="X99" s="1">
        <v>16.5</v>
      </c>
      <c r="Y99" s="1">
        <v>20.5</v>
      </c>
      <c r="Z99" s="1">
        <f t="shared" si="47"/>
        <v>20.3</v>
      </c>
      <c r="AA99" s="1">
        <v>8.5</v>
      </c>
      <c r="AB99" s="1">
        <v>8</v>
      </c>
      <c r="AC99" s="1">
        <v>7.5</v>
      </c>
      <c r="AD99" s="1">
        <v>8</v>
      </c>
      <c r="AE99" s="1">
        <v>8.5</v>
      </c>
      <c r="AF99" s="1">
        <f t="shared" si="48"/>
        <v>8.1</v>
      </c>
      <c r="AG99" s="1">
        <v>0.2</v>
      </c>
      <c r="AH99" s="1">
        <v>0.5</v>
      </c>
      <c r="AI99" s="1">
        <v>0.3</v>
      </c>
      <c r="AJ99" s="1">
        <v>0.1</v>
      </c>
      <c r="AK99" s="1">
        <v>0.4</v>
      </c>
      <c r="AL99" s="1">
        <f t="shared" si="49"/>
        <v>0.3</v>
      </c>
      <c r="AM99" s="1">
        <v>3</v>
      </c>
      <c r="AN99" s="1">
        <v>12.2</v>
      </c>
      <c r="AO99" s="1">
        <v>15.5</v>
      </c>
      <c r="AP99" s="1">
        <v>17.5</v>
      </c>
      <c r="AQ99" s="1">
        <v>13.5</v>
      </c>
      <c r="AR99" s="1">
        <v>10.5</v>
      </c>
      <c r="AS99" s="1">
        <f t="shared" si="50"/>
        <v>13.84</v>
      </c>
      <c r="AT99" s="1">
        <v>1</v>
      </c>
      <c r="AU99" s="1">
        <v>1.2</v>
      </c>
      <c r="AV99" s="1">
        <v>0.9</v>
      </c>
      <c r="AW99" s="1">
        <v>1.1000000000000001</v>
      </c>
      <c r="AX99" s="1">
        <v>0.8</v>
      </c>
      <c r="AY99" s="1">
        <f t="shared" si="51"/>
        <v>1</v>
      </c>
      <c r="AZ99" s="1">
        <v>3</v>
      </c>
      <c r="BA99" s="1">
        <v>3</v>
      </c>
      <c r="BB99" s="1">
        <v>5</v>
      </c>
      <c r="BC99" s="1">
        <v>2</v>
      </c>
      <c r="BD99" s="1">
        <v>3</v>
      </c>
      <c r="BE99" s="1">
        <v>3</v>
      </c>
      <c r="BF99" s="1">
        <v>4</v>
      </c>
      <c r="BG99" s="1">
        <f t="shared" si="52"/>
        <v>3.4</v>
      </c>
      <c r="BH99" s="1">
        <v>5</v>
      </c>
      <c r="BI99" s="1">
        <v>10</v>
      </c>
      <c r="BJ99" s="1">
        <v>9</v>
      </c>
      <c r="BK99" s="1">
        <v>9</v>
      </c>
      <c r="BL99" s="1">
        <v>8</v>
      </c>
      <c r="BM99" s="1">
        <v>8</v>
      </c>
      <c r="BN99" s="1">
        <f t="shared" si="53"/>
        <v>8.8000000000000007</v>
      </c>
      <c r="BO99" s="1">
        <v>1</v>
      </c>
      <c r="BP99" s="1">
        <v>0</v>
      </c>
      <c r="BQ99" s="1">
        <v>3</v>
      </c>
      <c r="BR99" s="1">
        <v>3</v>
      </c>
      <c r="BS99" s="1">
        <v>3</v>
      </c>
      <c r="BT99" s="1">
        <v>3</v>
      </c>
      <c r="BU99" s="1">
        <v>3</v>
      </c>
      <c r="BV99" s="1">
        <f t="shared" si="54"/>
        <v>3</v>
      </c>
      <c r="BW99" s="1">
        <v>45</v>
      </c>
      <c r="BX99" s="1">
        <v>44</v>
      </c>
      <c r="BY99" s="1">
        <v>35</v>
      </c>
      <c r="BZ99" s="1">
        <v>33</v>
      </c>
      <c r="CA99" s="1">
        <v>43</v>
      </c>
      <c r="CB99" s="1">
        <f t="shared" si="55"/>
        <v>40</v>
      </c>
      <c r="CC99" s="1">
        <v>1</v>
      </c>
      <c r="CD99" s="1">
        <v>5</v>
      </c>
      <c r="CE99" s="1">
        <v>5.67</v>
      </c>
      <c r="CF99" s="1">
        <v>5.44</v>
      </c>
      <c r="CG99" s="1">
        <v>5.17</v>
      </c>
      <c r="CH99" s="1">
        <v>5.15</v>
      </c>
      <c r="CI99" s="1">
        <v>5.07</v>
      </c>
      <c r="CJ99" s="1">
        <f t="shared" si="56"/>
        <v>5.3</v>
      </c>
      <c r="CK99" s="1">
        <v>3.62</v>
      </c>
      <c r="CL99" s="1">
        <v>3.5</v>
      </c>
      <c r="CM99" s="1">
        <v>3.33</v>
      </c>
      <c r="CN99" s="1">
        <v>3.46</v>
      </c>
      <c r="CO99" s="1">
        <v>3.39</v>
      </c>
      <c r="CP99" s="1">
        <f t="shared" si="57"/>
        <v>3.46</v>
      </c>
      <c r="CQ99" s="1">
        <v>2.99</v>
      </c>
      <c r="CR99" s="1">
        <v>2.78</v>
      </c>
      <c r="CS99" s="1">
        <v>3.07</v>
      </c>
      <c r="CT99" s="1">
        <v>3.06</v>
      </c>
      <c r="CU99" s="1">
        <v>3.02</v>
      </c>
      <c r="CV99" s="1">
        <f t="shared" si="58"/>
        <v>2.984</v>
      </c>
      <c r="CW99" s="1">
        <v>34.6</v>
      </c>
      <c r="CX99" s="1">
        <v>10.1</v>
      </c>
      <c r="CY99" s="1">
        <v>0.79500000000000004</v>
      </c>
      <c r="CZ99" s="1">
        <f t="shared" si="59"/>
        <v>1.7666666666666666</v>
      </c>
      <c r="DA99" s="1">
        <f t="shared" ref="DA99:DA119" si="62">(100-CX99)/100</f>
        <v>0.89900000000000002</v>
      </c>
      <c r="DB99" s="1">
        <f t="shared" ref="DB99:DB119" si="63">(CZ99*DA99)/0.865</f>
        <v>1.8361078998073219</v>
      </c>
    </row>
    <row r="100" spans="1:106" ht="16" thickBot="1" x14ac:dyDescent="0.4">
      <c r="A100" s="1">
        <v>216</v>
      </c>
      <c r="B100" s="7" t="s">
        <v>223</v>
      </c>
      <c r="C100" s="10" t="s">
        <v>52</v>
      </c>
      <c r="D100" s="10" t="s">
        <v>121</v>
      </c>
      <c r="E100" s="3">
        <v>45300</v>
      </c>
      <c r="F100" s="3">
        <f t="shared" si="45"/>
        <v>45274</v>
      </c>
      <c r="G100" s="1">
        <f t="shared" si="43"/>
        <v>26</v>
      </c>
      <c r="H100" s="1">
        <f t="shared" si="60"/>
        <v>104</v>
      </c>
      <c r="I100" s="1">
        <v>7</v>
      </c>
      <c r="J100" s="3">
        <v>45378</v>
      </c>
      <c r="K100" s="3">
        <v>45383</v>
      </c>
      <c r="L100" s="15">
        <f t="shared" si="44"/>
        <v>109</v>
      </c>
      <c r="M100" s="13">
        <f t="shared" si="61"/>
        <v>143</v>
      </c>
      <c r="N100" s="3">
        <v>45417</v>
      </c>
      <c r="O100" s="1">
        <v>99</v>
      </c>
      <c r="P100" s="1">
        <v>103.3</v>
      </c>
      <c r="Q100" s="1">
        <v>102.5</v>
      </c>
      <c r="R100" s="1">
        <v>102.2</v>
      </c>
      <c r="S100" s="1">
        <v>101.2</v>
      </c>
      <c r="T100" s="1">
        <f t="shared" si="46"/>
        <v>101.64</v>
      </c>
      <c r="U100" s="1">
        <v>13.5</v>
      </c>
      <c r="V100" s="1">
        <v>19</v>
      </c>
      <c r="W100" s="1">
        <v>24.5</v>
      </c>
      <c r="X100" s="1">
        <v>30</v>
      </c>
      <c r="Y100" s="1">
        <v>28</v>
      </c>
      <c r="Z100" s="1">
        <f t="shared" si="47"/>
        <v>23</v>
      </c>
      <c r="AA100" s="1">
        <v>9</v>
      </c>
      <c r="AB100" s="1">
        <v>8.5</v>
      </c>
      <c r="AC100" s="1">
        <v>8.5</v>
      </c>
      <c r="AD100" s="1">
        <v>8.5</v>
      </c>
      <c r="AE100" s="1">
        <v>10</v>
      </c>
      <c r="AF100" s="1">
        <f t="shared" si="48"/>
        <v>8.9</v>
      </c>
      <c r="AG100" s="1">
        <v>0.2</v>
      </c>
      <c r="AH100" s="1">
        <v>0.4</v>
      </c>
      <c r="AI100" s="1">
        <v>0.5</v>
      </c>
      <c r="AJ100" s="1">
        <v>0.2</v>
      </c>
      <c r="AK100" s="1">
        <v>0.3</v>
      </c>
      <c r="AL100" s="1">
        <f t="shared" si="49"/>
        <v>0.32</v>
      </c>
      <c r="AM100" s="1">
        <v>3</v>
      </c>
      <c r="AN100" s="1">
        <v>16</v>
      </c>
      <c r="AO100" s="1">
        <v>15</v>
      </c>
      <c r="AP100" s="1">
        <v>10</v>
      </c>
      <c r="AQ100" s="1">
        <v>10</v>
      </c>
      <c r="AR100" s="1">
        <v>13.5</v>
      </c>
      <c r="AS100" s="1">
        <f t="shared" si="50"/>
        <v>12.9</v>
      </c>
      <c r="AT100" s="1">
        <v>1</v>
      </c>
      <c r="AU100" s="1">
        <v>1.3</v>
      </c>
      <c r="AV100" s="1">
        <v>1.4</v>
      </c>
      <c r="AW100" s="1">
        <v>0.8</v>
      </c>
      <c r="AX100" s="1">
        <v>1</v>
      </c>
      <c r="AY100" s="1">
        <f t="shared" si="51"/>
        <v>1.1000000000000001</v>
      </c>
      <c r="AZ100" s="1">
        <v>3</v>
      </c>
      <c r="BA100" s="1">
        <v>3</v>
      </c>
      <c r="BB100" s="1">
        <v>5</v>
      </c>
      <c r="BC100" s="1">
        <v>11</v>
      </c>
      <c r="BD100" s="1">
        <v>9</v>
      </c>
      <c r="BE100" s="1">
        <v>30</v>
      </c>
      <c r="BF100" s="1">
        <v>4</v>
      </c>
      <c r="BG100" s="1">
        <f t="shared" si="52"/>
        <v>11.8</v>
      </c>
      <c r="BH100" s="1">
        <v>5</v>
      </c>
      <c r="BI100" s="1">
        <v>9</v>
      </c>
      <c r="BJ100" s="1">
        <v>9</v>
      </c>
      <c r="BK100" s="1">
        <v>9</v>
      </c>
      <c r="BL100" s="1">
        <v>9</v>
      </c>
      <c r="BM100" s="1">
        <v>9</v>
      </c>
      <c r="BN100" s="1">
        <f t="shared" si="53"/>
        <v>9</v>
      </c>
      <c r="BO100" s="1">
        <v>1</v>
      </c>
      <c r="BP100" s="1">
        <v>3</v>
      </c>
      <c r="BQ100" s="1">
        <v>3</v>
      </c>
      <c r="BR100" s="1">
        <v>3</v>
      </c>
      <c r="BS100" s="1">
        <v>3</v>
      </c>
      <c r="BT100" s="1">
        <v>3</v>
      </c>
      <c r="BU100" s="1">
        <v>3</v>
      </c>
      <c r="BV100" s="1">
        <f t="shared" si="54"/>
        <v>3</v>
      </c>
      <c r="BW100" s="1">
        <v>44</v>
      </c>
      <c r="BX100" s="1">
        <v>41</v>
      </c>
      <c r="BY100" s="1">
        <v>41</v>
      </c>
      <c r="BZ100" s="1">
        <v>35</v>
      </c>
      <c r="CA100" s="1">
        <v>48</v>
      </c>
      <c r="CB100" s="1">
        <f t="shared" si="55"/>
        <v>41.8</v>
      </c>
      <c r="CC100" s="1">
        <v>1</v>
      </c>
      <c r="CD100" s="1">
        <v>5</v>
      </c>
      <c r="CE100" s="1">
        <v>5.67</v>
      </c>
      <c r="CF100" s="1">
        <v>6.3</v>
      </c>
      <c r="CG100" s="1">
        <v>5.52</v>
      </c>
      <c r="CH100" s="1">
        <v>5.59</v>
      </c>
      <c r="CI100" s="1">
        <v>5.4</v>
      </c>
      <c r="CJ100" s="1">
        <f t="shared" si="56"/>
        <v>5.6959999999999997</v>
      </c>
      <c r="CK100" s="1">
        <v>3.67</v>
      </c>
      <c r="CL100" s="1">
        <v>3.71</v>
      </c>
      <c r="CM100" s="1">
        <v>3.43</v>
      </c>
      <c r="CN100" s="1">
        <v>3.36</v>
      </c>
      <c r="CO100" s="1">
        <v>3.28</v>
      </c>
      <c r="CP100" s="1">
        <f t="shared" si="57"/>
        <v>3.4899999999999998</v>
      </c>
      <c r="CQ100" s="1">
        <v>2.2799999999999998</v>
      </c>
      <c r="CR100" s="1">
        <v>2.85</v>
      </c>
      <c r="CS100" s="1">
        <v>2.98</v>
      </c>
      <c r="CT100" s="1">
        <v>2.94</v>
      </c>
      <c r="CU100" s="1">
        <v>2.63</v>
      </c>
      <c r="CV100" s="1">
        <f t="shared" si="58"/>
        <v>2.7359999999999998</v>
      </c>
      <c r="CW100" s="1">
        <v>34.799999999999997</v>
      </c>
      <c r="CX100" s="1">
        <v>10.6</v>
      </c>
      <c r="CY100" s="1">
        <v>0.89500000000000002</v>
      </c>
      <c r="CZ100" s="1">
        <f t="shared" si="59"/>
        <v>1.9888888888888889</v>
      </c>
      <c r="DA100" s="1">
        <f t="shared" si="62"/>
        <v>0.89400000000000002</v>
      </c>
      <c r="DB100" s="1">
        <f t="shared" si="63"/>
        <v>2.0555684007707131</v>
      </c>
    </row>
    <row r="101" spans="1:106" ht="16" thickBot="1" x14ac:dyDescent="0.4">
      <c r="A101" s="1">
        <v>217</v>
      </c>
      <c r="B101" s="7" t="s">
        <v>224</v>
      </c>
      <c r="C101" s="10" t="s">
        <v>52</v>
      </c>
      <c r="D101" s="10" t="s">
        <v>121</v>
      </c>
      <c r="E101" s="3">
        <v>45300</v>
      </c>
      <c r="F101" s="3">
        <f t="shared" si="45"/>
        <v>45274</v>
      </c>
      <c r="G101" s="1">
        <f t="shared" si="43"/>
        <v>26</v>
      </c>
      <c r="H101" s="1">
        <f t="shared" si="60"/>
        <v>102</v>
      </c>
      <c r="I101" s="1">
        <v>7</v>
      </c>
      <c r="J101" s="3">
        <v>45376</v>
      </c>
      <c r="K101" s="3">
        <v>45384</v>
      </c>
      <c r="L101" s="15">
        <f t="shared" si="44"/>
        <v>110</v>
      </c>
      <c r="M101" s="13">
        <f t="shared" si="61"/>
        <v>144</v>
      </c>
      <c r="N101" s="3">
        <v>45418</v>
      </c>
      <c r="O101" s="1">
        <v>91</v>
      </c>
      <c r="P101" s="1">
        <v>102.2</v>
      </c>
      <c r="Q101" s="1">
        <v>104.3</v>
      </c>
      <c r="R101" s="1">
        <v>95</v>
      </c>
      <c r="S101" s="1">
        <v>101.1</v>
      </c>
      <c r="T101" s="1">
        <f t="shared" si="46"/>
        <v>98.72</v>
      </c>
      <c r="U101" s="1">
        <v>17.5</v>
      </c>
      <c r="V101" s="1">
        <v>10</v>
      </c>
      <c r="W101" s="1">
        <v>14</v>
      </c>
      <c r="X101" s="1">
        <v>15</v>
      </c>
      <c r="Y101" s="1">
        <v>23</v>
      </c>
      <c r="Z101" s="1">
        <f t="shared" si="47"/>
        <v>15.9</v>
      </c>
      <c r="AA101" s="1">
        <v>9</v>
      </c>
      <c r="AB101" s="1">
        <v>8.5</v>
      </c>
      <c r="AC101" s="1">
        <v>7.5</v>
      </c>
      <c r="AD101" s="1">
        <v>7.6</v>
      </c>
      <c r="AE101" s="1">
        <v>8</v>
      </c>
      <c r="AF101" s="1">
        <f t="shared" si="48"/>
        <v>8.120000000000001</v>
      </c>
      <c r="AG101" s="1">
        <v>0.2</v>
      </c>
      <c r="AH101" s="1">
        <v>1.6</v>
      </c>
      <c r="AI101" s="1">
        <v>1.1000000000000001</v>
      </c>
      <c r="AJ101" s="1">
        <v>1.3</v>
      </c>
      <c r="AK101" s="1">
        <v>0.1</v>
      </c>
      <c r="AL101" s="1">
        <f t="shared" si="49"/>
        <v>0.86</v>
      </c>
      <c r="AM101" s="1">
        <v>3</v>
      </c>
      <c r="AN101" s="1">
        <v>17</v>
      </c>
      <c r="AO101" s="1">
        <v>10.3</v>
      </c>
      <c r="AP101" s="1">
        <v>11.3</v>
      </c>
      <c r="AQ101" s="1">
        <v>14</v>
      </c>
      <c r="AR101" s="1">
        <v>10.5</v>
      </c>
      <c r="AS101" s="1">
        <f t="shared" si="50"/>
        <v>12.620000000000001</v>
      </c>
      <c r="AT101" s="1">
        <v>1.3</v>
      </c>
      <c r="AU101" s="1">
        <v>1</v>
      </c>
      <c r="AV101" s="1">
        <v>0.9</v>
      </c>
      <c r="AW101" s="1">
        <v>1</v>
      </c>
      <c r="AX101" s="1">
        <v>0.9</v>
      </c>
      <c r="AY101" s="1">
        <f t="shared" si="51"/>
        <v>1.02</v>
      </c>
      <c r="AZ101" s="1">
        <v>3</v>
      </c>
      <c r="BA101" s="1">
        <v>3</v>
      </c>
      <c r="BB101" s="1">
        <v>6</v>
      </c>
      <c r="BC101" s="1">
        <v>5</v>
      </c>
      <c r="BD101" s="1">
        <v>13</v>
      </c>
      <c r="BE101" s="1">
        <v>4</v>
      </c>
      <c r="BF101" s="1">
        <v>15</v>
      </c>
      <c r="BG101" s="1">
        <f t="shared" si="52"/>
        <v>8.6</v>
      </c>
      <c r="BH101" s="1">
        <v>7</v>
      </c>
      <c r="BI101" s="1">
        <v>9</v>
      </c>
      <c r="BJ101" s="1">
        <v>9</v>
      </c>
      <c r="BK101" s="1">
        <v>9</v>
      </c>
      <c r="BL101" s="1">
        <v>9</v>
      </c>
      <c r="BM101" s="1">
        <v>9</v>
      </c>
      <c r="BN101" s="1">
        <f t="shared" si="53"/>
        <v>9</v>
      </c>
      <c r="BO101" s="1">
        <v>1</v>
      </c>
      <c r="BP101" s="1">
        <v>0</v>
      </c>
      <c r="BQ101" s="1">
        <v>3</v>
      </c>
      <c r="BR101" s="1">
        <v>3</v>
      </c>
      <c r="BS101" s="1">
        <v>3</v>
      </c>
      <c r="BT101" s="1">
        <v>3</v>
      </c>
      <c r="BU101" s="1">
        <v>3</v>
      </c>
      <c r="BV101" s="1">
        <f t="shared" si="54"/>
        <v>3</v>
      </c>
      <c r="BW101" s="1">
        <v>37</v>
      </c>
      <c r="BX101" s="1">
        <v>43</v>
      </c>
      <c r="BY101" s="1">
        <v>40</v>
      </c>
      <c r="BZ101" s="1">
        <v>45</v>
      </c>
      <c r="CA101" s="1">
        <v>43</v>
      </c>
      <c r="CB101" s="1">
        <f t="shared" si="55"/>
        <v>41.6</v>
      </c>
      <c r="CC101" s="1">
        <v>2</v>
      </c>
      <c r="CD101" s="1">
        <v>5</v>
      </c>
      <c r="CE101" s="1">
        <v>6.25</v>
      </c>
      <c r="CF101" s="1">
        <v>5.35</v>
      </c>
      <c r="CG101" s="1">
        <v>5.45</v>
      </c>
      <c r="CH101" s="1">
        <v>6.63</v>
      </c>
      <c r="CI101" s="1">
        <v>6.08</v>
      </c>
      <c r="CJ101" s="1">
        <f t="shared" si="56"/>
        <v>5.952</v>
      </c>
      <c r="CK101" s="1">
        <v>3.01</v>
      </c>
      <c r="CL101" s="1">
        <v>3.29</v>
      </c>
      <c r="CM101" s="1">
        <v>3.64</v>
      </c>
      <c r="CN101" s="1">
        <v>3.28</v>
      </c>
      <c r="CO101" s="1">
        <v>3.74</v>
      </c>
      <c r="CP101" s="1">
        <f t="shared" si="57"/>
        <v>3.3920000000000003</v>
      </c>
      <c r="CQ101" s="1">
        <v>3.16</v>
      </c>
      <c r="CR101" s="1">
        <v>3.49</v>
      </c>
      <c r="CS101" s="1">
        <v>3.14</v>
      </c>
      <c r="CT101" s="1">
        <v>3.04</v>
      </c>
      <c r="CU101" s="1">
        <v>3.06</v>
      </c>
      <c r="CV101" s="1">
        <f t="shared" si="58"/>
        <v>3.1780000000000004</v>
      </c>
      <c r="CW101" s="1">
        <v>41.01</v>
      </c>
      <c r="CX101" s="1">
        <v>10.3</v>
      </c>
      <c r="CY101" s="1">
        <v>0.59499999999999997</v>
      </c>
      <c r="CZ101" s="1">
        <f t="shared" si="59"/>
        <v>1.3222222222222222</v>
      </c>
      <c r="DA101" s="1">
        <f t="shared" si="62"/>
        <v>0.89700000000000002</v>
      </c>
      <c r="DB101" s="1">
        <f t="shared" si="63"/>
        <v>1.3711368015414258</v>
      </c>
    </row>
    <row r="102" spans="1:106" ht="16" thickBot="1" x14ac:dyDescent="0.4">
      <c r="A102" s="1">
        <v>218</v>
      </c>
      <c r="B102" s="7" t="s">
        <v>225</v>
      </c>
      <c r="C102" s="10" t="s">
        <v>52</v>
      </c>
      <c r="D102" s="10" t="s">
        <v>121</v>
      </c>
      <c r="E102" s="3">
        <v>45300</v>
      </c>
      <c r="F102" s="3">
        <f t="shared" si="45"/>
        <v>45274</v>
      </c>
      <c r="G102" s="1">
        <f t="shared" si="43"/>
        <v>26</v>
      </c>
      <c r="H102" s="1">
        <f t="shared" si="60"/>
        <v>108</v>
      </c>
      <c r="I102" s="1">
        <v>7</v>
      </c>
      <c r="J102" s="3">
        <v>45382</v>
      </c>
      <c r="K102" s="3">
        <v>45386</v>
      </c>
      <c r="L102" s="15">
        <f t="shared" si="44"/>
        <v>112</v>
      </c>
      <c r="M102" s="13">
        <f t="shared" si="61"/>
        <v>146</v>
      </c>
      <c r="N102" s="3">
        <v>45420</v>
      </c>
      <c r="O102" s="1">
        <v>101.5</v>
      </c>
      <c r="P102" s="1">
        <v>102.2</v>
      </c>
      <c r="Q102" s="1">
        <v>103.3</v>
      </c>
      <c r="R102" s="1">
        <v>93</v>
      </c>
      <c r="S102" s="1">
        <v>95</v>
      </c>
      <c r="T102" s="1">
        <f t="shared" si="46"/>
        <v>99</v>
      </c>
      <c r="U102" s="1">
        <v>19.5</v>
      </c>
      <c r="V102" s="1">
        <v>18</v>
      </c>
      <c r="W102" s="1">
        <v>16</v>
      </c>
      <c r="X102" s="1">
        <v>13</v>
      </c>
      <c r="Y102" s="1">
        <v>17.5</v>
      </c>
      <c r="Z102" s="1">
        <f t="shared" si="47"/>
        <v>16.8</v>
      </c>
      <c r="AA102" s="1">
        <v>9</v>
      </c>
      <c r="AB102" s="1">
        <v>8.5</v>
      </c>
      <c r="AC102" s="1">
        <v>7.5</v>
      </c>
      <c r="AD102" s="1">
        <v>7.5</v>
      </c>
      <c r="AE102" s="1">
        <v>8.3000000000000007</v>
      </c>
      <c r="AF102" s="1">
        <f t="shared" si="48"/>
        <v>8.16</v>
      </c>
      <c r="AL102" s="1" t="s">
        <v>43</v>
      </c>
      <c r="AM102" s="1">
        <v>0</v>
      </c>
      <c r="AN102" s="1">
        <v>10.5</v>
      </c>
      <c r="AO102" s="1">
        <v>11.5</v>
      </c>
      <c r="AP102" s="1">
        <v>9.5</v>
      </c>
      <c r="AQ102" s="1">
        <v>12</v>
      </c>
      <c r="AR102" s="1">
        <v>11.5</v>
      </c>
      <c r="AS102" s="1">
        <f t="shared" si="50"/>
        <v>11</v>
      </c>
      <c r="AT102" s="1">
        <v>1</v>
      </c>
      <c r="AU102" s="1">
        <v>1.1000000000000001</v>
      </c>
      <c r="AV102" s="1">
        <v>0.7</v>
      </c>
      <c r="AW102" s="1">
        <v>0.8</v>
      </c>
      <c r="AX102" s="1">
        <v>1</v>
      </c>
      <c r="AY102" s="1">
        <f t="shared" si="51"/>
        <v>0.91999999999999993</v>
      </c>
      <c r="AZ102" s="1">
        <v>3</v>
      </c>
      <c r="BA102" s="1">
        <v>3</v>
      </c>
      <c r="BB102" s="1">
        <v>7</v>
      </c>
      <c r="BC102" s="1">
        <v>11</v>
      </c>
      <c r="BD102" s="1">
        <v>6</v>
      </c>
      <c r="BE102" s="1">
        <v>5</v>
      </c>
      <c r="BF102" s="1">
        <v>7</v>
      </c>
      <c r="BG102" s="1">
        <f t="shared" si="52"/>
        <v>7.2</v>
      </c>
      <c r="BH102" s="1">
        <v>5</v>
      </c>
      <c r="BI102" s="1">
        <v>8</v>
      </c>
      <c r="BJ102" s="1">
        <v>9</v>
      </c>
      <c r="BK102" s="1">
        <v>9</v>
      </c>
      <c r="BL102" s="1">
        <v>9</v>
      </c>
      <c r="BM102" s="1">
        <v>9</v>
      </c>
      <c r="BN102" s="1">
        <f t="shared" si="53"/>
        <v>8.8000000000000007</v>
      </c>
      <c r="BO102" s="1">
        <v>2</v>
      </c>
      <c r="BP102" s="1">
        <v>0</v>
      </c>
      <c r="BQ102" s="1">
        <v>3</v>
      </c>
      <c r="BR102" s="1">
        <v>3</v>
      </c>
      <c r="BS102" s="1">
        <v>3</v>
      </c>
      <c r="BT102" s="1">
        <v>3</v>
      </c>
      <c r="BU102" s="1">
        <v>3</v>
      </c>
      <c r="BV102" s="1">
        <f t="shared" si="54"/>
        <v>3</v>
      </c>
      <c r="BW102" s="1">
        <v>29</v>
      </c>
      <c r="BX102" s="1">
        <v>45</v>
      </c>
      <c r="BY102" s="1">
        <v>46</v>
      </c>
      <c r="BZ102" s="1">
        <v>48</v>
      </c>
      <c r="CA102" s="1">
        <v>41</v>
      </c>
      <c r="CB102" s="1">
        <f t="shared" si="55"/>
        <v>41.8</v>
      </c>
      <c r="CC102" s="1">
        <v>2</v>
      </c>
      <c r="CD102" s="1">
        <v>3</v>
      </c>
      <c r="CE102" s="1">
        <v>4.79</v>
      </c>
      <c r="CF102" s="1">
        <v>5.42</v>
      </c>
      <c r="CG102" s="1">
        <v>5.37</v>
      </c>
      <c r="CH102" s="1">
        <v>5.17</v>
      </c>
      <c r="CI102" s="1">
        <v>5.67</v>
      </c>
      <c r="CJ102" s="1">
        <f t="shared" si="56"/>
        <v>5.2840000000000007</v>
      </c>
      <c r="CK102" s="1">
        <v>2.57</v>
      </c>
      <c r="CL102" s="1">
        <v>3.5</v>
      </c>
      <c r="CM102" s="1">
        <v>3.02</v>
      </c>
      <c r="CN102" s="1">
        <v>2.58</v>
      </c>
      <c r="CO102" s="1">
        <v>2.89</v>
      </c>
      <c r="CP102" s="1">
        <f t="shared" si="57"/>
        <v>2.9119999999999999</v>
      </c>
      <c r="CQ102" s="1">
        <v>2.08</v>
      </c>
      <c r="CR102" s="1">
        <v>2.57</v>
      </c>
      <c r="CS102" s="1">
        <v>2.37</v>
      </c>
      <c r="CT102" s="1">
        <v>2.3199999999999998</v>
      </c>
      <c r="CU102" s="1">
        <v>2.79</v>
      </c>
      <c r="CV102" s="1">
        <f t="shared" si="58"/>
        <v>2.4259999999999997</v>
      </c>
      <c r="CW102" s="1">
        <v>29.4</v>
      </c>
      <c r="CX102" s="1">
        <v>10.199999999999999</v>
      </c>
      <c r="CY102" s="1">
        <v>0.7</v>
      </c>
      <c r="CZ102" s="1">
        <f t="shared" si="59"/>
        <v>1.5555555555555556</v>
      </c>
      <c r="DA102" s="1">
        <f t="shared" si="62"/>
        <v>0.89800000000000002</v>
      </c>
      <c r="DB102" s="1">
        <f t="shared" si="63"/>
        <v>1.6149004495825305</v>
      </c>
    </row>
    <row r="103" spans="1:106" ht="16" thickBot="1" x14ac:dyDescent="0.4">
      <c r="A103" s="1">
        <v>219</v>
      </c>
      <c r="B103" s="7" t="s">
        <v>226</v>
      </c>
      <c r="C103" s="10" t="s">
        <v>52</v>
      </c>
      <c r="D103" s="10" t="s">
        <v>121</v>
      </c>
      <c r="E103" s="3">
        <v>45300</v>
      </c>
      <c r="F103" s="3">
        <f t="shared" si="45"/>
        <v>45274</v>
      </c>
      <c r="G103" s="1">
        <f t="shared" si="43"/>
        <v>26</v>
      </c>
      <c r="H103" s="1">
        <f t="shared" si="60"/>
        <v>108</v>
      </c>
      <c r="I103" s="1">
        <v>7</v>
      </c>
      <c r="J103" s="3">
        <v>45382</v>
      </c>
      <c r="K103" s="3">
        <v>45389</v>
      </c>
      <c r="L103" s="15">
        <f t="shared" si="44"/>
        <v>115</v>
      </c>
      <c r="M103" s="13">
        <f t="shared" si="61"/>
        <v>146</v>
      </c>
      <c r="N103" s="3">
        <v>45420</v>
      </c>
      <c r="O103" s="1">
        <v>89</v>
      </c>
      <c r="P103" s="1">
        <v>102.4</v>
      </c>
      <c r="Q103" s="1">
        <v>98</v>
      </c>
      <c r="R103" s="1">
        <v>97</v>
      </c>
      <c r="S103" s="1">
        <v>96</v>
      </c>
      <c r="T103" s="1">
        <f t="shared" si="46"/>
        <v>96.47999999999999</v>
      </c>
      <c r="U103" s="1">
        <v>17.5</v>
      </c>
      <c r="V103" s="1">
        <v>23</v>
      </c>
      <c r="W103" s="1">
        <v>25</v>
      </c>
      <c r="X103" s="1">
        <v>17.5</v>
      </c>
      <c r="Y103" s="1">
        <v>18.5</v>
      </c>
      <c r="Z103" s="1">
        <f t="shared" si="47"/>
        <v>20.3</v>
      </c>
      <c r="AA103" s="1">
        <v>8.8000000000000007</v>
      </c>
      <c r="AB103" s="1">
        <v>7.5</v>
      </c>
      <c r="AC103" s="1">
        <v>8.5</v>
      </c>
      <c r="AD103" s="1">
        <v>8.5</v>
      </c>
      <c r="AE103" s="1">
        <v>9</v>
      </c>
      <c r="AF103" s="1">
        <f t="shared" si="48"/>
        <v>8.4599999999999991</v>
      </c>
      <c r="AG103" s="1">
        <v>4.2</v>
      </c>
      <c r="AH103" s="1">
        <v>6.5</v>
      </c>
      <c r="AI103" s="1">
        <v>6</v>
      </c>
      <c r="AJ103" s="1">
        <v>7.2</v>
      </c>
      <c r="AK103" s="1">
        <v>9</v>
      </c>
      <c r="AL103" s="1">
        <f t="shared" si="49"/>
        <v>6.58</v>
      </c>
      <c r="AM103" s="1">
        <v>7</v>
      </c>
      <c r="AN103" s="1">
        <v>15</v>
      </c>
      <c r="AO103" s="1">
        <v>13.5</v>
      </c>
      <c r="AP103" s="1">
        <v>16</v>
      </c>
      <c r="AQ103" s="1">
        <v>15</v>
      </c>
      <c r="AR103" s="1">
        <v>12.6</v>
      </c>
      <c r="AS103" s="1">
        <f t="shared" si="50"/>
        <v>14.419999999999998</v>
      </c>
      <c r="AT103" s="1">
        <v>1.2</v>
      </c>
      <c r="AU103" s="1">
        <v>1.1000000000000001</v>
      </c>
      <c r="AV103" s="1">
        <v>0.9</v>
      </c>
      <c r="AW103" s="1">
        <v>1</v>
      </c>
      <c r="AX103" s="1">
        <v>1.2</v>
      </c>
      <c r="AY103" s="1">
        <f t="shared" si="51"/>
        <v>1.0799999999999998</v>
      </c>
      <c r="AZ103" s="1">
        <v>3</v>
      </c>
      <c r="BA103" s="1">
        <v>3</v>
      </c>
      <c r="BB103" s="1">
        <v>3</v>
      </c>
      <c r="BC103" s="1">
        <v>12</v>
      </c>
      <c r="BD103" s="1">
        <v>11</v>
      </c>
      <c r="BE103" s="1">
        <v>5</v>
      </c>
      <c r="BF103" s="1">
        <v>8</v>
      </c>
      <c r="BG103" s="1">
        <f t="shared" si="52"/>
        <v>7.8</v>
      </c>
      <c r="BH103" s="1">
        <v>5</v>
      </c>
      <c r="BI103" s="1">
        <v>7</v>
      </c>
      <c r="BJ103" s="1">
        <v>8</v>
      </c>
      <c r="BK103" s="1">
        <v>9</v>
      </c>
      <c r="BL103" s="1">
        <v>9</v>
      </c>
      <c r="BM103" s="1">
        <v>8</v>
      </c>
      <c r="BN103" s="1">
        <f t="shared" si="53"/>
        <v>8.1999999999999993</v>
      </c>
      <c r="BO103" s="1">
        <v>1</v>
      </c>
      <c r="BP103" s="1">
        <v>0</v>
      </c>
      <c r="BQ103" s="1">
        <v>3</v>
      </c>
      <c r="BR103" s="1">
        <v>3</v>
      </c>
      <c r="BS103" s="1">
        <v>3</v>
      </c>
      <c r="BT103" s="1">
        <v>2</v>
      </c>
      <c r="BU103" s="1">
        <v>3</v>
      </c>
      <c r="BV103" s="1">
        <f t="shared" si="54"/>
        <v>2.8</v>
      </c>
      <c r="BW103" s="1">
        <v>38</v>
      </c>
      <c r="BX103" s="1">
        <v>34</v>
      </c>
      <c r="BY103" s="1">
        <v>48</v>
      </c>
      <c r="BZ103" s="1">
        <v>42</v>
      </c>
      <c r="CA103" s="1">
        <v>41</v>
      </c>
      <c r="CB103" s="1">
        <f t="shared" si="55"/>
        <v>40.6</v>
      </c>
      <c r="CC103" s="1">
        <v>1</v>
      </c>
      <c r="CD103" s="1">
        <v>5</v>
      </c>
      <c r="CE103" s="1">
        <v>6.18</v>
      </c>
      <c r="CF103" s="1">
        <v>5.81</v>
      </c>
      <c r="CG103" s="1">
        <v>5.51</v>
      </c>
      <c r="CH103" s="1">
        <v>5.57</v>
      </c>
      <c r="CI103" s="1">
        <v>5.43</v>
      </c>
      <c r="CJ103" s="1">
        <f t="shared" si="56"/>
        <v>5.7</v>
      </c>
      <c r="CK103" s="1">
        <v>3.2</v>
      </c>
      <c r="CL103" s="1">
        <v>3.34</v>
      </c>
      <c r="CM103" s="1">
        <v>2.2999999999999998</v>
      </c>
      <c r="CN103" s="1">
        <v>2.38</v>
      </c>
      <c r="CO103" s="1">
        <v>3.02</v>
      </c>
      <c r="CP103" s="1">
        <f t="shared" si="57"/>
        <v>2.8479999999999999</v>
      </c>
      <c r="CQ103" s="1">
        <v>2.88</v>
      </c>
      <c r="CR103" s="1">
        <v>2.87</v>
      </c>
      <c r="CS103" s="1">
        <v>2.6</v>
      </c>
      <c r="CT103" s="1">
        <v>2.89</v>
      </c>
      <c r="CU103" s="1">
        <v>2.85</v>
      </c>
      <c r="CV103" s="1">
        <f t="shared" si="58"/>
        <v>2.8180000000000001</v>
      </c>
      <c r="CW103" s="1">
        <v>31.8</v>
      </c>
      <c r="CX103" s="1">
        <v>12.2</v>
      </c>
      <c r="CY103" s="1">
        <v>0.59499999999999997</v>
      </c>
      <c r="CZ103" s="1">
        <f t="shared" si="59"/>
        <v>1.3222222222222222</v>
      </c>
      <c r="DA103" s="1">
        <f t="shared" si="62"/>
        <v>0.878</v>
      </c>
      <c r="DB103" s="1">
        <f t="shared" si="63"/>
        <v>1.3420937700706486</v>
      </c>
    </row>
    <row r="104" spans="1:106" ht="16" thickBot="1" x14ac:dyDescent="0.4">
      <c r="A104" s="1">
        <v>220</v>
      </c>
      <c r="B104" s="7" t="s">
        <v>227</v>
      </c>
      <c r="C104" s="10" t="s">
        <v>52</v>
      </c>
      <c r="D104" s="10" t="s">
        <v>121</v>
      </c>
      <c r="E104" s="3">
        <v>45300</v>
      </c>
      <c r="F104" s="3">
        <f t="shared" si="45"/>
        <v>45274</v>
      </c>
      <c r="G104" s="1">
        <f t="shared" si="43"/>
        <v>26</v>
      </c>
      <c r="H104" s="1">
        <f t="shared" si="60"/>
        <v>108</v>
      </c>
      <c r="I104" s="1">
        <v>7</v>
      </c>
      <c r="J104" s="3">
        <v>45382</v>
      </c>
      <c r="K104" s="3">
        <v>45386</v>
      </c>
      <c r="L104" s="15">
        <f t="shared" si="44"/>
        <v>112</v>
      </c>
      <c r="M104" s="13">
        <f t="shared" si="61"/>
        <v>145</v>
      </c>
      <c r="N104" s="3">
        <v>45419</v>
      </c>
      <c r="O104" s="1">
        <v>90.5</v>
      </c>
      <c r="P104" s="1">
        <v>96</v>
      </c>
      <c r="Q104" s="1">
        <v>100</v>
      </c>
      <c r="R104" s="1">
        <v>86</v>
      </c>
      <c r="S104" s="1">
        <v>96</v>
      </c>
      <c r="T104" s="1">
        <f t="shared" si="46"/>
        <v>93.7</v>
      </c>
      <c r="U104" s="1">
        <v>12</v>
      </c>
      <c r="V104" s="1">
        <v>18.5</v>
      </c>
      <c r="W104" s="1">
        <v>14</v>
      </c>
      <c r="X104" s="1">
        <v>14</v>
      </c>
      <c r="Y104" s="1">
        <v>20</v>
      </c>
      <c r="Z104" s="1">
        <f t="shared" si="47"/>
        <v>15.7</v>
      </c>
      <c r="AA104" s="1">
        <v>9</v>
      </c>
      <c r="AB104" s="1">
        <v>7.5</v>
      </c>
      <c r="AC104" s="1">
        <v>0.9</v>
      </c>
      <c r="AD104" s="1">
        <v>8.5</v>
      </c>
      <c r="AE104" s="1">
        <v>9.5</v>
      </c>
      <c r="AF104" s="1">
        <f t="shared" si="48"/>
        <v>7.08</v>
      </c>
      <c r="AG104" s="1">
        <v>0.5</v>
      </c>
      <c r="AH104" s="1">
        <v>0.2</v>
      </c>
      <c r="AI104" s="1">
        <v>0.2</v>
      </c>
      <c r="AJ104" s="1">
        <v>0.4</v>
      </c>
      <c r="AK104" s="1">
        <v>0.4</v>
      </c>
      <c r="AL104" s="1">
        <f t="shared" si="49"/>
        <v>0.33999999999999997</v>
      </c>
      <c r="AM104" s="1">
        <v>3</v>
      </c>
      <c r="AN104" s="1">
        <v>13.5</v>
      </c>
      <c r="AO104" s="1">
        <v>12.5</v>
      </c>
      <c r="AP104" s="1">
        <v>14.5</v>
      </c>
      <c r="AQ104" s="1">
        <v>12.5</v>
      </c>
      <c r="AR104" s="1">
        <v>9.5</v>
      </c>
      <c r="AS104" s="1">
        <f t="shared" si="50"/>
        <v>12.5</v>
      </c>
      <c r="AT104" s="1">
        <v>1.2</v>
      </c>
      <c r="AU104" s="1">
        <v>1.1000000000000001</v>
      </c>
      <c r="AV104" s="1">
        <v>1</v>
      </c>
      <c r="AW104" s="1">
        <v>0.9</v>
      </c>
      <c r="AX104" s="1">
        <v>0.9</v>
      </c>
      <c r="AY104" s="1">
        <f t="shared" si="51"/>
        <v>1.02</v>
      </c>
      <c r="AZ104" s="1">
        <v>5</v>
      </c>
      <c r="BA104" s="1">
        <v>3</v>
      </c>
      <c r="BB104" s="1">
        <v>11</v>
      </c>
      <c r="BC104" s="1">
        <v>10</v>
      </c>
      <c r="BD104" s="1">
        <v>5</v>
      </c>
      <c r="BE104" s="1">
        <v>11</v>
      </c>
      <c r="BF104" s="1">
        <v>3</v>
      </c>
      <c r="BG104" s="1">
        <f t="shared" si="52"/>
        <v>8</v>
      </c>
      <c r="BH104" s="1">
        <v>3</v>
      </c>
      <c r="BI104" s="1">
        <v>9</v>
      </c>
      <c r="BJ104" s="1">
        <v>8</v>
      </c>
      <c r="BK104" s="1">
        <v>9</v>
      </c>
      <c r="BL104" s="1">
        <v>8</v>
      </c>
      <c r="BM104" s="1">
        <v>9</v>
      </c>
      <c r="BN104" s="1">
        <f t="shared" si="53"/>
        <v>8.6</v>
      </c>
      <c r="BO104" s="1">
        <v>2</v>
      </c>
      <c r="BP104" s="1">
        <v>3</v>
      </c>
      <c r="BQ104" s="1">
        <v>3</v>
      </c>
      <c r="BR104" s="1">
        <v>3</v>
      </c>
      <c r="BS104" s="1">
        <v>3</v>
      </c>
      <c r="BT104" s="1">
        <v>3</v>
      </c>
      <c r="BU104" s="1">
        <v>3</v>
      </c>
      <c r="BV104" s="1">
        <f t="shared" si="54"/>
        <v>3</v>
      </c>
      <c r="BW104" s="1">
        <v>48</v>
      </c>
      <c r="BX104" s="1">
        <v>40</v>
      </c>
      <c r="BY104" s="1">
        <v>44</v>
      </c>
      <c r="BZ104" s="1">
        <v>37</v>
      </c>
      <c r="CA104" s="1">
        <v>43</v>
      </c>
      <c r="CB104" s="1">
        <f t="shared" si="55"/>
        <v>42.4</v>
      </c>
      <c r="CC104" s="1">
        <v>1</v>
      </c>
      <c r="CD104" s="1">
        <v>5</v>
      </c>
      <c r="CE104" s="1">
        <v>6.05</v>
      </c>
      <c r="CF104" s="1">
        <v>6.16</v>
      </c>
      <c r="CG104" s="1">
        <v>5.35</v>
      </c>
      <c r="CH104" s="1">
        <v>5.42</v>
      </c>
      <c r="CI104" s="1">
        <v>5.14</v>
      </c>
      <c r="CJ104" s="1">
        <f t="shared" si="56"/>
        <v>5.6240000000000006</v>
      </c>
      <c r="CK104" s="1">
        <v>3.5</v>
      </c>
      <c r="CL104" s="1">
        <v>3.52</v>
      </c>
      <c r="CM104" s="1">
        <v>3.34</v>
      </c>
      <c r="CN104" s="1">
        <v>3.41</v>
      </c>
      <c r="CO104" s="1">
        <v>3.35</v>
      </c>
      <c r="CP104" s="1">
        <f t="shared" si="57"/>
        <v>3.4240000000000004</v>
      </c>
      <c r="CQ104" s="1">
        <v>2.92</v>
      </c>
      <c r="CR104" s="1">
        <v>2.68</v>
      </c>
      <c r="CS104" s="1">
        <v>3.21</v>
      </c>
      <c r="CT104" s="1">
        <v>2.71</v>
      </c>
      <c r="CU104" s="1">
        <v>2.71</v>
      </c>
      <c r="CV104" s="1">
        <f t="shared" si="58"/>
        <v>2.8460000000000001</v>
      </c>
      <c r="CW104" s="1">
        <v>32.4</v>
      </c>
      <c r="CX104" s="1">
        <v>10.199999999999999</v>
      </c>
      <c r="CY104" s="1">
        <v>0.59</v>
      </c>
      <c r="CZ104" s="1">
        <f t="shared" si="59"/>
        <v>1.3111111111111109</v>
      </c>
      <c r="DA104" s="1">
        <f t="shared" si="62"/>
        <v>0.89800000000000002</v>
      </c>
      <c r="DB104" s="1">
        <f t="shared" si="63"/>
        <v>1.3611303789338469</v>
      </c>
    </row>
    <row r="105" spans="1:106" ht="16" thickBot="1" x14ac:dyDescent="0.4">
      <c r="A105" s="1">
        <v>221</v>
      </c>
      <c r="B105" s="7" t="s">
        <v>228</v>
      </c>
      <c r="C105" s="10" t="s">
        <v>52</v>
      </c>
      <c r="D105" s="10" t="s">
        <v>121</v>
      </c>
      <c r="E105" s="3">
        <v>45300</v>
      </c>
      <c r="F105" s="3">
        <f t="shared" si="45"/>
        <v>45274</v>
      </c>
      <c r="G105" s="1">
        <f t="shared" si="43"/>
        <v>26</v>
      </c>
      <c r="H105" s="1">
        <f t="shared" si="60"/>
        <v>108</v>
      </c>
      <c r="I105" s="1">
        <v>7</v>
      </c>
      <c r="J105" s="3">
        <v>45382</v>
      </c>
      <c r="K105" s="3">
        <v>45388</v>
      </c>
      <c r="L105" s="15">
        <f t="shared" si="44"/>
        <v>114</v>
      </c>
      <c r="M105" s="13">
        <f t="shared" si="61"/>
        <v>145</v>
      </c>
      <c r="N105" s="3">
        <v>45419</v>
      </c>
      <c r="O105" s="1">
        <v>91</v>
      </c>
      <c r="P105" s="1">
        <v>98</v>
      </c>
      <c r="Q105" s="1">
        <v>86</v>
      </c>
      <c r="R105" s="1">
        <v>108.5</v>
      </c>
      <c r="S105" s="1">
        <v>104.5</v>
      </c>
      <c r="T105" s="1">
        <f t="shared" si="46"/>
        <v>97.6</v>
      </c>
      <c r="U105" s="1">
        <v>18</v>
      </c>
      <c r="V105" s="1">
        <v>19.5</v>
      </c>
      <c r="W105" s="1">
        <v>9</v>
      </c>
      <c r="X105" s="1">
        <v>15.5</v>
      </c>
      <c r="Y105" s="1">
        <v>16.5</v>
      </c>
      <c r="Z105" s="1">
        <f t="shared" si="47"/>
        <v>15.7</v>
      </c>
      <c r="AA105" s="1">
        <v>7.5</v>
      </c>
      <c r="AB105" s="1">
        <v>9</v>
      </c>
      <c r="AC105" s="1">
        <v>7.8</v>
      </c>
      <c r="AD105" s="1">
        <v>9.5</v>
      </c>
      <c r="AE105" s="1">
        <v>10</v>
      </c>
      <c r="AF105" s="1">
        <f t="shared" si="48"/>
        <v>8.76</v>
      </c>
      <c r="AL105" s="1" t="s">
        <v>43</v>
      </c>
      <c r="AM105" s="1">
        <v>0</v>
      </c>
      <c r="AN105" s="1">
        <v>10</v>
      </c>
      <c r="AO105" s="1">
        <v>12.5</v>
      </c>
      <c r="AP105" s="1">
        <v>11</v>
      </c>
      <c r="AQ105" s="1">
        <v>12.5</v>
      </c>
      <c r="AR105" s="1">
        <v>12.5</v>
      </c>
      <c r="AS105" s="1">
        <f t="shared" si="50"/>
        <v>11.7</v>
      </c>
      <c r="AT105" s="1">
        <v>0.8</v>
      </c>
      <c r="AU105" s="1">
        <v>0.9</v>
      </c>
      <c r="AV105" s="1">
        <v>1</v>
      </c>
      <c r="AW105" s="1">
        <v>0.9</v>
      </c>
      <c r="AX105" s="1">
        <v>1</v>
      </c>
      <c r="AY105" s="1">
        <f t="shared" si="51"/>
        <v>0.91999999999999993</v>
      </c>
      <c r="AZ105" s="1">
        <v>5</v>
      </c>
      <c r="BA105" s="1">
        <v>3</v>
      </c>
      <c r="BB105" s="1">
        <v>4</v>
      </c>
      <c r="BC105" s="1">
        <v>6</v>
      </c>
      <c r="BD105" s="1">
        <v>10</v>
      </c>
      <c r="BE105" s="1">
        <v>6</v>
      </c>
      <c r="BF105" s="1">
        <v>5</v>
      </c>
      <c r="BG105" s="1">
        <f t="shared" si="52"/>
        <v>6.2</v>
      </c>
      <c r="BH105" s="1">
        <v>5</v>
      </c>
      <c r="BI105" s="1">
        <v>10</v>
      </c>
      <c r="BJ105" s="1">
        <v>10</v>
      </c>
      <c r="BK105" s="1">
        <v>10</v>
      </c>
      <c r="BL105" s="1">
        <v>11</v>
      </c>
      <c r="BM105" s="1">
        <v>12</v>
      </c>
      <c r="BN105" s="1">
        <f t="shared" si="53"/>
        <v>10.6</v>
      </c>
      <c r="BO105" s="1">
        <v>1</v>
      </c>
      <c r="BP105" s="1">
        <v>0</v>
      </c>
      <c r="BQ105" s="1">
        <v>3</v>
      </c>
      <c r="BR105" s="1">
        <v>3</v>
      </c>
      <c r="BS105" s="1">
        <v>2</v>
      </c>
      <c r="BT105" s="1">
        <v>3</v>
      </c>
      <c r="BU105" s="1">
        <v>3</v>
      </c>
      <c r="BV105" s="1">
        <f t="shared" si="54"/>
        <v>2.8</v>
      </c>
      <c r="BW105" s="1">
        <v>48</v>
      </c>
      <c r="BX105" s="1">
        <v>43</v>
      </c>
      <c r="BY105" s="1">
        <v>44</v>
      </c>
      <c r="BZ105" s="1">
        <v>37</v>
      </c>
      <c r="CA105" s="1">
        <v>19</v>
      </c>
      <c r="CB105" s="1">
        <f t="shared" si="55"/>
        <v>38.200000000000003</v>
      </c>
      <c r="CC105" s="1">
        <v>2</v>
      </c>
      <c r="CD105" s="1">
        <v>5</v>
      </c>
      <c r="CE105" s="1">
        <v>5.58</v>
      </c>
      <c r="CF105" s="1">
        <v>5.63</v>
      </c>
      <c r="CG105" s="1">
        <v>5.87</v>
      </c>
      <c r="CH105" s="1">
        <v>5.61</v>
      </c>
      <c r="CI105" s="1">
        <v>4.9400000000000004</v>
      </c>
      <c r="CJ105" s="1">
        <f t="shared" si="56"/>
        <v>5.5260000000000007</v>
      </c>
      <c r="CK105" s="1">
        <v>3.52</v>
      </c>
      <c r="CL105" s="1">
        <v>3.07</v>
      </c>
      <c r="CM105" s="1">
        <v>3.52</v>
      </c>
      <c r="CN105" s="1">
        <v>2.88</v>
      </c>
      <c r="CO105" s="1">
        <v>2.86</v>
      </c>
      <c r="CP105" s="1">
        <f t="shared" si="57"/>
        <v>3.1699999999999995</v>
      </c>
      <c r="CQ105" s="1">
        <v>2.77</v>
      </c>
      <c r="CR105" s="1">
        <v>2.74</v>
      </c>
      <c r="CS105" s="1">
        <v>2.93</v>
      </c>
      <c r="CT105" s="1">
        <v>2.76</v>
      </c>
      <c r="CU105" s="1">
        <v>2.36</v>
      </c>
      <c r="CV105" s="1">
        <f t="shared" si="58"/>
        <v>2.7119999999999997</v>
      </c>
      <c r="CW105" s="1">
        <v>33.4</v>
      </c>
      <c r="CX105" s="1">
        <v>9.9</v>
      </c>
      <c r="CY105" s="1">
        <v>0.55500000000000005</v>
      </c>
      <c r="CZ105" s="1">
        <f t="shared" si="59"/>
        <v>1.2333333333333334</v>
      </c>
      <c r="DA105" s="1">
        <f t="shared" si="62"/>
        <v>0.90099999999999991</v>
      </c>
      <c r="DB105" s="1">
        <f t="shared" si="63"/>
        <v>1.2846628131021194</v>
      </c>
    </row>
    <row r="106" spans="1:106" ht="16" thickBot="1" x14ac:dyDescent="0.4">
      <c r="A106" s="1">
        <v>222</v>
      </c>
      <c r="B106" s="7" t="s">
        <v>229</v>
      </c>
      <c r="C106" s="10" t="s">
        <v>52</v>
      </c>
      <c r="D106" s="10" t="s">
        <v>121</v>
      </c>
      <c r="E106" s="3">
        <v>45300</v>
      </c>
      <c r="F106" s="3">
        <f t="shared" si="45"/>
        <v>45274</v>
      </c>
      <c r="G106" s="1">
        <f t="shared" si="43"/>
        <v>26</v>
      </c>
      <c r="H106" s="1">
        <f t="shared" si="60"/>
        <v>106</v>
      </c>
      <c r="I106" s="1">
        <v>7</v>
      </c>
      <c r="J106" s="3">
        <v>45380</v>
      </c>
      <c r="K106" s="3">
        <v>45389</v>
      </c>
      <c r="L106" s="15">
        <f t="shared" si="44"/>
        <v>115</v>
      </c>
      <c r="M106" s="13">
        <f t="shared" si="61"/>
        <v>145</v>
      </c>
      <c r="N106" s="3">
        <v>45419</v>
      </c>
      <c r="O106" s="1">
        <v>97</v>
      </c>
      <c r="P106" s="1">
        <v>85</v>
      </c>
      <c r="Q106" s="1">
        <v>80.5</v>
      </c>
      <c r="R106" s="1">
        <v>96</v>
      </c>
      <c r="S106" s="1">
        <v>87</v>
      </c>
      <c r="T106" s="1">
        <f t="shared" si="46"/>
        <v>89.1</v>
      </c>
      <c r="U106" s="1">
        <v>15.5</v>
      </c>
      <c r="V106" s="1">
        <v>16.5</v>
      </c>
      <c r="W106" s="1">
        <v>16.5</v>
      </c>
      <c r="X106" s="1">
        <v>13.5</v>
      </c>
      <c r="Y106" s="1">
        <v>14</v>
      </c>
      <c r="Z106" s="1">
        <f t="shared" si="47"/>
        <v>15.2</v>
      </c>
      <c r="AA106" s="1">
        <v>5.8</v>
      </c>
      <c r="AB106" s="1">
        <v>9.5</v>
      </c>
      <c r="AC106" s="1">
        <v>8</v>
      </c>
      <c r="AD106" s="1">
        <v>8</v>
      </c>
      <c r="AE106" s="1">
        <v>6.5</v>
      </c>
      <c r="AF106" s="1">
        <f t="shared" si="48"/>
        <v>7.56</v>
      </c>
      <c r="AG106" s="1">
        <v>4.3</v>
      </c>
      <c r="AH106" s="1">
        <v>7.5</v>
      </c>
      <c r="AI106" s="1">
        <v>5.6</v>
      </c>
      <c r="AJ106" s="1">
        <v>7.3</v>
      </c>
      <c r="AK106" s="1">
        <v>5.8</v>
      </c>
      <c r="AL106" s="1">
        <f t="shared" si="49"/>
        <v>6.1</v>
      </c>
      <c r="AM106" s="1">
        <v>7</v>
      </c>
      <c r="AN106" s="1">
        <v>12.5</v>
      </c>
      <c r="AO106" s="1">
        <v>9.6999999999999993</v>
      </c>
      <c r="AP106" s="1">
        <v>10.8</v>
      </c>
      <c r="AQ106" s="1">
        <v>11</v>
      </c>
      <c r="AR106" s="1">
        <v>11.5</v>
      </c>
      <c r="AS106" s="1">
        <f t="shared" si="50"/>
        <v>11.1</v>
      </c>
      <c r="AT106" s="1">
        <v>1.3</v>
      </c>
      <c r="AU106" s="1">
        <v>0.9</v>
      </c>
      <c r="AV106" s="1">
        <v>0.9</v>
      </c>
      <c r="AW106" s="1">
        <v>0.9</v>
      </c>
      <c r="AX106" s="1">
        <v>0.1</v>
      </c>
      <c r="AY106" s="1">
        <f t="shared" si="51"/>
        <v>0.82</v>
      </c>
      <c r="AZ106" s="1">
        <v>5</v>
      </c>
      <c r="BA106" s="1">
        <v>5</v>
      </c>
      <c r="BB106" s="1">
        <v>8</v>
      </c>
      <c r="BC106" s="1">
        <v>4</v>
      </c>
      <c r="BD106" s="1">
        <v>8</v>
      </c>
      <c r="BE106" s="1">
        <v>11</v>
      </c>
      <c r="BF106" s="1">
        <v>11</v>
      </c>
      <c r="BG106" s="1">
        <f t="shared" si="52"/>
        <v>8.4</v>
      </c>
      <c r="BH106" s="1">
        <v>5</v>
      </c>
      <c r="BI106" s="1">
        <v>11</v>
      </c>
      <c r="BJ106" s="1">
        <v>12</v>
      </c>
      <c r="BK106" s="1">
        <v>10</v>
      </c>
      <c r="BL106" s="1">
        <v>10</v>
      </c>
      <c r="BM106" s="1">
        <v>10</v>
      </c>
      <c r="BN106" s="1">
        <f t="shared" si="53"/>
        <v>10.6</v>
      </c>
      <c r="BO106" s="1">
        <v>1</v>
      </c>
      <c r="BP106" s="1">
        <v>0</v>
      </c>
      <c r="BQ106" s="1">
        <v>3</v>
      </c>
      <c r="BR106" s="1">
        <v>3</v>
      </c>
      <c r="BS106" s="1">
        <v>3</v>
      </c>
      <c r="BT106" s="1">
        <v>2</v>
      </c>
      <c r="BU106" s="1">
        <v>3</v>
      </c>
      <c r="BV106" s="1">
        <f t="shared" si="54"/>
        <v>2.8</v>
      </c>
      <c r="BW106" s="1">
        <v>45</v>
      </c>
      <c r="BX106" s="1">
        <v>51</v>
      </c>
      <c r="BY106" s="1">
        <v>37</v>
      </c>
      <c r="BZ106" s="1">
        <v>37</v>
      </c>
      <c r="CA106" s="1">
        <v>45</v>
      </c>
      <c r="CB106" s="1">
        <f t="shared" si="55"/>
        <v>43</v>
      </c>
      <c r="CC106" s="1">
        <v>1</v>
      </c>
      <c r="CD106" s="1">
        <v>3</v>
      </c>
      <c r="CE106" s="1">
        <v>5.09</v>
      </c>
      <c r="CF106" s="1">
        <v>5.57</v>
      </c>
      <c r="CG106" s="1">
        <v>5.47</v>
      </c>
      <c r="CH106" s="1">
        <v>5.15</v>
      </c>
      <c r="CI106" s="1">
        <v>5.81</v>
      </c>
      <c r="CJ106" s="1">
        <f t="shared" si="56"/>
        <v>5.4180000000000001</v>
      </c>
      <c r="CK106" s="1">
        <v>3.07</v>
      </c>
      <c r="CL106" s="1">
        <v>3.11</v>
      </c>
      <c r="CM106" s="1">
        <v>3.05</v>
      </c>
      <c r="CN106" s="1">
        <v>3.15</v>
      </c>
      <c r="CO106" s="1">
        <v>3.47</v>
      </c>
      <c r="CP106" s="1">
        <f t="shared" si="57"/>
        <v>3.1700000000000004</v>
      </c>
      <c r="CQ106" s="1">
        <v>2.84</v>
      </c>
      <c r="CR106" s="1">
        <v>3.01</v>
      </c>
      <c r="CS106" s="1">
        <v>2.87</v>
      </c>
      <c r="CT106" s="1">
        <v>2.63</v>
      </c>
      <c r="CU106" s="1">
        <v>2.91</v>
      </c>
      <c r="CV106" s="1">
        <f t="shared" si="58"/>
        <v>2.8519999999999994</v>
      </c>
      <c r="CW106" s="1">
        <v>28.4</v>
      </c>
      <c r="CX106" s="1">
        <v>10.1</v>
      </c>
      <c r="CY106" s="1">
        <v>0.504</v>
      </c>
      <c r="CZ106" s="1">
        <f t="shared" si="59"/>
        <v>1.1200000000000001</v>
      </c>
      <c r="DA106" s="1">
        <f t="shared" si="62"/>
        <v>0.89900000000000002</v>
      </c>
      <c r="DB106" s="1">
        <f t="shared" si="63"/>
        <v>1.1640231213872836</v>
      </c>
    </row>
    <row r="107" spans="1:106" ht="16" thickBot="1" x14ac:dyDescent="0.4">
      <c r="A107" s="1">
        <v>223</v>
      </c>
      <c r="B107" s="7" t="s">
        <v>230</v>
      </c>
      <c r="C107" s="10" t="s">
        <v>52</v>
      </c>
      <c r="D107" s="10" t="s">
        <v>121</v>
      </c>
      <c r="E107" s="3">
        <v>45300</v>
      </c>
      <c r="F107" s="3">
        <f t="shared" si="45"/>
        <v>45274</v>
      </c>
      <c r="G107" s="1">
        <f t="shared" si="43"/>
        <v>26</v>
      </c>
      <c r="H107" s="1">
        <f t="shared" si="60"/>
        <v>107</v>
      </c>
      <c r="I107" s="1">
        <v>7</v>
      </c>
      <c r="J107" s="3">
        <v>45381</v>
      </c>
      <c r="K107" s="3">
        <v>45386</v>
      </c>
      <c r="L107" s="15">
        <f t="shared" si="44"/>
        <v>112</v>
      </c>
      <c r="M107" s="13">
        <f t="shared" si="61"/>
        <v>145</v>
      </c>
      <c r="N107" s="3">
        <v>45419</v>
      </c>
      <c r="O107" s="1">
        <v>107.3</v>
      </c>
      <c r="P107" s="1">
        <v>101.4</v>
      </c>
      <c r="Q107" s="1">
        <v>105.5</v>
      </c>
      <c r="R107" s="1">
        <v>94</v>
      </c>
      <c r="S107" s="1">
        <v>93</v>
      </c>
      <c r="T107" s="1">
        <f t="shared" si="46"/>
        <v>100.24</v>
      </c>
      <c r="U107" s="1">
        <v>19</v>
      </c>
      <c r="V107" s="1">
        <v>15</v>
      </c>
      <c r="W107" s="1">
        <v>20.5</v>
      </c>
      <c r="X107" s="1">
        <v>17</v>
      </c>
      <c r="Y107" s="1">
        <v>20</v>
      </c>
      <c r="Z107" s="1">
        <f t="shared" si="47"/>
        <v>18.3</v>
      </c>
      <c r="AA107" s="1">
        <v>6</v>
      </c>
      <c r="AB107" s="1">
        <v>8.8000000000000007</v>
      </c>
      <c r="AC107" s="1">
        <v>7.5</v>
      </c>
      <c r="AD107" s="1">
        <v>7.5</v>
      </c>
      <c r="AE107" s="1">
        <v>7.6</v>
      </c>
      <c r="AF107" s="1">
        <f t="shared" si="48"/>
        <v>7.4799999999999995</v>
      </c>
      <c r="AL107" s="1" t="s">
        <v>43</v>
      </c>
      <c r="AM107" s="1">
        <v>0</v>
      </c>
      <c r="AN107" s="1">
        <v>10.5</v>
      </c>
      <c r="AO107" s="1">
        <v>11.5</v>
      </c>
      <c r="AP107" s="1">
        <v>14.5</v>
      </c>
      <c r="AQ107" s="1">
        <v>13</v>
      </c>
      <c r="AR107" s="1">
        <v>10.5</v>
      </c>
      <c r="AS107" s="1">
        <f t="shared" si="50"/>
        <v>12</v>
      </c>
      <c r="AT107" s="1">
        <v>1.1000000000000001</v>
      </c>
      <c r="AU107" s="1">
        <v>0.7</v>
      </c>
      <c r="AV107" s="1">
        <v>1</v>
      </c>
      <c r="AW107" s="1">
        <v>1</v>
      </c>
      <c r="AX107" s="1">
        <v>0.9</v>
      </c>
      <c r="AY107" s="1">
        <f t="shared" si="51"/>
        <v>0.94000000000000006</v>
      </c>
      <c r="AZ107" s="1">
        <v>5</v>
      </c>
      <c r="BA107" s="1">
        <v>5</v>
      </c>
      <c r="BB107" s="1">
        <v>4</v>
      </c>
      <c r="BC107" s="1">
        <v>11</v>
      </c>
      <c r="BD107" s="1">
        <v>14</v>
      </c>
      <c r="BE107" s="1">
        <v>5</v>
      </c>
      <c r="BF107" s="1">
        <v>7</v>
      </c>
      <c r="BG107" s="1">
        <f t="shared" si="52"/>
        <v>8.1999999999999993</v>
      </c>
      <c r="BH107" s="1">
        <v>1</v>
      </c>
      <c r="BI107" s="1">
        <v>10</v>
      </c>
      <c r="BJ107" s="1">
        <v>10</v>
      </c>
      <c r="BK107" s="1">
        <v>10</v>
      </c>
      <c r="BL107" s="1">
        <v>10</v>
      </c>
      <c r="BM107" s="1">
        <v>11</v>
      </c>
      <c r="BN107" s="1">
        <f t="shared" si="53"/>
        <v>10.199999999999999</v>
      </c>
      <c r="BO107" s="1">
        <v>1</v>
      </c>
      <c r="BP107" s="1">
        <v>0</v>
      </c>
      <c r="BQ107" s="1">
        <v>4</v>
      </c>
      <c r="BR107" s="1">
        <v>3</v>
      </c>
      <c r="BS107" s="1">
        <v>2</v>
      </c>
      <c r="BT107" s="1">
        <v>3</v>
      </c>
      <c r="BU107" s="1">
        <v>3</v>
      </c>
      <c r="BV107" s="1">
        <f t="shared" si="54"/>
        <v>3</v>
      </c>
      <c r="BW107" s="1">
        <v>50</v>
      </c>
      <c r="BX107" s="1">
        <v>34</v>
      </c>
      <c r="BY107" s="1">
        <v>41</v>
      </c>
      <c r="BZ107" s="1">
        <v>41</v>
      </c>
      <c r="CA107" s="1">
        <v>42</v>
      </c>
      <c r="CB107" s="1">
        <f t="shared" si="55"/>
        <v>41.6</v>
      </c>
      <c r="CC107" s="1">
        <v>2</v>
      </c>
      <c r="CD107" s="1">
        <v>5</v>
      </c>
      <c r="CE107" s="1">
        <v>5.37</v>
      </c>
      <c r="CF107" s="1">
        <v>5.84</v>
      </c>
      <c r="CG107" s="1">
        <v>6.09</v>
      </c>
      <c r="CH107" s="1">
        <v>5.85</v>
      </c>
      <c r="CI107" s="1">
        <v>5.74</v>
      </c>
      <c r="CJ107" s="1">
        <f t="shared" si="56"/>
        <v>5.7780000000000005</v>
      </c>
      <c r="CK107" s="1">
        <v>3.28</v>
      </c>
      <c r="CL107" s="1">
        <v>3.34</v>
      </c>
      <c r="CM107" s="1">
        <v>3.31</v>
      </c>
      <c r="CN107" s="1">
        <v>3.34</v>
      </c>
      <c r="CO107" s="1">
        <v>2.84</v>
      </c>
      <c r="CP107" s="1">
        <f t="shared" si="57"/>
        <v>3.222</v>
      </c>
      <c r="CQ107" s="1">
        <v>2.67</v>
      </c>
      <c r="CR107" s="1">
        <v>2.69</v>
      </c>
      <c r="CS107" s="1">
        <v>3.08</v>
      </c>
      <c r="CT107" s="1">
        <v>2.65</v>
      </c>
      <c r="CU107" s="1">
        <v>2.34</v>
      </c>
      <c r="CV107" s="1">
        <f t="shared" si="58"/>
        <v>2.6859999999999999</v>
      </c>
      <c r="CW107" s="1">
        <v>34.799999999999997</v>
      </c>
      <c r="CX107" s="1">
        <v>12</v>
      </c>
      <c r="CY107" s="1">
        <v>0.77</v>
      </c>
      <c r="CZ107" s="1">
        <f t="shared" si="59"/>
        <v>1.711111111111111</v>
      </c>
      <c r="DA107" s="1">
        <f t="shared" si="62"/>
        <v>0.88</v>
      </c>
      <c r="DB107" s="1">
        <f t="shared" si="63"/>
        <v>1.7407835581245985</v>
      </c>
    </row>
    <row r="108" spans="1:106" ht="16" thickBot="1" x14ac:dyDescent="0.4">
      <c r="A108" s="1">
        <v>224</v>
      </c>
      <c r="B108" s="7" t="s">
        <v>231</v>
      </c>
      <c r="C108" s="10" t="s">
        <v>52</v>
      </c>
      <c r="D108" s="10" t="s">
        <v>122</v>
      </c>
      <c r="E108" s="3">
        <v>45300</v>
      </c>
      <c r="F108" s="3">
        <f t="shared" si="45"/>
        <v>45274</v>
      </c>
      <c r="G108" s="1">
        <f t="shared" si="43"/>
        <v>26</v>
      </c>
      <c r="H108" s="1">
        <f t="shared" si="60"/>
        <v>124</v>
      </c>
      <c r="I108" s="1">
        <v>3</v>
      </c>
      <c r="J108" s="3">
        <v>45398</v>
      </c>
      <c r="K108" s="3">
        <v>45402</v>
      </c>
      <c r="L108" s="15">
        <f t="shared" si="44"/>
        <v>128</v>
      </c>
      <c r="M108" s="13">
        <f t="shared" si="61"/>
        <v>145</v>
      </c>
      <c r="N108" s="3">
        <v>45419</v>
      </c>
      <c r="O108" s="1">
        <v>40</v>
      </c>
      <c r="P108" s="1">
        <v>41</v>
      </c>
      <c r="Q108" s="1">
        <v>35</v>
      </c>
      <c r="R108" s="1">
        <v>24</v>
      </c>
      <c r="S108" s="1">
        <v>34</v>
      </c>
      <c r="T108" s="1">
        <f t="shared" si="46"/>
        <v>34.799999999999997</v>
      </c>
      <c r="U108" s="1">
        <v>6</v>
      </c>
      <c r="V108" s="1">
        <v>4</v>
      </c>
      <c r="W108" s="1">
        <v>4</v>
      </c>
      <c r="X108" s="1">
        <v>7</v>
      </c>
      <c r="Y108" s="1">
        <v>10</v>
      </c>
      <c r="Z108" s="1">
        <f t="shared" si="47"/>
        <v>6.2</v>
      </c>
      <c r="AA108" s="1">
        <v>6</v>
      </c>
      <c r="AB108" s="1">
        <v>6</v>
      </c>
      <c r="AC108" s="1">
        <v>6</v>
      </c>
      <c r="AD108" s="1">
        <v>7</v>
      </c>
      <c r="AE108" s="1">
        <v>6</v>
      </c>
      <c r="AF108" s="1">
        <f t="shared" si="48"/>
        <v>6.2</v>
      </c>
      <c r="AG108" s="1">
        <v>0.5</v>
      </c>
      <c r="AH108" s="1">
        <v>0.8</v>
      </c>
      <c r="AI108" s="1">
        <v>1</v>
      </c>
      <c r="AJ108" s="1">
        <v>0.5</v>
      </c>
      <c r="AK108" s="1">
        <v>0.5</v>
      </c>
      <c r="AL108" s="1">
        <f t="shared" si="49"/>
        <v>0.65999999999999992</v>
      </c>
      <c r="AM108" s="1">
        <v>3</v>
      </c>
      <c r="AN108" s="1">
        <v>15.5</v>
      </c>
      <c r="AO108" s="1">
        <v>18</v>
      </c>
      <c r="AP108" s="1">
        <v>17.5</v>
      </c>
      <c r="AQ108" s="1">
        <v>11.6</v>
      </c>
      <c r="AR108" s="1">
        <v>11.5</v>
      </c>
      <c r="AS108" s="1">
        <f t="shared" si="50"/>
        <v>14.819999999999999</v>
      </c>
      <c r="AT108" s="1">
        <v>1.3</v>
      </c>
      <c r="AU108" s="1">
        <v>1.3</v>
      </c>
      <c r="AV108" s="1">
        <v>1.3</v>
      </c>
      <c r="AW108" s="1">
        <v>1.1000000000000001</v>
      </c>
      <c r="AX108" s="1">
        <v>1.2</v>
      </c>
      <c r="AY108" s="1">
        <f t="shared" si="51"/>
        <v>1.24</v>
      </c>
      <c r="AZ108" s="1">
        <v>3</v>
      </c>
      <c r="BA108" s="1">
        <v>3</v>
      </c>
      <c r="BB108" s="1">
        <v>5</v>
      </c>
      <c r="BC108" s="1">
        <v>10</v>
      </c>
      <c r="BD108" s="1">
        <v>7</v>
      </c>
      <c r="BE108" s="1">
        <v>3</v>
      </c>
      <c r="BF108" s="1">
        <v>15</v>
      </c>
      <c r="BG108" s="1">
        <f t="shared" si="52"/>
        <v>8</v>
      </c>
      <c r="BH108" s="1">
        <v>9</v>
      </c>
      <c r="BI108" s="1">
        <v>9</v>
      </c>
      <c r="BJ108" s="1">
        <v>9</v>
      </c>
      <c r="BK108" s="1">
        <v>8</v>
      </c>
      <c r="BL108" s="1">
        <v>7</v>
      </c>
      <c r="BM108" s="1">
        <v>6</v>
      </c>
      <c r="BN108" s="1">
        <f t="shared" si="53"/>
        <v>7.8</v>
      </c>
      <c r="BO108" s="1">
        <v>1</v>
      </c>
      <c r="BP108" s="1">
        <v>0</v>
      </c>
      <c r="BQ108" s="1">
        <v>2</v>
      </c>
      <c r="BR108" s="1">
        <v>2</v>
      </c>
      <c r="BS108" s="1">
        <v>2</v>
      </c>
      <c r="BT108" s="1">
        <v>3</v>
      </c>
      <c r="BU108" s="1">
        <v>2</v>
      </c>
      <c r="BV108" s="1">
        <f t="shared" si="54"/>
        <v>2.2000000000000002</v>
      </c>
      <c r="BW108" s="1">
        <v>20</v>
      </c>
      <c r="BX108" s="1">
        <v>9</v>
      </c>
      <c r="BY108" s="1">
        <v>15</v>
      </c>
      <c r="BZ108" s="1">
        <v>30</v>
      </c>
      <c r="CA108" s="1">
        <v>10</v>
      </c>
      <c r="CB108" s="1">
        <f t="shared" si="55"/>
        <v>16.8</v>
      </c>
      <c r="CC108" s="1">
        <v>2</v>
      </c>
      <c r="CD108" s="1">
        <v>3</v>
      </c>
      <c r="CE108" s="1">
        <v>6.18</v>
      </c>
      <c r="CF108" s="1">
        <v>6.48</v>
      </c>
      <c r="CG108" s="1">
        <v>6.04</v>
      </c>
      <c r="CH108" s="1">
        <v>6.15</v>
      </c>
      <c r="CI108" s="1">
        <v>6.3</v>
      </c>
      <c r="CJ108" s="1">
        <f t="shared" si="56"/>
        <v>6.23</v>
      </c>
      <c r="CK108" s="1">
        <v>3.06</v>
      </c>
      <c r="CL108" s="1">
        <v>2.57</v>
      </c>
      <c r="CM108" s="1">
        <v>2.14</v>
      </c>
      <c r="CN108" s="1">
        <v>2.14</v>
      </c>
      <c r="CO108" s="1">
        <v>2.06</v>
      </c>
      <c r="CP108" s="1">
        <f t="shared" si="57"/>
        <v>2.3940000000000001</v>
      </c>
      <c r="CQ108" s="1">
        <v>2.52</v>
      </c>
      <c r="CR108" s="1">
        <v>2.73</v>
      </c>
      <c r="CS108" s="1">
        <v>2.3199999999999998</v>
      </c>
      <c r="CT108" s="1">
        <v>1.87</v>
      </c>
      <c r="CU108" s="1">
        <v>2.19</v>
      </c>
      <c r="CV108" s="1">
        <f t="shared" si="58"/>
        <v>2.3260000000000001</v>
      </c>
      <c r="CW108" s="1">
        <v>24.2</v>
      </c>
      <c r="CX108" s="1">
        <v>12.2</v>
      </c>
      <c r="CY108" s="1">
        <v>0.56000000000000005</v>
      </c>
      <c r="CZ108" s="1">
        <f t="shared" si="59"/>
        <v>1.2444444444444445</v>
      </c>
      <c r="DA108" s="1">
        <f t="shared" si="62"/>
        <v>0.878</v>
      </c>
      <c r="DB108" s="1">
        <f t="shared" si="63"/>
        <v>1.2631470777135516</v>
      </c>
    </row>
    <row r="109" spans="1:106" ht="16" thickBot="1" x14ac:dyDescent="0.4">
      <c r="A109" s="1">
        <v>225</v>
      </c>
      <c r="B109" s="64" t="s">
        <v>232</v>
      </c>
      <c r="C109" s="10" t="s">
        <v>52</v>
      </c>
      <c r="D109" s="10" t="s">
        <v>122</v>
      </c>
      <c r="E109" s="3">
        <v>45300</v>
      </c>
      <c r="F109" s="3">
        <f t="shared" si="45"/>
        <v>45274</v>
      </c>
      <c r="G109" s="1">
        <f t="shared" si="43"/>
        <v>26</v>
      </c>
      <c r="H109" s="1">
        <f t="shared" si="60"/>
        <v>118</v>
      </c>
      <c r="I109" s="1">
        <v>3</v>
      </c>
      <c r="J109" s="3">
        <v>45392</v>
      </c>
      <c r="K109" s="3">
        <v>45408</v>
      </c>
      <c r="L109" s="15">
        <f t="shared" si="44"/>
        <v>134</v>
      </c>
      <c r="M109" s="13">
        <f t="shared" si="61"/>
        <v>149</v>
      </c>
      <c r="N109" s="3">
        <v>45423</v>
      </c>
      <c r="O109" s="1">
        <v>45</v>
      </c>
      <c r="P109" s="1">
        <v>42</v>
      </c>
      <c r="Q109" s="1">
        <v>45</v>
      </c>
      <c r="R109" s="1">
        <v>48</v>
      </c>
      <c r="S109" s="1">
        <v>44</v>
      </c>
      <c r="T109" s="1">
        <f t="shared" si="46"/>
        <v>44.8</v>
      </c>
      <c r="U109" s="1">
        <v>3</v>
      </c>
      <c r="V109" s="1">
        <v>2</v>
      </c>
      <c r="W109" s="1">
        <v>3</v>
      </c>
      <c r="X109" s="1">
        <v>3</v>
      </c>
      <c r="Y109" s="1">
        <v>2.5</v>
      </c>
      <c r="Z109" s="1">
        <f t="shared" si="47"/>
        <v>2.7</v>
      </c>
      <c r="AA109" s="1">
        <v>6</v>
      </c>
      <c r="AB109" s="1">
        <v>8</v>
      </c>
      <c r="AC109" s="1">
        <v>7</v>
      </c>
      <c r="AD109" s="1">
        <v>5</v>
      </c>
      <c r="AE109" s="1">
        <v>7</v>
      </c>
      <c r="AF109" s="1">
        <f t="shared" si="48"/>
        <v>6.6</v>
      </c>
      <c r="AG109" s="1">
        <v>1</v>
      </c>
      <c r="AH109" s="1">
        <v>2</v>
      </c>
      <c r="AI109" s="1">
        <v>2</v>
      </c>
      <c r="AJ109" s="1">
        <v>0.9</v>
      </c>
      <c r="AK109" s="1">
        <v>1.2</v>
      </c>
      <c r="AL109" s="1">
        <f t="shared" si="49"/>
        <v>1.4200000000000002</v>
      </c>
      <c r="AM109" s="1">
        <v>3</v>
      </c>
      <c r="AN109" s="1">
        <v>10</v>
      </c>
      <c r="AO109" s="1">
        <v>9.5</v>
      </c>
      <c r="AP109" s="1">
        <v>9.8000000000000007</v>
      </c>
      <c r="AQ109" s="1">
        <v>17</v>
      </c>
      <c r="AR109" s="1">
        <v>12</v>
      </c>
      <c r="AS109" s="1">
        <f t="shared" si="50"/>
        <v>11.66</v>
      </c>
      <c r="AT109" s="1">
        <v>1.3</v>
      </c>
      <c r="AU109" s="1">
        <v>1.2</v>
      </c>
      <c r="AV109" s="1">
        <v>1.3</v>
      </c>
      <c r="AW109" s="1">
        <v>1.4</v>
      </c>
      <c r="AX109" s="1">
        <v>1.5</v>
      </c>
      <c r="AY109" s="1">
        <f t="shared" si="51"/>
        <v>1.3399999999999999</v>
      </c>
      <c r="AZ109" s="1">
        <v>7</v>
      </c>
      <c r="BA109" s="1">
        <v>5</v>
      </c>
      <c r="BB109" s="1">
        <v>7</v>
      </c>
      <c r="BC109" s="1">
        <v>4</v>
      </c>
      <c r="BD109" s="1">
        <v>6</v>
      </c>
      <c r="BE109" s="1">
        <v>6</v>
      </c>
      <c r="BF109" s="1">
        <v>6</v>
      </c>
      <c r="BG109" s="1">
        <f t="shared" si="52"/>
        <v>5.8</v>
      </c>
      <c r="BH109" s="1">
        <v>9</v>
      </c>
      <c r="BI109" s="1">
        <v>8</v>
      </c>
      <c r="BJ109" s="1">
        <v>8</v>
      </c>
      <c r="BK109" s="1">
        <v>9</v>
      </c>
      <c r="BL109" s="1">
        <v>9</v>
      </c>
      <c r="BM109" s="1">
        <v>10</v>
      </c>
      <c r="BN109" s="1">
        <f t="shared" si="53"/>
        <v>8.8000000000000007</v>
      </c>
      <c r="BO109" s="1">
        <v>2</v>
      </c>
      <c r="BP109" s="1">
        <v>7</v>
      </c>
      <c r="BQ109" s="1">
        <v>3</v>
      </c>
      <c r="BR109" s="1">
        <v>3</v>
      </c>
      <c r="BS109" s="1">
        <v>3</v>
      </c>
      <c r="BT109" s="1">
        <v>3</v>
      </c>
      <c r="BU109" s="1">
        <v>3</v>
      </c>
      <c r="BV109" s="1">
        <f t="shared" si="54"/>
        <v>3</v>
      </c>
      <c r="BW109" s="1">
        <v>51</v>
      </c>
      <c r="BX109" s="1">
        <v>37</v>
      </c>
      <c r="BY109" s="1">
        <v>31</v>
      </c>
      <c r="BZ109" s="1">
        <v>30</v>
      </c>
      <c r="CA109" s="1">
        <v>31</v>
      </c>
      <c r="CB109" s="1">
        <f t="shared" si="55"/>
        <v>36</v>
      </c>
      <c r="CC109" s="1">
        <v>2</v>
      </c>
      <c r="CD109" s="1">
        <v>5</v>
      </c>
      <c r="CE109" s="1">
        <v>6.1</v>
      </c>
      <c r="CF109" s="1">
        <v>6.45</v>
      </c>
      <c r="CG109" s="1">
        <v>6.1</v>
      </c>
      <c r="CH109" s="1">
        <v>6.44</v>
      </c>
      <c r="CI109" s="1">
        <v>6.54</v>
      </c>
      <c r="CJ109" s="1">
        <f t="shared" si="56"/>
        <v>6.3259999999999996</v>
      </c>
      <c r="CK109" s="1">
        <v>3.13</v>
      </c>
      <c r="CL109" s="1">
        <v>3.31</v>
      </c>
      <c r="CM109" s="1">
        <v>3.18</v>
      </c>
      <c r="CN109" s="1">
        <v>2.91</v>
      </c>
      <c r="CO109" s="1">
        <v>2.82</v>
      </c>
      <c r="CP109" s="1">
        <f t="shared" si="57"/>
        <v>3.07</v>
      </c>
      <c r="CQ109" s="1">
        <v>2.96</v>
      </c>
      <c r="CR109" s="1">
        <v>2.87</v>
      </c>
      <c r="CS109" s="1">
        <v>2.8</v>
      </c>
      <c r="CT109" s="1">
        <v>2.76</v>
      </c>
      <c r="CU109" s="1">
        <v>3.35</v>
      </c>
      <c r="CV109" s="1">
        <f t="shared" si="58"/>
        <v>2.9479999999999995</v>
      </c>
      <c r="CW109" s="1">
        <v>38.4</v>
      </c>
      <c r="CX109" s="1">
        <v>9.6999999999999993</v>
      </c>
      <c r="CY109" s="1">
        <v>0.255</v>
      </c>
      <c r="CZ109" s="1">
        <f t="shared" si="59"/>
        <v>0.56666666666666665</v>
      </c>
      <c r="DA109" s="1">
        <f t="shared" si="62"/>
        <v>0.90300000000000002</v>
      </c>
      <c r="DB109" s="1">
        <f t="shared" si="63"/>
        <v>0.59156069364161856</v>
      </c>
    </row>
    <row r="110" spans="1:106" ht="16" thickBot="1" x14ac:dyDescent="0.4">
      <c r="A110" s="1">
        <v>226</v>
      </c>
      <c r="B110" s="65"/>
      <c r="C110" s="10" t="s">
        <v>52</v>
      </c>
      <c r="D110" s="10" t="s">
        <v>121</v>
      </c>
      <c r="E110" s="3">
        <v>45301</v>
      </c>
      <c r="F110" s="3">
        <f t="shared" si="45"/>
        <v>45274</v>
      </c>
      <c r="G110" s="1">
        <f t="shared" si="43"/>
        <v>27</v>
      </c>
      <c r="H110" s="1">
        <f t="shared" si="60"/>
        <v>116</v>
      </c>
      <c r="I110" s="1">
        <v>3</v>
      </c>
      <c r="J110" s="3">
        <v>45390</v>
      </c>
      <c r="K110" s="3">
        <v>45394</v>
      </c>
      <c r="L110" s="15">
        <f t="shared" si="44"/>
        <v>120</v>
      </c>
      <c r="M110" s="13">
        <f t="shared" si="61"/>
        <v>149</v>
      </c>
      <c r="N110" s="3">
        <v>45423</v>
      </c>
      <c r="O110" s="1">
        <v>40.5</v>
      </c>
      <c r="P110" s="1">
        <v>65</v>
      </c>
      <c r="Q110" s="1">
        <v>48</v>
      </c>
      <c r="R110" s="1">
        <v>41</v>
      </c>
      <c r="S110" s="1">
        <v>54</v>
      </c>
      <c r="T110" s="1">
        <f t="shared" si="46"/>
        <v>49.7</v>
      </c>
      <c r="U110" s="1">
        <v>2</v>
      </c>
      <c r="V110" s="1">
        <v>3</v>
      </c>
      <c r="W110" s="1">
        <v>10</v>
      </c>
      <c r="X110" s="1">
        <v>9</v>
      </c>
      <c r="Y110" s="1">
        <v>4</v>
      </c>
      <c r="Z110" s="1">
        <f t="shared" si="47"/>
        <v>5.6</v>
      </c>
      <c r="AA110" s="1">
        <v>7</v>
      </c>
      <c r="AB110" s="1">
        <v>7</v>
      </c>
      <c r="AC110" s="1">
        <v>4</v>
      </c>
      <c r="AD110" s="1">
        <v>5</v>
      </c>
      <c r="AE110" s="1">
        <v>6</v>
      </c>
      <c r="AF110" s="1">
        <f t="shared" si="48"/>
        <v>5.8</v>
      </c>
      <c r="AG110" s="1">
        <v>3</v>
      </c>
      <c r="AH110" s="1">
        <v>4</v>
      </c>
      <c r="AI110" s="1">
        <v>0.3</v>
      </c>
      <c r="AJ110" s="1">
        <v>3.5</v>
      </c>
      <c r="AK110" s="1">
        <v>3</v>
      </c>
      <c r="AL110" s="1">
        <f t="shared" si="49"/>
        <v>2.7600000000000002</v>
      </c>
      <c r="AM110" s="1">
        <v>3</v>
      </c>
      <c r="AN110" s="1">
        <v>13.8</v>
      </c>
      <c r="AO110" s="1">
        <v>13.5</v>
      </c>
      <c r="AP110" s="1">
        <v>12.5</v>
      </c>
      <c r="AQ110" s="1">
        <v>12.6</v>
      </c>
      <c r="AR110" s="1">
        <v>9.9</v>
      </c>
      <c r="AS110" s="1">
        <f t="shared" si="50"/>
        <v>12.459999999999999</v>
      </c>
      <c r="AT110" s="1">
        <v>1.3</v>
      </c>
      <c r="AU110" s="1">
        <v>1.3</v>
      </c>
      <c r="AV110" s="1">
        <v>1.2</v>
      </c>
      <c r="AW110" s="1">
        <v>1.3</v>
      </c>
      <c r="AX110" s="1">
        <v>1.1000000000000001</v>
      </c>
      <c r="AY110" s="1">
        <f t="shared" si="51"/>
        <v>1.2399999999999998</v>
      </c>
      <c r="AZ110" s="1">
        <v>5</v>
      </c>
      <c r="BA110" s="1">
        <v>7</v>
      </c>
      <c r="BB110" s="1">
        <v>5</v>
      </c>
      <c r="BC110" s="1">
        <v>3</v>
      </c>
      <c r="BD110" s="1">
        <v>9</v>
      </c>
      <c r="BE110" s="1">
        <v>3</v>
      </c>
      <c r="BF110" s="1">
        <v>3</v>
      </c>
      <c r="BG110" s="1">
        <f t="shared" si="52"/>
        <v>4.5999999999999996</v>
      </c>
      <c r="BH110" s="1">
        <v>9</v>
      </c>
      <c r="BI110" s="1">
        <v>10</v>
      </c>
      <c r="BJ110" s="1">
        <v>10</v>
      </c>
      <c r="BK110" s="1">
        <v>10</v>
      </c>
      <c r="BL110" s="1">
        <v>9</v>
      </c>
      <c r="BM110" s="1">
        <v>9</v>
      </c>
      <c r="BN110" s="1">
        <f t="shared" si="53"/>
        <v>9.6</v>
      </c>
      <c r="BO110" s="1">
        <v>1</v>
      </c>
      <c r="BP110" s="1">
        <v>0</v>
      </c>
      <c r="BQ110" s="1">
        <v>3</v>
      </c>
      <c r="BR110" s="1">
        <v>4</v>
      </c>
      <c r="BS110" s="1">
        <v>3</v>
      </c>
      <c r="BT110" s="1">
        <v>4</v>
      </c>
      <c r="BU110" s="1">
        <v>3</v>
      </c>
      <c r="BV110" s="1">
        <f t="shared" si="54"/>
        <v>3.4</v>
      </c>
      <c r="BW110" s="1">
        <v>49</v>
      </c>
      <c r="BX110" s="1">
        <v>62</v>
      </c>
      <c r="BY110" s="1">
        <v>45</v>
      </c>
      <c r="BZ110" s="1">
        <v>41</v>
      </c>
      <c r="CA110" s="1">
        <v>41</v>
      </c>
      <c r="CB110" s="1">
        <f t="shared" si="55"/>
        <v>47.6</v>
      </c>
      <c r="CC110" s="1">
        <v>2</v>
      </c>
      <c r="CD110" s="1">
        <v>5</v>
      </c>
      <c r="CE110" s="1">
        <v>5.82</v>
      </c>
      <c r="CF110" s="1">
        <v>5.84</v>
      </c>
      <c r="CG110" s="1">
        <v>6.07</v>
      </c>
      <c r="CH110" s="1">
        <v>5.57</v>
      </c>
      <c r="CI110" s="1">
        <v>5.04</v>
      </c>
      <c r="CJ110" s="1">
        <f t="shared" si="56"/>
        <v>5.6680000000000001</v>
      </c>
      <c r="CK110" s="1">
        <v>3.17</v>
      </c>
      <c r="CL110" s="1">
        <v>2.99</v>
      </c>
      <c r="CM110" s="1">
        <v>3.04</v>
      </c>
      <c r="CN110" s="1">
        <v>2.48</v>
      </c>
      <c r="CO110" s="1">
        <v>2.88</v>
      </c>
      <c r="CP110" s="1">
        <f t="shared" si="57"/>
        <v>2.9119999999999999</v>
      </c>
      <c r="CQ110" s="1">
        <v>2.73</v>
      </c>
      <c r="CR110" s="1">
        <v>2.4</v>
      </c>
      <c r="CS110" s="1">
        <v>2.66</v>
      </c>
      <c r="CT110" s="1">
        <v>2.29</v>
      </c>
      <c r="CU110" s="1">
        <v>2.58</v>
      </c>
      <c r="CV110" s="1">
        <f t="shared" si="58"/>
        <v>2.532</v>
      </c>
      <c r="CW110" s="1">
        <v>31.1</v>
      </c>
      <c r="CX110" s="1">
        <v>9.9</v>
      </c>
      <c r="CY110" s="1">
        <v>0.31</v>
      </c>
      <c r="CZ110" s="1">
        <f t="shared" si="59"/>
        <v>0.68888888888888888</v>
      </c>
      <c r="DA110" s="1">
        <f t="shared" si="62"/>
        <v>0.90099999999999991</v>
      </c>
      <c r="DB110" s="1">
        <f t="shared" si="63"/>
        <v>0.71755940912010274</v>
      </c>
    </row>
    <row r="111" spans="1:106" ht="16" thickBot="1" x14ac:dyDescent="0.4">
      <c r="A111" s="1">
        <v>227</v>
      </c>
      <c r="B111" s="7" t="s">
        <v>233</v>
      </c>
      <c r="C111" s="10" t="s">
        <v>52</v>
      </c>
      <c r="D111" s="10" t="s">
        <v>121</v>
      </c>
      <c r="E111" s="3">
        <v>45300</v>
      </c>
      <c r="F111" s="3">
        <f t="shared" si="45"/>
        <v>45274</v>
      </c>
      <c r="G111" s="1">
        <f t="shared" si="43"/>
        <v>26</v>
      </c>
      <c r="H111" s="1">
        <f t="shared" si="60"/>
        <v>118</v>
      </c>
      <c r="I111" s="1">
        <v>3</v>
      </c>
      <c r="J111" s="3">
        <v>45392</v>
      </c>
      <c r="K111" s="3">
        <v>45406</v>
      </c>
      <c r="L111" s="15">
        <f t="shared" si="44"/>
        <v>132</v>
      </c>
      <c r="M111" s="13">
        <f t="shared" si="61"/>
        <v>149</v>
      </c>
      <c r="N111" s="3">
        <v>45423</v>
      </c>
      <c r="O111" s="1">
        <v>94</v>
      </c>
      <c r="P111" s="1">
        <v>86</v>
      </c>
      <c r="Q111" s="1">
        <v>98</v>
      </c>
      <c r="R111" s="1">
        <v>91</v>
      </c>
      <c r="S111" s="1">
        <v>100</v>
      </c>
      <c r="T111" s="1">
        <f t="shared" si="46"/>
        <v>93.8</v>
      </c>
      <c r="U111" s="1">
        <v>22</v>
      </c>
      <c r="V111" s="1">
        <v>22</v>
      </c>
      <c r="W111" s="1">
        <v>27</v>
      </c>
      <c r="X111" s="1">
        <v>25.5</v>
      </c>
      <c r="Y111" s="1">
        <v>22</v>
      </c>
      <c r="Z111" s="1">
        <f t="shared" si="47"/>
        <v>23.7</v>
      </c>
      <c r="AA111" s="1">
        <v>8.5</v>
      </c>
      <c r="AB111" s="1">
        <v>8</v>
      </c>
      <c r="AC111" s="1">
        <v>9.5</v>
      </c>
      <c r="AD111" s="1">
        <v>8</v>
      </c>
      <c r="AE111" s="1">
        <v>8</v>
      </c>
      <c r="AF111" s="1">
        <f t="shared" si="48"/>
        <v>8.4</v>
      </c>
      <c r="AG111" s="1">
        <v>2.7</v>
      </c>
      <c r="AH111" s="1">
        <v>2.5</v>
      </c>
      <c r="AI111" s="1">
        <v>4</v>
      </c>
      <c r="AJ111" s="1">
        <v>2</v>
      </c>
      <c r="AK111" s="1">
        <v>4</v>
      </c>
      <c r="AL111" s="1">
        <f t="shared" si="49"/>
        <v>3.04</v>
      </c>
      <c r="AM111" s="1">
        <v>3</v>
      </c>
      <c r="AN111" s="1">
        <v>19.5</v>
      </c>
      <c r="AO111" s="1">
        <v>23</v>
      </c>
      <c r="AP111" s="1">
        <v>16.5</v>
      </c>
      <c r="AQ111" s="1">
        <v>24</v>
      </c>
      <c r="AR111" s="1">
        <v>17</v>
      </c>
      <c r="AS111" s="1">
        <f t="shared" si="50"/>
        <v>20</v>
      </c>
      <c r="AT111" s="1">
        <v>1.1000000000000001</v>
      </c>
      <c r="AU111" s="1">
        <v>1.5</v>
      </c>
      <c r="AV111" s="1">
        <v>1</v>
      </c>
      <c r="AW111" s="1">
        <v>1.5</v>
      </c>
      <c r="AX111" s="1">
        <v>1.2</v>
      </c>
      <c r="AY111" s="1">
        <f t="shared" si="51"/>
        <v>1.26</v>
      </c>
      <c r="AZ111" s="1">
        <v>5</v>
      </c>
      <c r="BA111" s="1">
        <v>3</v>
      </c>
      <c r="BB111" s="1">
        <v>4</v>
      </c>
      <c r="BC111" s="1">
        <v>14</v>
      </c>
      <c r="BD111" s="1">
        <v>9</v>
      </c>
      <c r="BE111" s="1">
        <v>8</v>
      </c>
      <c r="BF111" s="1">
        <v>3</v>
      </c>
      <c r="BG111" s="1">
        <f t="shared" si="52"/>
        <v>7.6</v>
      </c>
      <c r="BH111" s="1">
        <v>5</v>
      </c>
      <c r="BI111" s="1">
        <v>7</v>
      </c>
      <c r="BJ111" s="1">
        <v>7</v>
      </c>
      <c r="BK111" s="1">
        <v>8</v>
      </c>
      <c r="BL111" s="1">
        <v>8</v>
      </c>
      <c r="BM111" s="1">
        <v>9</v>
      </c>
      <c r="BN111" s="1">
        <f t="shared" si="53"/>
        <v>7.8</v>
      </c>
      <c r="BO111" s="1">
        <v>1</v>
      </c>
      <c r="BP111" s="1">
        <v>0</v>
      </c>
      <c r="BQ111" s="1">
        <v>2</v>
      </c>
      <c r="BR111" s="1">
        <v>3</v>
      </c>
      <c r="BS111" s="1">
        <v>3</v>
      </c>
      <c r="BT111" s="1">
        <v>3</v>
      </c>
      <c r="BU111" s="1">
        <v>3</v>
      </c>
      <c r="BV111" s="1">
        <f t="shared" si="54"/>
        <v>2.8</v>
      </c>
      <c r="BW111" s="1">
        <v>22</v>
      </c>
      <c r="BX111" s="1">
        <v>25</v>
      </c>
      <c r="BY111" s="1">
        <v>30</v>
      </c>
      <c r="BZ111" s="1">
        <v>30</v>
      </c>
      <c r="CA111" s="1">
        <v>25</v>
      </c>
      <c r="CB111" s="1">
        <f t="shared" si="55"/>
        <v>26.4</v>
      </c>
      <c r="CC111" s="1">
        <v>2</v>
      </c>
      <c r="CD111" s="1">
        <v>5</v>
      </c>
      <c r="CE111" s="1">
        <v>6.51</v>
      </c>
      <c r="CF111" s="1">
        <v>5.27</v>
      </c>
      <c r="CG111" s="1">
        <v>6.15</v>
      </c>
      <c r="CH111" s="1">
        <v>5.44</v>
      </c>
      <c r="CI111" s="1">
        <v>5.12</v>
      </c>
      <c r="CJ111" s="1">
        <f t="shared" si="56"/>
        <v>5.6980000000000004</v>
      </c>
      <c r="CK111" s="1">
        <v>3.38</v>
      </c>
      <c r="CL111" s="1">
        <v>3.52</v>
      </c>
      <c r="CM111" s="1">
        <v>3.05</v>
      </c>
      <c r="CN111" s="1">
        <v>3.29</v>
      </c>
      <c r="CO111" s="1">
        <v>3.19</v>
      </c>
      <c r="CP111" s="1">
        <f t="shared" si="57"/>
        <v>3.286</v>
      </c>
      <c r="CQ111" s="1">
        <v>2.68</v>
      </c>
      <c r="CR111" s="1">
        <v>2.84</v>
      </c>
      <c r="CS111" s="1">
        <v>2.0499999999999998</v>
      </c>
      <c r="CT111" s="1">
        <v>2.74</v>
      </c>
      <c r="CU111" s="1">
        <v>2.56</v>
      </c>
      <c r="CV111" s="1">
        <f t="shared" si="58"/>
        <v>2.5739999999999998</v>
      </c>
      <c r="CW111" s="1">
        <v>30.7</v>
      </c>
      <c r="CX111" s="1">
        <v>9.1999999999999993</v>
      </c>
      <c r="CY111" s="1">
        <v>0.4</v>
      </c>
      <c r="CZ111" s="1">
        <f t="shared" si="59"/>
        <v>0.88888888888888895</v>
      </c>
      <c r="DA111" s="1">
        <f t="shared" si="62"/>
        <v>0.90799999999999992</v>
      </c>
      <c r="DB111" s="1">
        <f t="shared" si="63"/>
        <v>0.93307642903018628</v>
      </c>
    </row>
    <row r="112" spans="1:106" ht="16" thickBot="1" x14ac:dyDescent="0.4">
      <c r="A112" s="1">
        <v>228</v>
      </c>
      <c r="B112" s="7" t="s">
        <v>234</v>
      </c>
      <c r="C112" s="10" t="s">
        <v>52</v>
      </c>
      <c r="D112" s="10" t="s">
        <v>121</v>
      </c>
      <c r="E112" s="3">
        <v>45300</v>
      </c>
      <c r="F112" s="3">
        <f t="shared" si="45"/>
        <v>45274</v>
      </c>
      <c r="G112" s="1">
        <f t="shared" si="43"/>
        <v>26</v>
      </c>
      <c r="H112" s="1">
        <f t="shared" si="60"/>
        <v>124</v>
      </c>
      <c r="I112" s="1">
        <v>3</v>
      </c>
      <c r="J112" s="3">
        <v>45398</v>
      </c>
      <c r="K112" s="3">
        <v>45404</v>
      </c>
      <c r="L112" s="15">
        <f t="shared" si="44"/>
        <v>130</v>
      </c>
      <c r="M112" s="13">
        <f t="shared" si="61"/>
        <v>163</v>
      </c>
      <c r="N112" s="3">
        <v>45437</v>
      </c>
      <c r="O112" s="1">
        <v>69</v>
      </c>
      <c r="P112" s="1">
        <v>63</v>
      </c>
      <c r="Q112" s="1">
        <v>75</v>
      </c>
      <c r="R112" s="1">
        <v>64</v>
      </c>
      <c r="S112" s="1">
        <v>62</v>
      </c>
      <c r="T112" s="1">
        <f t="shared" si="46"/>
        <v>66.599999999999994</v>
      </c>
      <c r="U112" s="1">
        <v>6</v>
      </c>
      <c r="V112" s="1">
        <v>3</v>
      </c>
      <c r="W112" s="1">
        <v>5</v>
      </c>
      <c r="X112" s="1">
        <v>6.5</v>
      </c>
      <c r="Y112" s="1">
        <v>6</v>
      </c>
      <c r="Z112" s="1">
        <f t="shared" si="47"/>
        <v>5.3</v>
      </c>
      <c r="AA112" s="1">
        <v>8</v>
      </c>
      <c r="AB112" s="1">
        <v>6</v>
      </c>
      <c r="AC112" s="1">
        <v>8</v>
      </c>
      <c r="AD112" s="1">
        <v>8</v>
      </c>
      <c r="AE112" s="1">
        <v>7.5</v>
      </c>
      <c r="AF112" s="1">
        <f t="shared" si="48"/>
        <v>7.5</v>
      </c>
      <c r="AG112" s="1">
        <v>7</v>
      </c>
      <c r="AH112" s="1">
        <v>7</v>
      </c>
      <c r="AI112" s="1">
        <v>7</v>
      </c>
      <c r="AJ112" s="1">
        <v>5.4</v>
      </c>
      <c r="AK112" s="1">
        <v>8</v>
      </c>
      <c r="AL112" s="1">
        <f t="shared" si="49"/>
        <v>6.88</v>
      </c>
      <c r="AM112" s="1">
        <v>7</v>
      </c>
      <c r="AN112" s="1">
        <v>17.3</v>
      </c>
      <c r="AO112" s="1">
        <v>17.5</v>
      </c>
      <c r="AP112" s="1">
        <v>17.5</v>
      </c>
      <c r="AQ112" s="1">
        <v>15.5</v>
      </c>
      <c r="AR112" s="1">
        <v>16</v>
      </c>
      <c r="AS112" s="1">
        <f t="shared" si="50"/>
        <v>16.759999999999998</v>
      </c>
      <c r="AT112" s="1">
        <v>1.4</v>
      </c>
      <c r="AU112" s="1">
        <v>1.5</v>
      </c>
      <c r="AV112" s="1">
        <v>1.3</v>
      </c>
      <c r="AW112" s="1">
        <v>1.3</v>
      </c>
      <c r="AX112" s="1">
        <v>1</v>
      </c>
      <c r="AY112" s="1">
        <f t="shared" si="51"/>
        <v>1.3</v>
      </c>
      <c r="AZ112" s="1">
        <v>7</v>
      </c>
      <c r="BA112" s="1">
        <v>3</v>
      </c>
      <c r="BB112" s="1">
        <v>4</v>
      </c>
      <c r="BC112" s="1">
        <v>4</v>
      </c>
      <c r="BD112" s="1">
        <v>8</v>
      </c>
      <c r="BE112" s="1">
        <v>6</v>
      </c>
      <c r="BF112" s="1">
        <v>6</v>
      </c>
      <c r="BG112" s="1">
        <f t="shared" si="52"/>
        <v>5.6</v>
      </c>
      <c r="BH112" s="1">
        <v>9</v>
      </c>
      <c r="BI112" s="1">
        <v>9</v>
      </c>
      <c r="BJ112" s="1">
        <v>9</v>
      </c>
      <c r="BK112" s="1">
        <v>8</v>
      </c>
      <c r="BL112" s="1">
        <v>7</v>
      </c>
      <c r="BM112" s="1">
        <v>7</v>
      </c>
      <c r="BN112" s="1">
        <f t="shared" si="53"/>
        <v>8</v>
      </c>
      <c r="BO112" s="1">
        <v>2</v>
      </c>
      <c r="BP112" s="1">
        <v>0</v>
      </c>
      <c r="BQ112" s="1">
        <v>3</v>
      </c>
      <c r="BR112" s="1">
        <v>3</v>
      </c>
      <c r="BS112" s="1">
        <v>3</v>
      </c>
      <c r="BT112" s="1">
        <v>3</v>
      </c>
      <c r="BU112" s="1">
        <v>3</v>
      </c>
      <c r="BV112" s="1">
        <f t="shared" si="54"/>
        <v>3</v>
      </c>
      <c r="BW112" s="1">
        <v>54</v>
      </c>
      <c r="BX112" s="1">
        <v>40</v>
      </c>
      <c r="BY112" s="1">
        <v>48</v>
      </c>
      <c r="BZ112" s="1">
        <v>42</v>
      </c>
      <c r="CA112" s="1">
        <v>25</v>
      </c>
      <c r="CB112" s="1">
        <f t="shared" si="55"/>
        <v>41.8</v>
      </c>
      <c r="CC112" s="1">
        <v>2</v>
      </c>
      <c r="CD112" s="1">
        <v>7</v>
      </c>
      <c r="CE112" s="1">
        <v>6.49</v>
      </c>
      <c r="CF112" s="1">
        <v>6.67</v>
      </c>
      <c r="CG112" s="1">
        <v>6.39</v>
      </c>
      <c r="CH112" s="1">
        <v>6.38</v>
      </c>
      <c r="CI112" s="1">
        <v>5.22</v>
      </c>
      <c r="CJ112" s="1">
        <f t="shared" si="56"/>
        <v>6.2299999999999995</v>
      </c>
      <c r="CK112" s="1">
        <v>3.27</v>
      </c>
      <c r="CL112" s="1">
        <v>3.35</v>
      </c>
      <c r="CM112" s="1">
        <v>2.78</v>
      </c>
      <c r="CN112" s="1">
        <v>3.38</v>
      </c>
      <c r="CO112" s="1">
        <v>2.6</v>
      </c>
      <c r="CP112" s="1">
        <f t="shared" si="57"/>
        <v>3.0760000000000001</v>
      </c>
      <c r="CQ112" s="1">
        <v>3.17</v>
      </c>
      <c r="CR112" s="1">
        <v>2.85</v>
      </c>
      <c r="CS112" s="1">
        <v>2.9</v>
      </c>
      <c r="CT112" s="1">
        <v>3.08</v>
      </c>
      <c r="CU112" s="1">
        <v>2.2999999999999998</v>
      </c>
      <c r="CV112" s="1">
        <f t="shared" si="58"/>
        <v>2.8600000000000003</v>
      </c>
      <c r="CW112" s="1">
        <v>43.2</v>
      </c>
      <c r="CX112" s="1">
        <v>9.5</v>
      </c>
      <c r="CY112" s="1">
        <v>0.58499999999999996</v>
      </c>
      <c r="CZ112" s="1">
        <f t="shared" si="59"/>
        <v>1.3</v>
      </c>
      <c r="DA112" s="1">
        <f t="shared" si="62"/>
        <v>0.90500000000000003</v>
      </c>
      <c r="DB112" s="1">
        <f t="shared" si="63"/>
        <v>1.3601156069364164</v>
      </c>
    </row>
    <row r="113" spans="1:106" ht="16" thickBot="1" x14ac:dyDescent="0.4">
      <c r="A113" s="1">
        <v>229</v>
      </c>
      <c r="B113" s="7" t="s">
        <v>235</v>
      </c>
      <c r="C113" s="10" t="s">
        <v>52</v>
      </c>
      <c r="D113" s="10" t="s">
        <v>123</v>
      </c>
      <c r="E113" s="3">
        <v>45300</v>
      </c>
      <c r="F113" s="3">
        <f t="shared" si="45"/>
        <v>45274</v>
      </c>
      <c r="G113" s="1">
        <f t="shared" si="43"/>
        <v>26</v>
      </c>
      <c r="H113" s="1">
        <f t="shared" si="60"/>
        <v>118</v>
      </c>
      <c r="I113" s="1">
        <v>3</v>
      </c>
      <c r="J113" s="3">
        <v>45392</v>
      </c>
      <c r="K113" s="3">
        <v>45398</v>
      </c>
      <c r="L113" s="15">
        <f t="shared" si="44"/>
        <v>124</v>
      </c>
      <c r="M113" s="13">
        <f t="shared" si="61"/>
        <v>163</v>
      </c>
      <c r="N113" s="3">
        <v>45437</v>
      </c>
      <c r="O113" s="1">
        <v>86</v>
      </c>
      <c r="P113" s="1">
        <v>84</v>
      </c>
      <c r="Q113" s="1">
        <v>78</v>
      </c>
      <c r="R113" s="1">
        <v>85</v>
      </c>
      <c r="S113" s="1">
        <v>88</v>
      </c>
      <c r="T113" s="1">
        <f t="shared" si="46"/>
        <v>84.2</v>
      </c>
      <c r="U113" s="1">
        <v>7</v>
      </c>
      <c r="V113" s="1">
        <v>5.5</v>
      </c>
      <c r="W113" s="1">
        <v>4</v>
      </c>
      <c r="X113" s="1">
        <v>8.4</v>
      </c>
      <c r="Y113" s="1">
        <v>5.9</v>
      </c>
      <c r="Z113" s="1">
        <f t="shared" si="47"/>
        <v>6.1599999999999993</v>
      </c>
      <c r="AA113" s="1">
        <v>10.8</v>
      </c>
      <c r="AB113" s="1">
        <v>11</v>
      </c>
      <c r="AC113" s="1">
        <v>13</v>
      </c>
      <c r="AD113" s="1">
        <v>8</v>
      </c>
      <c r="AE113" s="1">
        <v>6</v>
      </c>
      <c r="AF113" s="1">
        <f t="shared" si="48"/>
        <v>9.76</v>
      </c>
      <c r="AL113" s="1" t="s">
        <v>43</v>
      </c>
      <c r="AM113" s="1">
        <v>0</v>
      </c>
      <c r="AN113" s="1">
        <v>13.5</v>
      </c>
      <c r="AO113" s="1">
        <v>16</v>
      </c>
      <c r="AP113" s="1">
        <v>13.5</v>
      </c>
      <c r="AQ113" s="1">
        <v>11.4</v>
      </c>
      <c r="AR113" s="1">
        <v>13.6</v>
      </c>
      <c r="AS113" s="1">
        <f t="shared" si="50"/>
        <v>13.6</v>
      </c>
      <c r="AT113" s="1">
        <v>1.3</v>
      </c>
      <c r="AU113" s="1">
        <v>1.1000000000000001</v>
      </c>
      <c r="AV113" s="1">
        <v>1.2</v>
      </c>
      <c r="AW113" s="1">
        <v>1</v>
      </c>
      <c r="AX113" s="1">
        <v>1.3</v>
      </c>
      <c r="AY113" s="1">
        <f t="shared" si="51"/>
        <v>1.1800000000000002</v>
      </c>
      <c r="AZ113" s="1">
        <v>7</v>
      </c>
      <c r="BA113" s="1">
        <v>3</v>
      </c>
      <c r="BB113" s="1">
        <v>13</v>
      </c>
      <c r="BC113" s="1">
        <v>2</v>
      </c>
      <c r="BD113" s="1">
        <v>8</v>
      </c>
      <c r="BE113" s="1">
        <v>7</v>
      </c>
      <c r="BF113" s="1">
        <v>5</v>
      </c>
      <c r="BG113" s="1">
        <f t="shared" si="52"/>
        <v>7</v>
      </c>
      <c r="BH113" s="1">
        <v>9</v>
      </c>
      <c r="BI113" s="1">
        <v>6</v>
      </c>
      <c r="BJ113" s="1">
        <v>6</v>
      </c>
      <c r="BK113" s="1">
        <v>7</v>
      </c>
      <c r="BL113" s="1">
        <v>7</v>
      </c>
      <c r="BM113" s="1">
        <v>9</v>
      </c>
      <c r="BN113" s="1">
        <f t="shared" si="53"/>
        <v>7</v>
      </c>
      <c r="BO113" s="1">
        <v>1</v>
      </c>
      <c r="BP113" s="1">
        <v>0</v>
      </c>
      <c r="BQ113" s="1">
        <v>3</v>
      </c>
      <c r="BR113" s="1">
        <v>3</v>
      </c>
      <c r="BS113" s="1">
        <v>3</v>
      </c>
      <c r="BT113" s="1">
        <v>3</v>
      </c>
      <c r="BU113" s="1">
        <v>3</v>
      </c>
      <c r="BV113" s="1">
        <f t="shared" si="54"/>
        <v>3</v>
      </c>
      <c r="BW113" s="1">
        <v>57</v>
      </c>
      <c r="BX113" s="1">
        <v>38</v>
      </c>
      <c r="BY113" s="1">
        <v>26</v>
      </c>
      <c r="BZ113" s="1">
        <v>27</v>
      </c>
      <c r="CA113" s="1">
        <v>34</v>
      </c>
      <c r="CB113" s="1">
        <f t="shared" si="55"/>
        <v>36.4</v>
      </c>
      <c r="CC113" s="1">
        <v>2</v>
      </c>
      <c r="CD113" s="1">
        <v>3</v>
      </c>
      <c r="CE113" s="1">
        <v>5.17</v>
      </c>
      <c r="CF113" s="1">
        <v>5.42</v>
      </c>
      <c r="CG113" s="1">
        <v>6.28</v>
      </c>
      <c r="CH113" s="1">
        <v>4.46</v>
      </c>
      <c r="CI113" s="1">
        <v>5.58</v>
      </c>
      <c r="CJ113" s="1">
        <f t="shared" si="56"/>
        <v>5.3820000000000006</v>
      </c>
      <c r="CK113" s="1">
        <v>2.4700000000000002</v>
      </c>
      <c r="CL113" s="1">
        <v>2.34</v>
      </c>
      <c r="CM113" s="1">
        <v>3.05</v>
      </c>
      <c r="CN113" s="1">
        <v>2.56</v>
      </c>
      <c r="CO113" s="1">
        <v>2.94</v>
      </c>
      <c r="CP113" s="1">
        <f t="shared" si="57"/>
        <v>2.6719999999999997</v>
      </c>
      <c r="CQ113" s="1">
        <v>2.44</v>
      </c>
      <c r="CR113" s="1">
        <v>2.31</v>
      </c>
      <c r="CS113" s="1">
        <v>2.58</v>
      </c>
      <c r="CT113" s="1">
        <v>2.5299999999999998</v>
      </c>
      <c r="CU113" s="1">
        <v>2.41</v>
      </c>
      <c r="CV113" s="1">
        <f t="shared" si="58"/>
        <v>2.4539999999999997</v>
      </c>
      <c r="CW113" s="1">
        <v>24.5</v>
      </c>
      <c r="CX113" s="1">
        <v>9.1</v>
      </c>
      <c r="CY113" s="1">
        <v>0.32500000000000001</v>
      </c>
      <c r="CZ113" s="1">
        <f t="shared" si="59"/>
        <v>0.72222222222222232</v>
      </c>
      <c r="DA113" s="1">
        <f t="shared" si="62"/>
        <v>0.90900000000000003</v>
      </c>
      <c r="DB113" s="1">
        <f t="shared" si="63"/>
        <v>0.75895953757225443</v>
      </c>
    </row>
    <row r="114" spans="1:106" ht="16" thickBot="1" x14ac:dyDescent="0.4">
      <c r="A114" s="1">
        <v>230</v>
      </c>
      <c r="B114" s="7" t="s">
        <v>236</v>
      </c>
      <c r="C114" s="11" t="s">
        <v>77</v>
      </c>
      <c r="D114" s="10" t="s">
        <v>86</v>
      </c>
      <c r="E114" s="3">
        <v>45300</v>
      </c>
      <c r="F114" s="3">
        <f t="shared" si="45"/>
        <v>45274</v>
      </c>
      <c r="G114" s="1">
        <f t="shared" si="43"/>
        <v>26</v>
      </c>
      <c r="H114" s="1">
        <f t="shared" si="60"/>
        <v>109</v>
      </c>
      <c r="I114" s="1">
        <v>3</v>
      </c>
      <c r="J114" s="3">
        <v>45383</v>
      </c>
      <c r="K114" s="3">
        <v>45385</v>
      </c>
      <c r="L114" s="15">
        <f t="shared" si="44"/>
        <v>111</v>
      </c>
      <c r="M114" s="13">
        <f t="shared" si="61"/>
        <v>150</v>
      </c>
      <c r="N114" s="3">
        <v>45424</v>
      </c>
      <c r="O114" s="1">
        <v>108.3</v>
      </c>
      <c r="P114" s="1">
        <v>91</v>
      </c>
      <c r="Q114" s="1">
        <v>106.5</v>
      </c>
      <c r="R114" s="1">
        <v>106.5</v>
      </c>
      <c r="S114" s="1">
        <v>106.5</v>
      </c>
      <c r="T114" s="1">
        <f t="shared" si="46"/>
        <v>103.75999999999999</v>
      </c>
      <c r="U114" s="1">
        <v>23</v>
      </c>
      <c r="V114" s="1">
        <v>17.5</v>
      </c>
      <c r="W114" s="1">
        <v>27</v>
      </c>
      <c r="X114" s="1">
        <v>14</v>
      </c>
      <c r="Y114" s="1">
        <v>11.5</v>
      </c>
      <c r="Z114" s="1">
        <f t="shared" si="47"/>
        <v>18.600000000000001</v>
      </c>
      <c r="AA114" s="1">
        <v>12</v>
      </c>
      <c r="AB114" s="1">
        <v>9</v>
      </c>
      <c r="AC114" s="1">
        <v>11</v>
      </c>
      <c r="AD114" s="1">
        <v>9</v>
      </c>
      <c r="AE114" s="1">
        <v>10</v>
      </c>
      <c r="AF114" s="1">
        <f t="shared" si="48"/>
        <v>10.199999999999999</v>
      </c>
      <c r="AG114" s="1">
        <v>1</v>
      </c>
      <c r="AH114" s="1">
        <v>1.5</v>
      </c>
      <c r="AI114" s="1">
        <v>1</v>
      </c>
      <c r="AJ114" s="1">
        <v>1.1000000000000001</v>
      </c>
      <c r="AK114" s="1">
        <v>1</v>
      </c>
      <c r="AL114" s="1">
        <f t="shared" si="49"/>
        <v>1.1199999999999999</v>
      </c>
      <c r="AM114" s="1">
        <v>7</v>
      </c>
      <c r="AN114" s="1">
        <v>19.5</v>
      </c>
      <c r="AO114" s="1">
        <v>12.5</v>
      </c>
      <c r="AP114" s="1">
        <v>17.899999999999999</v>
      </c>
      <c r="AQ114" s="1">
        <v>11.3</v>
      </c>
      <c r="AR114" s="1">
        <v>15.5</v>
      </c>
      <c r="AS114" s="1">
        <f t="shared" si="50"/>
        <v>15.34</v>
      </c>
      <c r="AT114" s="1">
        <v>1.3</v>
      </c>
      <c r="AU114" s="1">
        <v>1</v>
      </c>
      <c r="AV114" s="1">
        <v>1</v>
      </c>
      <c r="AW114" s="1">
        <v>1</v>
      </c>
      <c r="AX114" s="1">
        <v>1.1000000000000001</v>
      </c>
      <c r="AY114" s="1">
        <f t="shared" si="51"/>
        <v>1.08</v>
      </c>
      <c r="AZ114" s="1">
        <v>3</v>
      </c>
      <c r="BA114" s="1">
        <v>3</v>
      </c>
      <c r="BB114" s="1">
        <v>12</v>
      </c>
      <c r="BC114" s="1">
        <v>13</v>
      </c>
      <c r="BD114" s="1">
        <v>5</v>
      </c>
      <c r="BE114" s="1">
        <v>7</v>
      </c>
      <c r="BF114" s="1">
        <v>8</v>
      </c>
      <c r="BG114" s="1">
        <f t="shared" si="52"/>
        <v>9</v>
      </c>
      <c r="BH114" s="1">
        <v>3</v>
      </c>
      <c r="BI114" s="1">
        <v>10</v>
      </c>
      <c r="BJ114" s="1">
        <v>9</v>
      </c>
      <c r="BK114" s="1">
        <v>8</v>
      </c>
      <c r="BL114" s="1">
        <v>9</v>
      </c>
      <c r="BM114" s="1">
        <v>9</v>
      </c>
      <c r="BN114" s="1">
        <f t="shared" si="53"/>
        <v>9</v>
      </c>
      <c r="BO114" s="1">
        <v>1</v>
      </c>
      <c r="BP114" s="1">
        <v>3</v>
      </c>
      <c r="BQ114" s="1">
        <v>3</v>
      </c>
      <c r="BR114" s="1">
        <v>2</v>
      </c>
      <c r="BS114" s="1">
        <v>2</v>
      </c>
      <c r="BT114" s="1">
        <v>3</v>
      </c>
      <c r="BU114" s="1">
        <v>3</v>
      </c>
      <c r="BV114" s="1">
        <f t="shared" si="54"/>
        <v>2.6</v>
      </c>
      <c r="BW114" s="1">
        <v>47</v>
      </c>
      <c r="BX114" s="1">
        <v>29</v>
      </c>
      <c r="BY114" s="1">
        <v>35</v>
      </c>
      <c r="BZ114" s="1">
        <v>42</v>
      </c>
      <c r="CA114" s="1">
        <v>39</v>
      </c>
      <c r="CB114" s="1">
        <f t="shared" si="55"/>
        <v>38.4</v>
      </c>
      <c r="CC114" s="1">
        <v>2</v>
      </c>
      <c r="CD114" s="1">
        <v>5</v>
      </c>
      <c r="CE114" s="1">
        <v>6.38</v>
      </c>
      <c r="CF114" s="1">
        <v>6.26</v>
      </c>
      <c r="CG114" s="1">
        <v>5.79</v>
      </c>
      <c r="CH114" s="1">
        <v>6.79</v>
      </c>
      <c r="CI114" s="1">
        <v>5.84</v>
      </c>
      <c r="CJ114" s="1">
        <f t="shared" si="56"/>
        <v>6.2119999999999997</v>
      </c>
      <c r="CK114" s="1">
        <v>3.59</v>
      </c>
      <c r="CL114" s="1">
        <v>3.71</v>
      </c>
      <c r="CM114" s="1">
        <v>3.56</v>
      </c>
      <c r="CN114" s="1">
        <v>3.44</v>
      </c>
      <c r="CO114" s="1">
        <v>2.71</v>
      </c>
      <c r="CP114" s="1">
        <f t="shared" si="57"/>
        <v>3.4019999999999997</v>
      </c>
      <c r="CQ114" s="1">
        <v>2.79</v>
      </c>
      <c r="CR114" s="1">
        <v>2.74</v>
      </c>
      <c r="CS114" s="1">
        <v>3.09</v>
      </c>
      <c r="CT114" s="1">
        <v>2.72</v>
      </c>
      <c r="CU114" s="1">
        <v>2.2799999999999998</v>
      </c>
      <c r="CV114" s="1">
        <f t="shared" si="58"/>
        <v>2.7240000000000002</v>
      </c>
      <c r="CW114" s="1">
        <v>39.799999999999997</v>
      </c>
      <c r="CX114" s="1">
        <v>11.9</v>
      </c>
      <c r="CY114" s="1">
        <v>0.64</v>
      </c>
      <c r="CZ114" s="1">
        <f t="shared" si="59"/>
        <v>1.4222222222222223</v>
      </c>
      <c r="DA114" s="1">
        <f t="shared" si="62"/>
        <v>0.88099999999999989</v>
      </c>
      <c r="DB114" s="1">
        <f t="shared" si="63"/>
        <v>1.448529222864483</v>
      </c>
    </row>
    <row r="115" spans="1:106" ht="16" thickBot="1" x14ac:dyDescent="0.4">
      <c r="A115" s="1">
        <v>231</v>
      </c>
      <c r="B115" s="7" t="s">
        <v>237</v>
      </c>
      <c r="C115" s="11" t="s">
        <v>78</v>
      </c>
      <c r="D115" s="10" t="s">
        <v>81</v>
      </c>
      <c r="E115" s="3">
        <v>45300</v>
      </c>
      <c r="F115" s="3">
        <f t="shared" si="45"/>
        <v>45274</v>
      </c>
      <c r="G115" s="1">
        <f t="shared" si="43"/>
        <v>26</v>
      </c>
      <c r="H115" s="1">
        <f t="shared" si="60"/>
        <v>122</v>
      </c>
      <c r="I115" s="1">
        <v>5</v>
      </c>
      <c r="J115" s="3">
        <v>45396</v>
      </c>
      <c r="K115" s="3">
        <v>45404</v>
      </c>
      <c r="L115" s="15">
        <f t="shared" si="44"/>
        <v>130</v>
      </c>
      <c r="M115" s="13">
        <f t="shared" si="61"/>
        <v>163</v>
      </c>
      <c r="N115" s="3">
        <v>45437</v>
      </c>
      <c r="O115" s="1">
        <v>101.6</v>
      </c>
      <c r="P115" s="1">
        <v>101.6</v>
      </c>
      <c r="Q115" s="1">
        <v>101.2</v>
      </c>
      <c r="R115" s="1">
        <v>101.1</v>
      </c>
      <c r="S115" s="1">
        <v>101.2</v>
      </c>
      <c r="T115" s="1">
        <f t="shared" si="46"/>
        <v>101.34</v>
      </c>
      <c r="U115" s="1">
        <v>26</v>
      </c>
      <c r="V115" s="1">
        <v>22</v>
      </c>
      <c r="W115" s="1">
        <v>26.5</v>
      </c>
      <c r="X115" s="1">
        <v>25</v>
      </c>
      <c r="Y115" s="1">
        <v>21</v>
      </c>
      <c r="Z115" s="1">
        <f t="shared" si="47"/>
        <v>24.1</v>
      </c>
      <c r="AA115" s="1">
        <v>10.5</v>
      </c>
      <c r="AB115" s="1">
        <v>10.5</v>
      </c>
      <c r="AC115" s="1">
        <v>11.5</v>
      </c>
      <c r="AD115" s="1">
        <v>11</v>
      </c>
      <c r="AE115" s="1">
        <v>9.5</v>
      </c>
      <c r="AF115" s="1">
        <f t="shared" si="48"/>
        <v>10.6</v>
      </c>
      <c r="AG115" s="1">
        <v>3</v>
      </c>
      <c r="AH115" s="1">
        <v>4.5</v>
      </c>
      <c r="AI115" s="1">
        <v>4</v>
      </c>
      <c r="AJ115" s="1">
        <v>3.5</v>
      </c>
      <c r="AK115" s="1">
        <v>3.5</v>
      </c>
      <c r="AL115" s="1">
        <f t="shared" si="49"/>
        <v>3.7</v>
      </c>
      <c r="AM115" s="1">
        <v>7</v>
      </c>
      <c r="AN115" s="1">
        <v>17.5</v>
      </c>
      <c r="AO115" s="1">
        <v>14.5</v>
      </c>
      <c r="AP115" s="1">
        <v>21.5</v>
      </c>
      <c r="AQ115" s="1">
        <v>13.5</v>
      </c>
      <c r="AR115" s="1">
        <v>15</v>
      </c>
      <c r="AS115" s="1">
        <f t="shared" si="50"/>
        <v>16.399999999999999</v>
      </c>
      <c r="AT115" s="1">
        <v>1.2</v>
      </c>
      <c r="AU115" s="1">
        <v>1.1000000000000001</v>
      </c>
      <c r="AV115" s="1">
        <v>1.1000000000000001</v>
      </c>
      <c r="AW115" s="1">
        <v>1</v>
      </c>
      <c r="AX115" s="1">
        <v>1</v>
      </c>
      <c r="AY115" s="1">
        <f t="shared" si="51"/>
        <v>1.08</v>
      </c>
      <c r="AZ115" s="1">
        <v>5</v>
      </c>
      <c r="BA115" s="1">
        <v>3</v>
      </c>
      <c r="BB115" s="1">
        <v>5</v>
      </c>
      <c r="BC115" s="1">
        <v>4</v>
      </c>
      <c r="BD115" s="1">
        <v>3</v>
      </c>
      <c r="BE115" s="1">
        <v>13</v>
      </c>
      <c r="BF115" s="1">
        <v>10</v>
      </c>
      <c r="BG115" s="1">
        <f t="shared" si="52"/>
        <v>7</v>
      </c>
      <c r="BH115" s="1">
        <v>5</v>
      </c>
      <c r="BI115" s="1">
        <v>11</v>
      </c>
      <c r="BJ115" s="1">
        <v>11</v>
      </c>
      <c r="BK115" s="1">
        <v>12</v>
      </c>
      <c r="BL115" s="1">
        <v>11</v>
      </c>
      <c r="BM115" s="1">
        <v>13</v>
      </c>
      <c r="BN115" s="1">
        <f t="shared" si="53"/>
        <v>11.6</v>
      </c>
      <c r="BO115" s="1">
        <v>1</v>
      </c>
      <c r="BP115" s="1">
        <v>0</v>
      </c>
      <c r="BQ115" s="1">
        <v>4</v>
      </c>
      <c r="BR115" s="1">
        <v>4</v>
      </c>
      <c r="BS115" s="1">
        <v>3</v>
      </c>
      <c r="BT115" s="1">
        <v>2</v>
      </c>
      <c r="BU115" s="1">
        <v>3</v>
      </c>
      <c r="BV115" s="1">
        <f t="shared" si="54"/>
        <v>3.2</v>
      </c>
      <c r="BW115" s="1">
        <v>66</v>
      </c>
      <c r="BX115" s="1">
        <v>53</v>
      </c>
      <c r="BY115" s="1">
        <v>86</v>
      </c>
      <c r="BZ115" s="1">
        <v>63</v>
      </c>
      <c r="CA115" s="1">
        <v>61</v>
      </c>
      <c r="CB115" s="1">
        <f t="shared" si="55"/>
        <v>65.8</v>
      </c>
      <c r="CC115" s="1">
        <v>1</v>
      </c>
      <c r="CD115" s="1">
        <v>5</v>
      </c>
      <c r="CE115" s="1">
        <v>6.18</v>
      </c>
      <c r="CF115" s="1">
        <v>6.66</v>
      </c>
      <c r="CG115" s="1">
        <v>5.51</v>
      </c>
      <c r="CH115" s="1">
        <v>5.84</v>
      </c>
      <c r="CI115" s="1">
        <v>6.83</v>
      </c>
      <c r="CJ115" s="1">
        <f t="shared" si="56"/>
        <v>6.2040000000000006</v>
      </c>
      <c r="CK115" s="1">
        <v>3.01</v>
      </c>
      <c r="CL115" s="1">
        <v>3.15</v>
      </c>
      <c r="CM115" s="1">
        <v>3.06</v>
      </c>
      <c r="CN115" s="1">
        <v>2.9</v>
      </c>
      <c r="CO115" s="1">
        <v>2.91</v>
      </c>
      <c r="CP115" s="1">
        <f t="shared" si="57"/>
        <v>3.0060000000000002</v>
      </c>
      <c r="CQ115" s="1">
        <v>2.5299999999999998</v>
      </c>
      <c r="CR115" s="1">
        <v>2.94</v>
      </c>
      <c r="CS115" s="1">
        <v>2.59</v>
      </c>
      <c r="CT115" s="1">
        <v>2.39</v>
      </c>
      <c r="CU115" s="1">
        <v>2.35</v>
      </c>
      <c r="CV115" s="1">
        <f t="shared" si="58"/>
        <v>2.5599999999999996</v>
      </c>
      <c r="CW115" s="1">
        <v>37.01</v>
      </c>
      <c r="CX115" s="1">
        <v>10.3</v>
      </c>
      <c r="CY115" s="1">
        <v>0.45</v>
      </c>
      <c r="CZ115" s="1">
        <f t="shared" si="59"/>
        <v>1</v>
      </c>
      <c r="DA115" s="1">
        <f t="shared" si="62"/>
        <v>0.89700000000000002</v>
      </c>
      <c r="DB115" s="1">
        <f t="shared" si="63"/>
        <v>1.0369942196531792</v>
      </c>
    </row>
    <row r="116" spans="1:106" ht="29.5" thickBot="1" x14ac:dyDescent="0.4">
      <c r="A116" s="1">
        <v>232</v>
      </c>
      <c r="B116" s="7" t="s">
        <v>238</v>
      </c>
      <c r="C116" s="11" t="s">
        <v>79</v>
      </c>
      <c r="D116" s="10" t="s">
        <v>124</v>
      </c>
      <c r="E116" s="3">
        <v>45296</v>
      </c>
      <c r="F116" s="3">
        <f t="shared" si="45"/>
        <v>45274</v>
      </c>
      <c r="G116" s="1">
        <f t="shared" si="43"/>
        <v>22</v>
      </c>
      <c r="H116" s="1">
        <f t="shared" si="60"/>
        <v>106</v>
      </c>
      <c r="I116" s="1">
        <v>3</v>
      </c>
      <c r="J116" s="3">
        <v>45380</v>
      </c>
      <c r="K116" s="3">
        <v>45387</v>
      </c>
      <c r="L116" s="15">
        <f t="shared" si="44"/>
        <v>113</v>
      </c>
      <c r="M116" s="13">
        <f t="shared" si="61"/>
        <v>149</v>
      </c>
      <c r="N116" s="3">
        <v>45423</v>
      </c>
      <c r="O116" s="1">
        <v>75</v>
      </c>
      <c r="P116" s="1">
        <v>71</v>
      </c>
      <c r="Q116" s="1">
        <v>69</v>
      </c>
      <c r="R116" s="1">
        <v>78</v>
      </c>
      <c r="S116" s="1">
        <v>70</v>
      </c>
      <c r="T116" s="1">
        <f t="shared" si="46"/>
        <v>72.599999999999994</v>
      </c>
      <c r="U116" s="1">
        <v>7.5</v>
      </c>
      <c r="V116" s="1">
        <v>10.5</v>
      </c>
      <c r="W116" s="1">
        <v>3</v>
      </c>
      <c r="X116" s="1">
        <v>9</v>
      </c>
      <c r="Y116" s="1">
        <v>8</v>
      </c>
      <c r="Z116" s="1">
        <f t="shared" si="47"/>
        <v>7.6</v>
      </c>
      <c r="AA116" s="1">
        <v>9.5</v>
      </c>
      <c r="AB116" s="1">
        <v>9</v>
      </c>
      <c r="AC116" s="1">
        <v>8</v>
      </c>
      <c r="AD116" s="1">
        <v>8.5</v>
      </c>
      <c r="AE116" s="1">
        <v>9</v>
      </c>
      <c r="AF116" s="1">
        <f t="shared" si="48"/>
        <v>8.8000000000000007</v>
      </c>
      <c r="AG116" s="1">
        <v>6.5</v>
      </c>
      <c r="AH116" s="1">
        <v>7</v>
      </c>
      <c r="AI116" s="1">
        <v>5</v>
      </c>
      <c r="AJ116" s="1">
        <v>6.3</v>
      </c>
      <c r="AK116" s="1">
        <v>6.5</v>
      </c>
      <c r="AL116" s="1">
        <f t="shared" si="49"/>
        <v>6.26</v>
      </c>
      <c r="AM116" s="1">
        <v>7</v>
      </c>
      <c r="AN116" s="1">
        <v>9.1</v>
      </c>
      <c r="AO116" s="1">
        <v>11.5</v>
      </c>
      <c r="AP116" s="1">
        <v>10.6</v>
      </c>
      <c r="AQ116" s="1">
        <v>10.5</v>
      </c>
      <c r="AR116" s="1">
        <v>8.5</v>
      </c>
      <c r="AS116" s="1">
        <f t="shared" si="50"/>
        <v>10.040000000000001</v>
      </c>
      <c r="AT116" s="1">
        <v>1.2</v>
      </c>
      <c r="AU116" s="1">
        <v>1.3</v>
      </c>
      <c r="AV116" s="1">
        <v>1</v>
      </c>
      <c r="AW116" s="1">
        <v>1.1000000000000001</v>
      </c>
      <c r="AX116" s="1">
        <v>0.1</v>
      </c>
      <c r="AY116" s="1">
        <f t="shared" si="51"/>
        <v>0.93999999999999984</v>
      </c>
      <c r="AZ116" s="1">
        <v>5</v>
      </c>
      <c r="BA116" s="1">
        <v>3</v>
      </c>
      <c r="BB116" s="1">
        <v>7</v>
      </c>
      <c r="BC116" s="1">
        <v>4</v>
      </c>
      <c r="BD116" s="1">
        <v>4</v>
      </c>
      <c r="BE116" s="1">
        <v>2</v>
      </c>
      <c r="BF116" s="1">
        <v>2</v>
      </c>
      <c r="BG116" s="1">
        <f t="shared" si="52"/>
        <v>3.8</v>
      </c>
      <c r="BH116" s="1">
        <v>5</v>
      </c>
      <c r="BI116" s="1">
        <v>10</v>
      </c>
      <c r="BJ116" s="1">
        <v>10</v>
      </c>
      <c r="BK116" s="1">
        <v>10</v>
      </c>
      <c r="BL116" s="1">
        <v>9</v>
      </c>
      <c r="BM116" s="1">
        <v>9</v>
      </c>
      <c r="BN116" s="1">
        <f t="shared" si="53"/>
        <v>9.6</v>
      </c>
      <c r="BO116" s="1">
        <v>1</v>
      </c>
      <c r="BP116" s="1">
        <v>0</v>
      </c>
      <c r="BQ116" s="1">
        <v>3</v>
      </c>
      <c r="BR116" s="1">
        <v>3</v>
      </c>
      <c r="BS116" s="1">
        <v>4</v>
      </c>
      <c r="BT116" s="1">
        <v>3</v>
      </c>
      <c r="BU116" s="1">
        <v>3</v>
      </c>
      <c r="BV116" s="1">
        <f t="shared" si="54"/>
        <v>3.2</v>
      </c>
      <c r="BW116" s="1">
        <v>49</v>
      </c>
      <c r="BX116" s="1">
        <v>39</v>
      </c>
      <c r="BY116" s="1">
        <v>42</v>
      </c>
      <c r="BZ116" s="1">
        <v>40</v>
      </c>
      <c r="CA116" s="1">
        <v>47</v>
      </c>
      <c r="CB116" s="1">
        <f t="shared" si="55"/>
        <v>43.4</v>
      </c>
      <c r="CC116" s="1">
        <v>1</v>
      </c>
      <c r="CD116" s="1">
        <v>7</v>
      </c>
      <c r="CE116" s="1">
        <v>6.46</v>
      </c>
      <c r="CF116" s="1">
        <v>5.99</v>
      </c>
      <c r="CG116" s="1">
        <v>5.43</v>
      </c>
      <c r="CH116" s="1">
        <v>6.45</v>
      </c>
      <c r="CI116" s="1">
        <v>6.5</v>
      </c>
      <c r="CJ116" s="1">
        <f t="shared" si="56"/>
        <v>6.1659999999999995</v>
      </c>
      <c r="CK116" s="1">
        <v>3.92</v>
      </c>
      <c r="CL116" s="1">
        <v>3.43</v>
      </c>
      <c r="CM116" s="1">
        <v>3.64</v>
      </c>
      <c r="CN116" s="1">
        <v>3.77</v>
      </c>
      <c r="CO116" s="1">
        <v>3.57</v>
      </c>
      <c r="CP116" s="1">
        <f t="shared" si="57"/>
        <v>3.6659999999999995</v>
      </c>
      <c r="CQ116" s="1">
        <v>2.94</v>
      </c>
      <c r="CR116" s="1">
        <v>2.7</v>
      </c>
      <c r="CS116" s="1">
        <v>3.35</v>
      </c>
      <c r="CT116" s="1">
        <v>3.33</v>
      </c>
      <c r="CU116" s="1">
        <v>2.81</v>
      </c>
      <c r="CV116" s="1">
        <f t="shared" si="58"/>
        <v>3.0260000000000002</v>
      </c>
      <c r="CW116" s="1">
        <v>41.1</v>
      </c>
      <c r="CX116" s="1">
        <v>9.9</v>
      </c>
      <c r="CY116" s="1">
        <v>0.59499999999999997</v>
      </c>
      <c r="CZ116" s="1">
        <f t="shared" si="59"/>
        <v>1.3222222222222222</v>
      </c>
      <c r="DA116" s="1">
        <f t="shared" si="62"/>
        <v>0.90099999999999991</v>
      </c>
      <c r="DB116" s="1">
        <f t="shared" si="63"/>
        <v>1.3772511239563263</v>
      </c>
    </row>
    <row r="117" spans="1:106" ht="29.5" thickBot="1" x14ac:dyDescent="0.4">
      <c r="A117" s="1">
        <v>233</v>
      </c>
      <c r="B117" s="7" t="s">
        <v>239</v>
      </c>
      <c r="C117" s="11" t="s">
        <v>79</v>
      </c>
      <c r="D117" s="10" t="s">
        <v>124</v>
      </c>
      <c r="E117" s="3">
        <v>45300</v>
      </c>
      <c r="F117" s="3">
        <f t="shared" si="45"/>
        <v>45274</v>
      </c>
      <c r="G117" s="1">
        <f t="shared" si="43"/>
        <v>26</v>
      </c>
      <c r="H117" s="1">
        <f t="shared" si="60"/>
        <v>109</v>
      </c>
      <c r="I117" s="1">
        <v>7</v>
      </c>
      <c r="J117" s="3">
        <v>45383</v>
      </c>
      <c r="K117" s="3">
        <v>45387</v>
      </c>
      <c r="L117" s="15">
        <f t="shared" si="44"/>
        <v>113</v>
      </c>
      <c r="M117" s="13">
        <f t="shared" si="61"/>
        <v>163</v>
      </c>
      <c r="N117" s="3">
        <v>45437</v>
      </c>
      <c r="O117" s="1">
        <v>79</v>
      </c>
      <c r="P117" s="1">
        <v>75</v>
      </c>
      <c r="Q117" s="1">
        <v>70</v>
      </c>
      <c r="R117" s="1">
        <v>76</v>
      </c>
      <c r="S117" s="1">
        <v>77</v>
      </c>
      <c r="T117" s="1">
        <f t="shared" si="46"/>
        <v>75.400000000000006</v>
      </c>
      <c r="U117" s="1">
        <v>10</v>
      </c>
      <c r="V117" s="1">
        <v>7.5</v>
      </c>
      <c r="W117" s="1">
        <v>8.5</v>
      </c>
      <c r="X117" s="1">
        <v>7.5</v>
      </c>
      <c r="Y117" s="1">
        <v>10</v>
      </c>
      <c r="Z117" s="1">
        <f t="shared" si="47"/>
        <v>8.6999999999999993</v>
      </c>
      <c r="AA117" s="1">
        <v>10</v>
      </c>
      <c r="AB117" s="1">
        <v>10</v>
      </c>
      <c r="AC117" s="1">
        <v>10</v>
      </c>
      <c r="AD117" s="1">
        <v>10</v>
      </c>
      <c r="AE117" s="1">
        <v>10</v>
      </c>
      <c r="AF117" s="1">
        <f t="shared" si="48"/>
        <v>10</v>
      </c>
      <c r="AG117" s="1">
        <v>6</v>
      </c>
      <c r="AH117" s="1">
        <v>7.5</v>
      </c>
      <c r="AI117" s="1">
        <v>6.5</v>
      </c>
      <c r="AJ117" s="1">
        <v>6</v>
      </c>
      <c r="AK117" s="1">
        <v>5.5</v>
      </c>
      <c r="AL117" s="1">
        <f t="shared" si="49"/>
        <v>6.3</v>
      </c>
      <c r="AM117" s="1">
        <v>7</v>
      </c>
      <c r="AN117" s="1">
        <v>12.5</v>
      </c>
      <c r="AO117" s="1">
        <v>12.5</v>
      </c>
      <c r="AP117" s="1">
        <v>11</v>
      </c>
      <c r="AQ117" s="1">
        <v>10</v>
      </c>
      <c r="AR117" s="1">
        <v>10.5</v>
      </c>
      <c r="AS117" s="1">
        <f t="shared" si="50"/>
        <v>11.3</v>
      </c>
      <c r="AT117" s="1">
        <v>1.2</v>
      </c>
      <c r="AU117" s="1">
        <v>1.2</v>
      </c>
      <c r="AV117" s="1">
        <v>1.3</v>
      </c>
      <c r="AW117" s="1">
        <v>1.1000000000000001</v>
      </c>
      <c r="AX117" s="1">
        <v>1.1000000000000001</v>
      </c>
      <c r="AY117" s="1">
        <f t="shared" si="51"/>
        <v>1.1800000000000002</v>
      </c>
      <c r="AZ117" s="1">
        <v>5</v>
      </c>
      <c r="BA117" s="1">
        <v>3</v>
      </c>
      <c r="BB117" s="1">
        <v>6</v>
      </c>
      <c r="BC117" s="1">
        <v>7</v>
      </c>
      <c r="BD117" s="1">
        <v>5</v>
      </c>
      <c r="BE117" s="1">
        <v>6</v>
      </c>
      <c r="BF117" s="1">
        <v>5</v>
      </c>
      <c r="BG117" s="1">
        <f t="shared" si="52"/>
        <v>5.8</v>
      </c>
      <c r="BH117" s="1">
        <v>7</v>
      </c>
      <c r="BI117" s="1">
        <v>11</v>
      </c>
      <c r="BJ117" s="1">
        <v>11</v>
      </c>
      <c r="BK117" s="1">
        <v>11</v>
      </c>
      <c r="BL117" s="1">
        <v>11</v>
      </c>
      <c r="BM117" s="1">
        <v>11</v>
      </c>
      <c r="BN117" s="1">
        <f t="shared" si="53"/>
        <v>11</v>
      </c>
      <c r="BO117" s="1">
        <v>2</v>
      </c>
      <c r="BP117" s="1">
        <v>3</v>
      </c>
      <c r="BQ117" s="1">
        <v>3</v>
      </c>
      <c r="BR117" s="1">
        <v>3</v>
      </c>
      <c r="BS117" s="1">
        <v>3</v>
      </c>
      <c r="BT117" s="1">
        <v>2</v>
      </c>
      <c r="BU117" s="1">
        <v>3</v>
      </c>
      <c r="BV117" s="1">
        <f t="shared" si="54"/>
        <v>2.8</v>
      </c>
      <c r="BW117" s="1">
        <v>49</v>
      </c>
      <c r="BX117" s="1">
        <v>45</v>
      </c>
      <c r="BY117" s="1">
        <v>47</v>
      </c>
      <c r="BZ117" s="1">
        <v>36</v>
      </c>
      <c r="CA117" s="1">
        <v>41</v>
      </c>
      <c r="CB117" s="1">
        <f t="shared" si="55"/>
        <v>43.6</v>
      </c>
      <c r="CC117" s="1">
        <v>2</v>
      </c>
      <c r="CD117" s="1">
        <v>5</v>
      </c>
      <c r="CE117" s="1">
        <v>6.47</v>
      </c>
      <c r="CF117" s="1">
        <v>6.1</v>
      </c>
      <c r="CG117" s="1">
        <v>6.58</v>
      </c>
      <c r="CH117" s="1">
        <v>6.69</v>
      </c>
      <c r="CI117" s="1">
        <v>6.41</v>
      </c>
      <c r="CJ117" s="1">
        <f t="shared" si="56"/>
        <v>6.45</v>
      </c>
      <c r="CK117" s="1">
        <v>3.38</v>
      </c>
      <c r="CL117" s="1">
        <v>3.25</v>
      </c>
      <c r="CM117" s="1">
        <v>3.74</v>
      </c>
      <c r="CN117" s="1">
        <v>3.5</v>
      </c>
      <c r="CO117" s="1">
        <v>3.51</v>
      </c>
      <c r="CP117" s="1">
        <f t="shared" si="57"/>
        <v>3.4760000000000004</v>
      </c>
      <c r="CQ117" s="1">
        <v>3.15</v>
      </c>
      <c r="CR117" s="1">
        <v>2.96</v>
      </c>
      <c r="CS117" s="1">
        <v>2.88</v>
      </c>
      <c r="CT117" s="1">
        <v>2.87</v>
      </c>
      <c r="CU117" s="1">
        <v>3.57</v>
      </c>
      <c r="CV117" s="1">
        <f t="shared" si="58"/>
        <v>3.0859999999999999</v>
      </c>
      <c r="CW117" s="1">
        <v>45.9</v>
      </c>
      <c r="CX117" s="1">
        <v>9.9</v>
      </c>
      <c r="CY117" s="1">
        <v>0.58499999999999996</v>
      </c>
      <c r="CZ117" s="1">
        <f t="shared" si="59"/>
        <v>1.3</v>
      </c>
      <c r="DA117" s="1">
        <f t="shared" si="62"/>
        <v>0.90099999999999991</v>
      </c>
      <c r="DB117" s="1">
        <f t="shared" si="63"/>
        <v>1.3541040462427747</v>
      </c>
    </row>
    <row r="118" spans="1:106" ht="29.5" thickBot="1" x14ac:dyDescent="0.4">
      <c r="A118" s="1">
        <v>234</v>
      </c>
      <c r="B118" s="7" t="s">
        <v>240</v>
      </c>
      <c r="C118" s="11" t="s">
        <v>79</v>
      </c>
      <c r="D118" s="10" t="s">
        <v>124</v>
      </c>
      <c r="E118" s="3">
        <v>45300</v>
      </c>
      <c r="F118" s="3">
        <f t="shared" si="45"/>
        <v>45274</v>
      </c>
      <c r="G118" s="1">
        <f t="shared" si="43"/>
        <v>26</v>
      </c>
      <c r="H118" s="1">
        <f t="shared" si="60"/>
        <v>109</v>
      </c>
      <c r="I118" s="1">
        <v>7</v>
      </c>
      <c r="J118" s="3">
        <v>45383</v>
      </c>
      <c r="K118" s="3">
        <v>45387</v>
      </c>
      <c r="L118" s="15">
        <f t="shared" si="44"/>
        <v>113</v>
      </c>
      <c r="M118" s="13">
        <f t="shared" si="61"/>
        <v>163</v>
      </c>
      <c r="N118" s="3">
        <v>45437</v>
      </c>
      <c r="O118" s="1">
        <v>91</v>
      </c>
      <c r="P118" s="1">
        <v>75</v>
      </c>
      <c r="Q118" s="1">
        <v>79</v>
      </c>
      <c r="R118" s="1">
        <v>76</v>
      </c>
      <c r="S118" s="1">
        <v>81</v>
      </c>
      <c r="T118" s="1">
        <f t="shared" si="46"/>
        <v>80.400000000000006</v>
      </c>
      <c r="U118" s="1">
        <v>13.35</v>
      </c>
      <c r="V118" s="1">
        <v>6</v>
      </c>
      <c r="W118" s="1">
        <v>11.5</v>
      </c>
      <c r="X118" s="1">
        <v>10</v>
      </c>
      <c r="Y118" s="1">
        <v>11</v>
      </c>
      <c r="Z118" s="1">
        <f t="shared" si="47"/>
        <v>10.370000000000001</v>
      </c>
      <c r="AA118" s="1">
        <v>12</v>
      </c>
      <c r="AB118" s="1">
        <v>9</v>
      </c>
      <c r="AC118" s="1">
        <v>12.5</v>
      </c>
      <c r="AD118" s="1">
        <v>11</v>
      </c>
      <c r="AE118" s="1">
        <v>12</v>
      </c>
      <c r="AF118" s="1">
        <f t="shared" si="48"/>
        <v>11.3</v>
      </c>
      <c r="AG118" s="1">
        <v>7</v>
      </c>
      <c r="AH118" s="1">
        <v>5.5</v>
      </c>
      <c r="AI118" s="1">
        <v>7</v>
      </c>
      <c r="AJ118" s="1">
        <v>6</v>
      </c>
      <c r="AK118" s="1">
        <v>4.5</v>
      </c>
      <c r="AL118" s="1">
        <f t="shared" si="49"/>
        <v>6</v>
      </c>
      <c r="AM118" s="1">
        <v>7</v>
      </c>
      <c r="AN118" s="1">
        <v>9.5</v>
      </c>
      <c r="AO118" s="1">
        <v>9.5</v>
      </c>
      <c r="AP118" s="1">
        <v>12</v>
      </c>
      <c r="AQ118" s="1">
        <v>13.3</v>
      </c>
      <c r="AR118" s="1">
        <v>12.5</v>
      </c>
      <c r="AS118" s="1">
        <f t="shared" si="50"/>
        <v>11.36</v>
      </c>
      <c r="AT118" s="1">
        <v>0.8</v>
      </c>
      <c r="AU118" s="1">
        <v>1.1000000000000001</v>
      </c>
      <c r="AV118" s="1">
        <v>1</v>
      </c>
      <c r="AW118" s="1">
        <v>1.3</v>
      </c>
      <c r="AX118" s="1">
        <v>1</v>
      </c>
      <c r="AY118" s="1">
        <f t="shared" si="51"/>
        <v>1.04</v>
      </c>
      <c r="AZ118" s="1">
        <v>5</v>
      </c>
      <c r="BA118" s="1">
        <v>3</v>
      </c>
      <c r="BB118" s="1">
        <v>6</v>
      </c>
      <c r="BC118" s="1">
        <v>4</v>
      </c>
      <c r="BD118" s="1">
        <v>5</v>
      </c>
      <c r="BE118" s="1">
        <v>6</v>
      </c>
      <c r="BF118" s="1">
        <v>5</v>
      </c>
      <c r="BG118" s="1">
        <f t="shared" si="52"/>
        <v>5.2</v>
      </c>
      <c r="BH118" s="1">
        <v>7</v>
      </c>
      <c r="BI118" s="1">
        <v>9</v>
      </c>
      <c r="BJ118" s="1">
        <v>10</v>
      </c>
      <c r="BK118" s="1">
        <v>10</v>
      </c>
      <c r="BL118" s="1">
        <v>11</v>
      </c>
      <c r="BM118" s="1">
        <v>11</v>
      </c>
      <c r="BN118" s="1">
        <f t="shared" si="53"/>
        <v>10.199999999999999</v>
      </c>
      <c r="BO118" s="1">
        <v>1</v>
      </c>
      <c r="BP118" s="1">
        <v>0</v>
      </c>
      <c r="BQ118" s="1">
        <v>3</v>
      </c>
      <c r="BR118" s="1">
        <v>3</v>
      </c>
      <c r="BS118" s="1">
        <v>2</v>
      </c>
      <c r="BT118" s="1">
        <v>3</v>
      </c>
      <c r="BU118" s="1">
        <v>3</v>
      </c>
      <c r="BV118" s="1">
        <f t="shared" si="54"/>
        <v>2.8</v>
      </c>
      <c r="BW118" s="1">
        <v>34</v>
      </c>
      <c r="BX118" s="1">
        <v>37</v>
      </c>
      <c r="BY118" s="1">
        <v>51</v>
      </c>
      <c r="BZ118" s="1">
        <v>32</v>
      </c>
      <c r="CA118" s="1">
        <v>37</v>
      </c>
      <c r="CB118" s="1">
        <f t="shared" si="55"/>
        <v>38.200000000000003</v>
      </c>
      <c r="CC118" s="1">
        <v>1</v>
      </c>
      <c r="CD118" s="1">
        <v>7</v>
      </c>
      <c r="CE118" s="1">
        <v>6.85</v>
      </c>
      <c r="CF118" s="1">
        <v>6.01</v>
      </c>
      <c r="CG118" s="1">
        <v>6.29</v>
      </c>
      <c r="CH118" s="1">
        <v>6.07</v>
      </c>
      <c r="CI118" s="1">
        <v>6.31</v>
      </c>
      <c r="CJ118" s="1">
        <f t="shared" si="56"/>
        <v>6.3059999999999992</v>
      </c>
      <c r="CK118" s="1">
        <v>3.66</v>
      </c>
      <c r="CL118" s="1">
        <v>3.28</v>
      </c>
      <c r="CM118" s="1">
        <v>3.51</v>
      </c>
      <c r="CN118" s="1">
        <v>2.99</v>
      </c>
      <c r="CO118" s="1">
        <v>3.7</v>
      </c>
      <c r="CP118" s="1">
        <f t="shared" si="57"/>
        <v>3.4279999999999999</v>
      </c>
      <c r="CQ118" s="1">
        <v>3.26</v>
      </c>
      <c r="CR118" s="1">
        <v>2.63</v>
      </c>
      <c r="CS118" s="1">
        <v>3.31</v>
      </c>
      <c r="CT118" s="1">
        <v>2.8</v>
      </c>
      <c r="CU118" s="1">
        <v>3.09</v>
      </c>
      <c r="CV118" s="1">
        <f t="shared" si="58"/>
        <v>3.0179999999999998</v>
      </c>
      <c r="CW118" s="1">
        <v>43.8</v>
      </c>
      <c r="CX118" s="1">
        <v>11.3</v>
      </c>
      <c r="CY118" s="1">
        <v>0.6</v>
      </c>
      <c r="CZ118" s="1">
        <f t="shared" si="59"/>
        <v>1.3333333333333333</v>
      </c>
      <c r="DA118" s="1">
        <f t="shared" si="62"/>
        <v>0.88700000000000001</v>
      </c>
      <c r="DB118" s="1">
        <f t="shared" si="63"/>
        <v>1.3672447013487474</v>
      </c>
    </row>
    <row r="119" spans="1:106" ht="16" thickBot="1" x14ac:dyDescent="0.4">
      <c r="A119" s="1">
        <v>235</v>
      </c>
      <c r="B119" s="7" t="s">
        <v>241</v>
      </c>
      <c r="C119" s="11"/>
      <c r="D119" s="10" t="s">
        <v>124</v>
      </c>
      <c r="E119" s="3">
        <v>45300</v>
      </c>
      <c r="F119" s="3">
        <f t="shared" si="45"/>
        <v>45274</v>
      </c>
      <c r="G119" s="1">
        <f t="shared" si="43"/>
        <v>26</v>
      </c>
      <c r="H119" s="1">
        <f t="shared" si="60"/>
        <v>109</v>
      </c>
      <c r="I119" s="1">
        <v>7</v>
      </c>
      <c r="J119" s="3">
        <v>45383</v>
      </c>
      <c r="K119" s="3">
        <v>45387</v>
      </c>
      <c r="L119" s="15">
        <f t="shared" si="44"/>
        <v>113</v>
      </c>
      <c r="M119" s="13">
        <f t="shared" si="61"/>
        <v>163</v>
      </c>
      <c r="N119" s="3">
        <v>45437</v>
      </c>
      <c r="O119" s="1">
        <v>86</v>
      </c>
      <c r="P119" s="1">
        <v>76</v>
      </c>
      <c r="Q119" s="1">
        <v>87</v>
      </c>
      <c r="R119" s="1">
        <v>100</v>
      </c>
      <c r="S119" s="1">
        <v>87</v>
      </c>
      <c r="T119" s="1">
        <f t="shared" si="46"/>
        <v>87.2</v>
      </c>
      <c r="U119" s="1">
        <v>15</v>
      </c>
      <c r="V119" s="1">
        <v>11</v>
      </c>
      <c r="W119" s="1">
        <v>12</v>
      </c>
      <c r="X119" s="1">
        <v>18</v>
      </c>
      <c r="Y119" s="1">
        <v>17</v>
      </c>
      <c r="Z119" s="1">
        <f t="shared" si="47"/>
        <v>14.6</v>
      </c>
      <c r="AA119" s="1">
        <v>11.5</v>
      </c>
      <c r="AB119" s="1">
        <v>9.5</v>
      </c>
      <c r="AC119" s="1">
        <v>10</v>
      </c>
      <c r="AD119" s="1">
        <v>13</v>
      </c>
      <c r="AE119" s="1">
        <v>13</v>
      </c>
      <c r="AF119" s="1">
        <f t="shared" si="48"/>
        <v>11.4</v>
      </c>
      <c r="AG119" s="1">
        <v>6</v>
      </c>
      <c r="AH119" s="1">
        <v>4</v>
      </c>
      <c r="AI119" s="1">
        <v>6</v>
      </c>
      <c r="AJ119" s="1">
        <v>7.5</v>
      </c>
      <c r="AK119" s="1">
        <v>7.5</v>
      </c>
      <c r="AL119" s="1">
        <f t="shared" si="49"/>
        <v>6.2</v>
      </c>
      <c r="AM119" s="1">
        <v>7</v>
      </c>
      <c r="AN119" s="1">
        <v>12.5</v>
      </c>
      <c r="AO119" s="1">
        <v>13</v>
      </c>
      <c r="AP119" s="1">
        <v>8.5</v>
      </c>
      <c r="AQ119" s="1">
        <v>12</v>
      </c>
      <c r="AR119" s="1">
        <v>12.5</v>
      </c>
      <c r="AS119" s="1">
        <f t="shared" si="50"/>
        <v>11.7</v>
      </c>
      <c r="AT119" s="1">
        <v>0.8</v>
      </c>
      <c r="AU119" s="1">
        <v>1</v>
      </c>
      <c r="AV119" s="1">
        <v>0.8</v>
      </c>
      <c r="AW119" s="1">
        <v>1</v>
      </c>
      <c r="AX119" s="1">
        <v>0.8</v>
      </c>
      <c r="AY119" s="1">
        <f t="shared" si="51"/>
        <v>0.88000000000000012</v>
      </c>
      <c r="AZ119" s="1">
        <v>5</v>
      </c>
      <c r="BA119" s="1">
        <v>3</v>
      </c>
      <c r="BB119" s="1">
        <v>3</v>
      </c>
      <c r="BC119" s="1">
        <v>8</v>
      </c>
      <c r="BD119" s="1">
        <v>8</v>
      </c>
      <c r="BE119" s="1">
        <v>8</v>
      </c>
      <c r="BF119" s="1">
        <v>2</v>
      </c>
      <c r="BG119" s="1">
        <f t="shared" si="52"/>
        <v>5.8</v>
      </c>
      <c r="BH119" s="1">
        <v>9</v>
      </c>
      <c r="BI119" s="1">
        <v>10</v>
      </c>
      <c r="BJ119" s="1">
        <v>10</v>
      </c>
      <c r="BK119" s="1">
        <v>10</v>
      </c>
      <c r="BL119" s="1">
        <v>10</v>
      </c>
      <c r="BM119" s="1">
        <v>11</v>
      </c>
      <c r="BN119" s="1">
        <f t="shared" si="53"/>
        <v>10.199999999999999</v>
      </c>
      <c r="BO119" s="1">
        <v>1</v>
      </c>
      <c r="BP119" s="1">
        <v>0</v>
      </c>
      <c r="BQ119" s="1">
        <v>3</v>
      </c>
      <c r="BR119" s="1">
        <v>3</v>
      </c>
      <c r="BS119" s="1">
        <v>3</v>
      </c>
      <c r="BT119" s="1">
        <v>3</v>
      </c>
      <c r="BU119" s="1">
        <v>2</v>
      </c>
      <c r="BV119" s="1">
        <f t="shared" si="54"/>
        <v>2.8</v>
      </c>
      <c r="BW119" s="1">
        <v>54</v>
      </c>
      <c r="BX119" s="1">
        <v>50</v>
      </c>
      <c r="BY119" s="1">
        <v>48</v>
      </c>
      <c r="BZ119" s="1">
        <v>56</v>
      </c>
      <c r="CA119" s="1">
        <v>46</v>
      </c>
      <c r="CB119" s="1">
        <f t="shared" si="55"/>
        <v>50.8</v>
      </c>
      <c r="CC119" s="1">
        <v>1</v>
      </c>
      <c r="CD119" s="1">
        <v>7</v>
      </c>
      <c r="CE119" s="1">
        <v>6.25</v>
      </c>
      <c r="CF119" s="1">
        <v>6.6</v>
      </c>
      <c r="CG119" s="1">
        <v>6.71</v>
      </c>
      <c r="CH119" s="1">
        <v>6.1</v>
      </c>
      <c r="CI119" s="1">
        <v>6.27</v>
      </c>
      <c r="CJ119" s="1">
        <f t="shared" si="56"/>
        <v>6.3859999999999992</v>
      </c>
      <c r="CK119" s="1">
        <v>3.39</v>
      </c>
      <c r="CL119" s="1">
        <v>3.79</v>
      </c>
      <c r="CM119" s="1">
        <v>3.69</v>
      </c>
      <c r="CN119" s="1">
        <v>3.63</v>
      </c>
      <c r="CO119" s="1">
        <v>3.47</v>
      </c>
      <c r="CP119" s="1">
        <f t="shared" si="57"/>
        <v>3.5939999999999999</v>
      </c>
      <c r="CQ119" s="1">
        <v>2.89</v>
      </c>
      <c r="CR119" s="1">
        <v>2.92</v>
      </c>
      <c r="CS119" s="1">
        <v>3.46</v>
      </c>
      <c r="CT119" s="1">
        <v>2.95</v>
      </c>
      <c r="CU119" s="1">
        <v>2.7</v>
      </c>
      <c r="CV119" s="1">
        <f t="shared" si="58"/>
        <v>2.9839999999999995</v>
      </c>
      <c r="CW119" s="1">
        <v>46.6</v>
      </c>
      <c r="CX119" s="1">
        <v>11.3</v>
      </c>
      <c r="CY119" s="1">
        <v>0.53500000000000003</v>
      </c>
      <c r="CZ119" s="1">
        <f t="shared" si="59"/>
        <v>1.1888888888888889</v>
      </c>
      <c r="DA119" s="1">
        <f t="shared" si="62"/>
        <v>0.88700000000000001</v>
      </c>
      <c r="DB119" s="1">
        <f t="shared" si="63"/>
        <v>1.2191265253693</v>
      </c>
    </row>
  </sheetData>
  <mergeCells count="55">
    <mergeCell ref="CB1:CB2"/>
    <mergeCell ref="CC1:CC2"/>
    <mergeCell ref="CD1:CD2"/>
    <mergeCell ref="AS1:AS2"/>
    <mergeCell ref="AY1:AY2"/>
    <mergeCell ref="BI1:BM1"/>
    <mergeCell ref="BO1:BO2"/>
    <mergeCell ref="BP1:BP2"/>
    <mergeCell ref="BN1:BN2"/>
    <mergeCell ref="Z1:Z2"/>
    <mergeCell ref="DB1:DB2"/>
    <mergeCell ref="B109:B110"/>
    <mergeCell ref="CY1:CY2"/>
    <mergeCell ref="CX1:CX2"/>
    <mergeCell ref="CE1:CI1"/>
    <mergeCell ref="CK1:CO1"/>
    <mergeCell ref="CQ1:CU1"/>
    <mergeCell ref="CW1:CW2"/>
    <mergeCell ref="CJ1:CJ2"/>
    <mergeCell ref="CP1:CP2"/>
    <mergeCell ref="CV1:CV2"/>
    <mergeCell ref="BQ1:BU1"/>
    <mergeCell ref="BW1:CA1"/>
    <mergeCell ref="BV1:BV2"/>
    <mergeCell ref="BH1:BH2"/>
    <mergeCell ref="A1:A2"/>
    <mergeCell ref="I1:I2"/>
    <mergeCell ref="K1:K2"/>
    <mergeCell ref="J1:J2"/>
    <mergeCell ref="N1:N2"/>
    <mergeCell ref="E1:E2"/>
    <mergeCell ref="C1:C2"/>
    <mergeCell ref="D1:D2"/>
    <mergeCell ref="B1:B2"/>
    <mergeCell ref="G1:G2"/>
    <mergeCell ref="F1:F2"/>
    <mergeCell ref="H1:H2"/>
    <mergeCell ref="L1:L2"/>
    <mergeCell ref="M1:M2"/>
    <mergeCell ref="DA1:DA2"/>
    <mergeCell ref="CZ1:CZ2"/>
    <mergeCell ref="BG1:BG2"/>
    <mergeCell ref="T1:T2"/>
    <mergeCell ref="O1:S1"/>
    <mergeCell ref="AZ1:AZ2"/>
    <mergeCell ref="BA1:BA2"/>
    <mergeCell ref="BB1:BF1"/>
    <mergeCell ref="AM1:AM2"/>
    <mergeCell ref="AA1:AE1"/>
    <mergeCell ref="AG1:AK1"/>
    <mergeCell ref="AN1:AR1"/>
    <mergeCell ref="AT1:AX1"/>
    <mergeCell ref="U1:Y1"/>
    <mergeCell ref="AF1:AF2"/>
    <mergeCell ref="AL1:A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A7F9-92AC-44F4-B23B-4102206570FA}">
  <dimension ref="A1:S117"/>
  <sheetViews>
    <sheetView workbookViewId="0">
      <selection activeCell="B1" sqref="B1:S1"/>
    </sheetView>
  </sheetViews>
  <sheetFormatPr defaultRowHeight="14.5" x14ac:dyDescent="0.35"/>
  <cols>
    <col min="1" max="1" width="16.7265625" style="1" customWidth="1"/>
    <col min="2" max="2" width="8.08984375" style="1" customWidth="1"/>
    <col min="3" max="3" width="7.36328125" style="1" customWidth="1"/>
    <col min="4" max="4" width="7.54296875" style="1" customWidth="1"/>
    <col min="5" max="5" width="7.81640625" style="1" customWidth="1"/>
    <col min="6" max="6" width="9.453125" style="1" customWidth="1"/>
    <col min="7" max="7" width="8.36328125" style="1" customWidth="1"/>
    <col min="8" max="8" width="8.81640625" style="1" customWidth="1"/>
    <col min="9" max="9" width="7.7265625" style="1" customWidth="1"/>
    <col min="10" max="10" width="7.90625" style="1" customWidth="1"/>
    <col min="11" max="11" width="7.54296875" style="1" customWidth="1"/>
    <col min="12" max="12" width="8.6328125" style="1" customWidth="1"/>
    <col min="13" max="13" width="7.7265625" style="1" customWidth="1"/>
    <col min="14" max="14" width="8" style="1" customWidth="1"/>
    <col min="15" max="15" width="8.54296875" style="1" customWidth="1"/>
    <col min="16" max="16" width="8.7265625" style="1"/>
    <col min="17" max="17" width="9" style="1" customWidth="1"/>
    <col min="18" max="18" width="8.36328125" style="1" customWidth="1"/>
    <col min="19" max="19" width="8.54296875" style="1" customWidth="1"/>
    <col min="20" max="16384" width="8.7265625" style="1"/>
  </cols>
  <sheetData>
    <row r="1" spans="1:19" ht="15.5" x14ac:dyDescent="0.35">
      <c r="A1" s="16" t="s">
        <v>270</v>
      </c>
      <c r="B1" s="16" t="s">
        <v>384</v>
      </c>
      <c r="C1" s="16" t="s">
        <v>385</v>
      </c>
      <c r="D1" s="16" t="s">
        <v>262</v>
      </c>
      <c r="E1" s="16" t="s">
        <v>263</v>
      </c>
      <c r="F1" s="16" t="s">
        <v>264</v>
      </c>
      <c r="G1" s="16" t="s">
        <v>265</v>
      </c>
      <c r="H1" s="16" t="s">
        <v>266</v>
      </c>
      <c r="I1" s="16" t="s">
        <v>261</v>
      </c>
      <c r="J1" s="16" t="s">
        <v>260</v>
      </c>
      <c r="K1" s="16" t="s">
        <v>440</v>
      </c>
      <c r="L1" s="16" t="s">
        <v>268</v>
      </c>
      <c r="M1" s="16" t="s">
        <v>269</v>
      </c>
      <c r="N1" s="16" t="s">
        <v>267</v>
      </c>
      <c r="O1" s="16" t="s">
        <v>258</v>
      </c>
      <c r="P1" s="16" t="s">
        <v>257</v>
      </c>
      <c r="Q1" s="16" t="s">
        <v>256</v>
      </c>
      <c r="R1" s="16" t="s">
        <v>255</v>
      </c>
      <c r="S1" s="16" t="s">
        <v>254</v>
      </c>
    </row>
    <row r="2" spans="1:19" ht="15.5" x14ac:dyDescent="0.35">
      <c r="A2" s="16" t="s">
        <v>126</v>
      </c>
      <c r="B2" s="16">
        <v>15</v>
      </c>
      <c r="C2" s="16">
        <v>104</v>
      </c>
      <c r="D2" s="16">
        <v>111</v>
      </c>
      <c r="E2" s="16">
        <v>138</v>
      </c>
      <c r="F2" s="16">
        <v>97.8</v>
      </c>
      <c r="G2" s="16">
        <v>16.22</v>
      </c>
      <c r="H2" s="16">
        <v>7.7200000000000006</v>
      </c>
      <c r="I2" s="16">
        <v>10.7</v>
      </c>
      <c r="J2" s="16">
        <v>0.65999999999999992</v>
      </c>
      <c r="K2" s="16">
        <v>9</v>
      </c>
      <c r="L2" s="16">
        <v>9</v>
      </c>
      <c r="M2" s="16">
        <v>2</v>
      </c>
      <c r="N2" s="16">
        <v>34</v>
      </c>
      <c r="O2" s="18">
        <v>5.5640000000000001</v>
      </c>
      <c r="P2" s="18">
        <v>3.1339999999999999</v>
      </c>
      <c r="Q2" s="18">
        <v>2.6579999999999999</v>
      </c>
      <c r="R2" s="16">
        <v>34.700000000000003</v>
      </c>
      <c r="S2" s="18">
        <v>1.9906486833654462</v>
      </c>
    </row>
    <row r="3" spans="1:19" ht="15.5" x14ac:dyDescent="0.35">
      <c r="A3" s="16" t="s">
        <v>271</v>
      </c>
      <c r="B3" s="16">
        <v>18</v>
      </c>
      <c r="C3" s="16">
        <v>132</v>
      </c>
      <c r="D3" s="16">
        <v>145</v>
      </c>
      <c r="E3" s="16">
        <v>171</v>
      </c>
      <c r="F3" s="16">
        <v>78.8</v>
      </c>
      <c r="G3" s="16">
        <v>21.7</v>
      </c>
      <c r="H3" s="16">
        <v>7.7200000000000006</v>
      </c>
      <c r="I3" s="16">
        <v>19.18</v>
      </c>
      <c r="J3" s="16">
        <v>0.60000000000000009</v>
      </c>
      <c r="K3" s="16">
        <v>10</v>
      </c>
      <c r="L3" s="16">
        <v>8</v>
      </c>
      <c r="M3" s="16">
        <v>2</v>
      </c>
      <c r="N3" s="16">
        <v>33</v>
      </c>
      <c r="O3" s="18">
        <v>6.3819999999999997</v>
      </c>
      <c r="P3" s="18">
        <v>2.5819999999999999</v>
      </c>
      <c r="Q3" s="18">
        <v>2.3959999999999999</v>
      </c>
      <c r="R3" s="16">
        <v>25.7</v>
      </c>
      <c r="S3" s="18">
        <v>2.4670520231213877</v>
      </c>
    </row>
    <row r="4" spans="1:19" ht="15.5" x14ac:dyDescent="0.35">
      <c r="A4" s="16" t="s">
        <v>272</v>
      </c>
      <c r="B4" s="16">
        <v>15</v>
      </c>
      <c r="C4" s="16">
        <v>102</v>
      </c>
      <c r="D4" s="16">
        <v>108</v>
      </c>
      <c r="E4" s="16">
        <v>134</v>
      </c>
      <c r="F4" s="16">
        <v>103.4</v>
      </c>
      <c r="G4" s="16">
        <v>18.54</v>
      </c>
      <c r="H4" s="16">
        <v>7.44</v>
      </c>
      <c r="I4" s="16">
        <v>10.639999999999999</v>
      </c>
      <c r="J4" s="16">
        <v>0.56000000000000005</v>
      </c>
      <c r="K4" s="16">
        <v>8</v>
      </c>
      <c r="L4" s="16">
        <v>11</v>
      </c>
      <c r="M4" s="16">
        <v>3</v>
      </c>
      <c r="N4" s="16">
        <v>45</v>
      </c>
      <c r="O4" s="18">
        <v>5.2380000000000004</v>
      </c>
      <c r="P4" s="18">
        <v>3.0140000000000002</v>
      </c>
      <c r="Q4" s="18">
        <v>2.5219999999999998</v>
      </c>
      <c r="R4" s="16">
        <v>32.799999999999997</v>
      </c>
      <c r="S4" s="18">
        <v>2.3699421965317917</v>
      </c>
    </row>
    <row r="5" spans="1:19" ht="15.5" x14ac:dyDescent="0.35">
      <c r="A5" s="16" t="s">
        <v>273</v>
      </c>
      <c r="B5" s="16">
        <v>15</v>
      </c>
      <c r="C5" s="16">
        <v>102</v>
      </c>
      <c r="D5" s="16">
        <v>108</v>
      </c>
      <c r="E5" s="16">
        <v>134</v>
      </c>
      <c r="F5" s="16">
        <v>64.47999999999999</v>
      </c>
      <c r="G5" s="16">
        <v>22.16</v>
      </c>
      <c r="H5" s="16">
        <v>8.8000000000000007</v>
      </c>
      <c r="I5" s="16">
        <v>10.78</v>
      </c>
      <c r="J5" s="16">
        <v>0.55999999999999994</v>
      </c>
      <c r="K5" s="16">
        <v>7</v>
      </c>
      <c r="L5" s="16">
        <v>10</v>
      </c>
      <c r="M5" s="16">
        <v>3</v>
      </c>
      <c r="N5" s="16">
        <v>41</v>
      </c>
      <c r="O5" s="18">
        <v>5.8360000000000003</v>
      </c>
      <c r="P5" s="18">
        <v>3.1760000000000002</v>
      </c>
      <c r="Q5" s="18">
        <v>2.722</v>
      </c>
      <c r="R5" s="16">
        <v>33.049999999999997</v>
      </c>
      <c r="S5" s="18">
        <v>2.543660886319846</v>
      </c>
    </row>
    <row r="6" spans="1:19" ht="15.5" x14ac:dyDescent="0.35">
      <c r="A6" s="16" t="s">
        <v>274</v>
      </c>
      <c r="B6" s="16">
        <v>15</v>
      </c>
      <c r="C6" s="16">
        <v>102</v>
      </c>
      <c r="D6" s="16">
        <v>108</v>
      </c>
      <c r="E6" s="16">
        <v>140</v>
      </c>
      <c r="F6" s="16">
        <v>104.74000000000001</v>
      </c>
      <c r="G6" s="16">
        <v>20.6</v>
      </c>
      <c r="H6" s="16">
        <v>8.6</v>
      </c>
      <c r="I6" s="16">
        <v>9.9</v>
      </c>
      <c r="J6" s="16">
        <v>0.88000000000000012</v>
      </c>
      <c r="K6" s="16">
        <v>13</v>
      </c>
      <c r="L6" s="16">
        <v>9</v>
      </c>
      <c r="M6" s="16">
        <v>3</v>
      </c>
      <c r="N6" s="16">
        <v>49</v>
      </c>
      <c r="O6" s="18">
        <v>5.5579999999999998</v>
      </c>
      <c r="P6" s="18">
        <v>3.4560000000000004</v>
      </c>
      <c r="Q6" s="18">
        <v>2.5960000000000001</v>
      </c>
      <c r="R6" s="16">
        <v>34.6</v>
      </c>
      <c r="S6" s="18">
        <v>1.8497109826589597</v>
      </c>
    </row>
    <row r="7" spans="1:19" ht="15.5" x14ac:dyDescent="0.35">
      <c r="A7" s="16" t="s">
        <v>275</v>
      </c>
      <c r="B7" s="16">
        <v>14</v>
      </c>
      <c r="C7" s="16">
        <v>102</v>
      </c>
      <c r="D7" s="16">
        <v>108</v>
      </c>
      <c r="E7" s="16">
        <v>136</v>
      </c>
      <c r="F7" s="16">
        <v>102.25999999999999</v>
      </c>
      <c r="G7" s="16">
        <v>20.5</v>
      </c>
      <c r="H7" s="16">
        <v>8.66</v>
      </c>
      <c r="I7" s="16">
        <v>11.620000000000001</v>
      </c>
      <c r="J7" s="16">
        <v>0.6</v>
      </c>
      <c r="K7" s="16">
        <v>11</v>
      </c>
      <c r="L7" s="16">
        <v>10</v>
      </c>
      <c r="M7" s="16">
        <v>3</v>
      </c>
      <c r="N7" s="16">
        <v>39</v>
      </c>
      <c r="O7" s="18">
        <v>5.7179999999999991</v>
      </c>
      <c r="P7" s="18">
        <v>3.2619999999999996</v>
      </c>
      <c r="Q7" s="18">
        <v>2.6700000000000004</v>
      </c>
      <c r="R7" s="16">
        <v>33.5</v>
      </c>
      <c r="S7" s="18">
        <v>1.883442517662171</v>
      </c>
    </row>
    <row r="8" spans="1:19" ht="15.5" x14ac:dyDescent="0.35">
      <c r="A8" s="16" t="s">
        <v>276</v>
      </c>
      <c r="B8" s="16">
        <v>15</v>
      </c>
      <c r="C8" s="16">
        <v>111</v>
      </c>
      <c r="D8" s="16">
        <v>117</v>
      </c>
      <c r="E8" s="16">
        <v>146</v>
      </c>
      <c r="F8" s="16">
        <v>119.51999999999998</v>
      </c>
      <c r="G8" s="16">
        <v>17.3</v>
      </c>
      <c r="H8" s="16">
        <v>7.9</v>
      </c>
      <c r="I8" s="16">
        <v>11.6</v>
      </c>
      <c r="J8" s="16">
        <v>0.7</v>
      </c>
      <c r="K8" s="16">
        <v>8</v>
      </c>
      <c r="L8" s="16">
        <v>10</v>
      </c>
      <c r="M8" s="16">
        <v>3</v>
      </c>
      <c r="N8" s="16">
        <v>55</v>
      </c>
      <c r="O8" s="18">
        <v>5.59</v>
      </c>
      <c r="P8" s="18">
        <v>3.2380000000000004</v>
      </c>
      <c r="Q8" s="18">
        <v>2.8860000000000001</v>
      </c>
      <c r="R8" s="16">
        <v>37.1</v>
      </c>
      <c r="S8" s="18">
        <v>1.2732562620423895</v>
      </c>
    </row>
    <row r="9" spans="1:19" ht="15.5" x14ac:dyDescent="0.35">
      <c r="A9" s="16" t="s">
        <v>277</v>
      </c>
      <c r="B9" s="16">
        <v>14</v>
      </c>
      <c r="C9" s="16">
        <v>102</v>
      </c>
      <c r="D9" s="16">
        <v>109</v>
      </c>
      <c r="E9" s="16">
        <v>132</v>
      </c>
      <c r="F9" s="16">
        <v>100.7</v>
      </c>
      <c r="G9" s="16">
        <v>16.600000000000001</v>
      </c>
      <c r="H9" s="16">
        <v>9.6999999999999993</v>
      </c>
      <c r="I9" s="16">
        <v>12.120000000000001</v>
      </c>
      <c r="J9" s="16">
        <v>1.1400000000000001</v>
      </c>
      <c r="K9" s="16">
        <v>14</v>
      </c>
      <c r="L9" s="16">
        <v>10</v>
      </c>
      <c r="M9" s="16">
        <v>3</v>
      </c>
      <c r="N9" s="16">
        <v>46</v>
      </c>
      <c r="O9" s="18">
        <v>5.76</v>
      </c>
      <c r="P9" s="18">
        <v>3.3359999999999999</v>
      </c>
      <c r="Q9" s="18">
        <v>2.9400000000000004</v>
      </c>
      <c r="R9" s="16">
        <v>39.299999999999997</v>
      </c>
      <c r="S9" s="18">
        <v>1.9075144508670518</v>
      </c>
    </row>
    <row r="10" spans="1:19" ht="15.5" x14ac:dyDescent="0.35">
      <c r="A10" s="16" t="s">
        <v>278</v>
      </c>
      <c r="B10" s="16">
        <v>15</v>
      </c>
      <c r="C10" s="16">
        <v>106</v>
      </c>
      <c r="D10" s="16">
        <v>110</v>
      </c>
      <c r="E10" s="16">
        <v>138</v>
      </c>
      <c r="F10" s="16">
        <v>84.2</v>
      </c>
      <c r="G10" s="16">
        <v>12.2</v>
      </c>
      <c r="H10" s="16">
        <v>10</v>
      </c>
      <c r="I10" s="16">
        <v>12.780000000000001</v>
      </c>
      <c r="J10" s="16">
        <v>0.98000000000000009</v>
      </c>
      <c r="K10" s="16">
        <v>6</v>
      </c>
      <c r="L10" s="16">
        <v>10</v>
      </c>
      <c r="M10" s="16">
        <v>3</v>
      </c>
      <c r="N10" s="16">
        <v>46</v>
      </c>
      <c r="O10" s="18">
        <v>5.9360000000000008</v>
      </c>
      <c r="P10" s="18">
        <v>3.3259999999999996</v>
      </c>
      <c r="Q10" s="18">
        <v>2.8099999999999996</v>
      </c>
      <c r="R10" s="16">
        <v>36.090000000000003</v>
      </c>
      <c r="S10" s="18">
        <v>1.1068079640333977</v>
      </c>
    </row>
    <row r="11" spans="1:19" ht="15.5" x14ac:dyDescent="0.35">
      <c r="A11" s="16" t="s">
        <v>279</v>
      </c>
      <c r="B11" s="16">
        <v>15</v>
      </c>
      <c r="C11" s="16">
        <v>104</v>
      </c>
      <c r="D11" s="16">
        <v>110</v>
      </c>
      <c r="E11" s="16">
        <v>138</v>
      </c>
      <c r="F11" s="16">
        <v>99.16</v>
      </c>
      <c r="G11" s="16">
        <v>14.7</v>
      </c>
      <c r="H11" s="16">
        <v>9.1</v>
      </c>
      <c r="I11" s="16">
        <v>11.74</v>
      </c>
      <c r="J11" s="16">
        <v>1.06</v>
      </c>
      <c r="K11" s="16">
        <v>8</v>
      </c>
      <c r="L11" s="16">
        <v>9</v>
      </c>
      <c r="M11" s="16">
        <v>2</v>
      </c>
      <c r="N11" s="16">
        <v>35</v>
      </c>
      <c r="O11" s="18">
        <v>6.0780000000000012</v>
      </c>
      <c r="P11" s="18">
        <v>3.5819999999999999</v>
      </c>
      <c r="Q11" s="18">
        <v>2.7679999999999998</v>
      </c>
      <c r="R11" s="16">
        <v>40.1</v>
      </c>
      <c r="S11" s="18">
        <v>1.7109826589595376</v>
      </c>
    </row>
    <row r="12" spans="1:19" ht="15.5" x14ac:dyDescent="0.35">
      <c r="A12" s="16" t="s">
        <v>280</v>
      </c>
      <c r="B12" s="16">
        <v>15</v>
      </c>
      <c r="C12" s="16">
        <v>102</v>
      </c>
      <c r="D12" s="16">
        <v>110</v>
      </c>
      <c r="E12" s="16">
        <v>138</v>
      </c>
      <c r="F12" s="16">
        <v>107.17999999999999</v>
      </c>
      <c r="G12" s="16">
        <v>20.5</v>
      </c>
      <c r="H12" s="16">
        <v>7.5</v>
      </c>
      <c r="I12" s="16">
        <v>10.4</v>
      </c>
      <c r="J12" s="16">
        <v>0.9</v>
      </c>
      <c r="K12" s="16">
        <v>15</v>
      </c>
      <c r="L12" s="16">
        <v>10</v>
      </c>
      <c r="M12" s="16">
        <v>3</v>
      </c>
      <c r="N12" s="16">
        <v>35</v>
      </c>
      <c r="O12" s="18">
        <v>5.8020000000000005</v>
      </c>
      <c r="P12" s="18">
        <v>3.2019999999999995</v>
      </c>
      <c r="Q12" s="18">
        <v>2.84</v>
      </c>
      <c r="R12" s="16">
        <v>33.299999999999997</v>
      </c>
      <c r="S12" s="18">
        <v>2.2171868978805396</v>
      </c>
    </row>
    <row r="13" spans="1:19" ht="15.5" x14ac:dyDescent="0.35">
      <c r="A13" s="16" t="s">
        <v>281</v>
      </c>
      <c r="B13" s="16">
        <v>15</v>
      </c>
      <c r="C13" s="16">
        <v>110</v>
      </c>
      <c r="D13" s="16">
        <v>110</v>
      </c>
      <c r="E13" s="16">
        <v>140</v>
      </c>
      <c r="F13" s="16">
        <v>75</v>
      </c>
      <c r="G13" s="16">
        <v>10.8</v>
      </c>
      <c r="H13" s="16">
        <v>10.4</v>
      </c>
      <c r="I13" s="16">
        <v>11.940000000000001</v>
      </c>
      <c r="J13" s="16">
        <v>1.04</v>
      </c>
      <c r="K13" s="16">
        <v>4</v>
      </c>
      <c r="L13" s="16">
        <v>10</v>
      </c>
      <c r="M13" s="16">
        <v>3</v>
      </c>
      <c r="N13" s="16">
        <v>37</v>
      </c>
      <c r="O13" s="18">
        <v>6.3559999999999999</v>
      </c>
      <c r="P13" s="18">
        <v>3.492</v>
      </c>
      <c r="Q13" s="18">
        <v>2.8600000000000003</v>
      </c>
      <c r="R13" s="16">
        <v>41.7</v>
      </c>
      <c r="S13" s="18">
        <v>0.92999357739242139</v>
      </c>
    </row>
    <row r="14" spans="1:19" ht="15.5" x14ac:dyDescent="0.35">
      <c r="A14" s="16" t="s">
        <v>282</v>
      </c>
      <c r="B14" s="16">
        <v>15</v>
      </c>
      <c r="C14" s="16">
        <v>110</v>
      </c>
      <c r="D14" s="16">
        <v>113</v>
      </c>
      <c r="E14" s="16">
        <v>140</v>
      </c>
      <c r="F14" s="16">
        <v>79.900000000000006</v>
      </c>
      <c r="G14" s="16">
        <v>7</v>
      </c>
      <c r="H14" s="16">
        <v>12.26</v>
      </c>
      <c r="I14" s="16">
        <v>12.6</v>
      </c>
      <c r="J14" s="16">
        <v>1.2</v>
      </c>
      <c r="K14" s="16">
        <v>3</v>
      </c>
      <c r="L14" s="16">
        <v>11</v>
      </c>
      <c r="M14" s="16">
        <v>3</v>
      </c>
      <c r="N14" s="16">
        <v>37</v>
      </c>
      <c r="O14" s="18">
        <v>6.1240000000000006</v>
      </c>
      <c r="P14" s="18">
        <v>3.4480000000000004</v>
      </c>
      <c r="Q14" s="18">
        <v>2.8380000000000001</v>
      </c>
      <c r="R14" s="16">
        <v>39.4</v>
      </c>
      <c r="S14" s="18">
        <v>1.0994861913937057</v>
      </c>
    </row>
    <row r="15" spans="1:19" ht="15.5" x14ac:dyDescent="0.35">
      <c r="A15" s="16" t="s">
        <v>285</v>
      </c>
      <c r="B15" s="16">
        <v>15</v>
      </c>
      <c r="C15" s="16">
        <v>110</v>
      </c>
      <c r="D15" s="16">
        <v>113</v>
      </c>
      <c r="E15" s="16">
        <v>140</v>
      </c>
      <c r="F15" s="16">
        <v>77.400000000000006</v>
      </c>
      <c r="G15" s="16">
        <v>14.34</v>
      </c>
      <c r="H15" s="16">
        <v>10.86</v>
      </c>
      <c r="I15" s="16">
        <v>15.559999999999999</v>
      </c>
      <c r="J15" s="16">
        <v>0.92000000000000015</v>
      </c>
      <c r="K15" s="16">
        <v>4</v>
      </c>
      <c r="L15" s="16">
        <v>10</v>
      </c>
      <c r="M15" s="16">
        <v>3</v>
      </c>
      <c r="N15" s="16">
        <v>37</v>
      </c>
      <c r="O15" s="18">
        <v>5.9440000000000008</v>
      </c>
      <c r="P15" s="18">
        <v>3.2839999999999998</v>
      </c>
      <c r="Q15" s="18">
        <v>2.774</v>
      </c>
      <c r="R15" s="16">
        <v>40.1</v>
      </c>
      <c r="S15" s="18">
        <v>1.0870905587668593</v>
      </c>
    </row>
    <row r="16" spans="1:19" ht="15.5" x14ac:dyDescent="0.35">
      <c r="A16" s="16" t="s">
        <v>286</v>
      </c>
      <c r="B16" s="16">
        <v>15</v>
      </c>
      <c r="C16" s="16">
        <v>110</v>
      </c>
      <c r="D16" s="16">
        <v>116</v>
      </c>
      <c r="E16" s="16">
        <v>142</v>
      </c>
      <c r="F16" s="16">
        <v>84.18</v>
      </c>
      <c r="G16" s="16">
        <v>19.399999999999999</v>
      </c>
      <c r="H16" s="16">
        <v>9.5400000000000009</v>
      </c>
      <c r="I16" s="16">
        <v>14.919999999999998</v>
      </c>
      <c r="J16" s="16">
        <v>0.84000000000000008</v>
      </c>
      <c r="K16" s="16">
        <v>5</v>
      </c>
      <c r="L16" s="16">
        <v>9</v>
      </c>
      <c r="M16" s="16">
        <v>3</v>
      </c>
      <c r="N16" s="16">
        <v>40</v>
      </c>
      <c r="O16" s="18">
        <v>6.0380000000000003</v>
      </c>
      <c r="P16" s="18">
        <v>3.016</v>
      </c>
      <c r="Q16" s="18">
        <v>2.5740000000000003</v>
      </c>
      <c r="R16" s="16">
        <v>35.6</v>
      </c>
      <c r="S16" s="18">
        <v>0.45838150289017343</v>
      </c>
    </row>
    <row r="17" spans="1:19" ht="15.5" x14ac:dyDescent="0.35">
      <c r="A17" s="16" t="s">
        <v>287</v>
      </c>
      <c r="B17" s="16">
        <v>15</v>
      </c>
      <c r="C17" s="16">
        <v>112</v>
      </c>
      <c r="D17" s="16">
        <v>116</v>
      </c>
      <c r="E17" s="16">
        <v>142</v>
      </c>
      <c r="F17" s="16">
        <v>77.7</v>
      </c>
      <c r="G17" s="16">
        <v>7.7</v>
      </c>
      <c r="H17" s="16">
        <v>8.8000000000000007</v>
      </c>
      <c r="I17" s="16">
        <v>15.14</v>
      </c>
      <c r="J17" s="16">
        <v>0.86</v>
      </c>
      <c r="K17" s="16">
        <v>7</v>
      </c>
      <c r="L17" s="16">
        <v>9</v>
      </c>
      <c r="M17" s="16">
        <v>3</v>
      </c>
      <c r="N17" s="16">
        <v>36</v>
      </c>
      <c r="O17" s="18">
        <v>6</v>
      </c>
      <c r="P17" s="18">
        <v>3.6219999999999999</v>
      </c>
      <c r="Q17" s="18">
        <v>3.0539999999999998</v>
      </c>
      <c r="R17" s="16">
        <v>47.8</v>
      </c>
      <c r="S17" s="18">
        <v>2.0373795761078997</v>
      </c>
    </row>
    <row r="18" spans="1:19" ht="15.5" x14ac:dyDescent="0.35">
      <c r="A18" s="16" t="s">
        <v>288</v>
      </c>
      <c r="B18" s="16">
        <v>15</v>
      </c>
      <c r="C18" s="16">
        <v>103</v>
      </c>
      <c r="D18" s="16">
        <v>108</v>
      </c>
      <c r="E18" s="16">
        <v>138</v>
      </c>
      <c r="F18" s="16">
        <v>99</v>
      </c>
      <c r="G18" s="16">
        <v>16.899999999999999</v>
      </c>
      <c r="H18" s="16">
        <v>8.18</v>
      </c>
      <c r="I18" s="16">
        <v>15.440000000000001</v>
      </c>
      <c r="J18" s="16">
        <v>0.9</v>
      </c>
      <c r="K18" s="16">
        <v>8</v>
      </c>
      <c r="L18" s="16">
        <v>9</v>
      </c>
      <c r="M18" s="16">
        <v>3</v>
      </c>
      <c r="N18" s="16">
        <v>34</v>
      </c>
      <c r="O18" s="18">
        <v>6.0020000000000007</v>
      </c>
      <c r="P18" s="18">
        <v>3.44</v>
      </c>
      <c r="Q18" s="18">
        <v>2.718</v>
      </c>
      <c r="R18" s="16">
        <v>40.4</v>
      </c>
      <c r="S18" s="18">
        <v>0.86879897238278747</v>
      </c>
    </row>
    <row r="19" spans="1:19" ht="15.5" x14ac:dyDescent="0.35">
      <c r="A19" s="16" t="s">
        <v>289</v>
      </c>
      <c r="B19" s="16">
        <v>15</v>
      </c>
      <c r="C19" s="16">
        <v>99</v>
      </c>
      <c r="D19" s="16">
        <v>106</v>
      </c>
      <c r="E19" s="16">
        <v>132</v>
      </c>
      <c r="F19" s="16">
        <v>89.5</v>
      </c>
      <c r="G19" s="16">
        <v>17.5</v>
      </c>
      <c r="H19" s="16">
        <v>9.379999999999999</v>
      </c>
      <c r="I19" s="16">
        <v>15.959999999999999</v>
      </c>
      <c r="J19" s="16">
        <v>0.9</v>
      </c>
      <c r="K19" s="16">
        <v>8</v>
      </c>
      <c r="L19" s="16">
        <v>9</v>
      </c>
      <c r="M19" s="16">
        <v>3</v>
      </c>
      <c r="N19" s="16">
        <v>32</v>
      </c>
      <c r="O19" s="18">
        <v>6.7959999999999994</v>
      </c>
      <c r="P19" s="18">
        <v>3.5100000000000002</v>
      </c>
      <c r="Q19" s="18">
        <v>2.87</v>
      </c>
      <c r="R19" s="16">
        <v>44.6</v>
      </c>
      <c r="S19" s="18">
        <v>0.52312138728323698</v>
      </c>
    </row>
    <row r="20" spans="1:19" ht="15.5" x14ac:dyDescent="0.35">
      <c r="A20" s="16" t="s">
        <v>290</v>
      </c>
      <c r="B20" s="16">
        <v>15</v>
      </c>
      <c r="C20" s="16">
        <v>102</v>
      </c>
      <c r="D20" s="16">
        <v>108</v>
      </c>
      <c r="E20" s="16">
        <v>134</v>
      </c>
      <c r="F20" s="16">
        <v>113.47999999999999</v>
      </c>
      <c r="G20" s="16">
        <v>24.4</v>
      </c>
      <c r="H20" s="16">
        <v>8.36</v>
      </c>
      <c r="I20" s="16">
        <v>15.419999999999998</v>
      </c>
      <c r="J20" s="16">
        <v>0.9</v>
      </c>
      <c r="K20" s="16">
        <v>7</v>
      </c>
      <c r="L20" s="16">
        <v>10</v>
      </c>
      <c r="M20" s="16">
        <v>3</v>
      </c>
      <c r="N20" s="16">
        <v>38</v>
      </c>
      <c r="O20" s="18">
        <v>6.14</v>
      </c>
      <c r="P20" s="18">
        <v>3.3739999999999997</v>
      </c>
      <c r="Q20" s="18">
        <v>2.552</v>
      </c>
      <c r="R20" s="16">
        <v>35.9</v>
      </c>
      <c r="S20" s="18">
        <v>0.75895953757225443</v>
      </c>
    </row>
    <row r="21" spans="1:19" ht="15.5" x14ac:dyDescent="0.35">
      <c r="A21" s="16" t="s">
        <v>291</v>
      </c>
      <c r="B21" s="16">
        <v>15</v>
      </c>
      <c r="C21" s="16">
        <v>125</v>
      </c>
      <c r="D21" s="16">
        <v>135</v>
      </c>
      <c r="E21" s="16">
        <v>161</v>
      </c>
      <c r="F21" s="16">
        <v>65.7</v>
      </c>
      <c r="G21" s="16">
        <v>12.120000000000001</v>
      </c>
      <c r="H21" s="16">
        <v>9.5</v>
      </c>
      <c r="I21" s="16">
        <v>19.2</v>
      </c>
      <c r="J21" s="16">
        <v>1.1599999999999999</v>
      </c>
      <c r="K21" s="16">
        <v>6</v>
      </c>
      <c r="L21" s="16">
        <v>10</v>
      </c>
      <c r="M21" s="16">
        <v>3</v>
      </c>
      <c r="N21" s="16">
        <v>50</v>
      </c>
      <c r="O21" s="18">
        <v>6.266</v>
      </c>
      <c r="P21" s="18">
        <v>3.4559999999999995</v>
      </c>
      <c r="Q21" s="18">
        <v>3.2320000000000002</v>
      </c>
      <c r="R21" s="16">
        <v>32.5</v>
      </c>
      <c r="S21" s="18">
        <v>0.56231213872832375</v>
      </c>
    </row>
    <row r="22" spans="1:19" ht="15.5" x14ac:dyDescent="0.35">
      <c r="A22" s="16" t="s">
        <v>292</v>
      </c>
      <c r="B22" s="16">
        <v>15</v>
      </c>
      <c r="C22" s="16">
        <v>102</v>
      </c>
      <c r="D22" s="16">
        <v>108</v>
      </c>
      <c r="E22" s="16">
        <v>136</v>
      </c>
      <c r="F22" s="16">
        <v>116.32000000000001</v>
      </c>
      <c r="G22" s="16">
        <v>28.48</v>
      </c>
      <c r="H22" s="16">
        <v>8.4</v>
      </c>
      <c r="I22" s="16">
        <v>14.919999999999998</v>
      </c>
      <c r="J22" s="16">
        <v>0.78</v>
      </c>
      <c r="K22" s="16">
        <v>17</v>
      </c>
      <c r="L22" s="16">
        <v>10</v>
      </c>
      <c r="M22" s="16">
        <v>3</v>
      </c>
      <c r="N22" s="16">
        <v>43</v>
      </c>
      <c r="O22" s="18">
        <v>5.7720000000000002</v>
      </c>
      <c r="P22" s="18">
        <v>3.4659999999999997</v>
      </c>
      <c r="Q22" s="18">
        <v>3.1520000000000001</v>
      </c>
      <c r="R22" s="16">
        <v>33.4</v>
      </c>
      <c r="S22" s="18">
        <v>0.76691072575465635</v>
      </c>
    </row>
    <row r="23" spans="1:19" ht="15.5" x14ac:dyDescent="0.35">
      <c r="A23" s="16" t="s">
        <v>293</v>
      </c>
      <c r="B23" s="16">
        <v>15</v>
      </c>
      <c r="C23" s="16">
        <v>106</v>
      </c>
      <c r="D23" s="16">
        <v>110</v>
      </c>
      <c r="E23" s="16">
        <v>135</v>
      </c>
      <c r="F23" s="16">
        <v>108.43999999999998</v>
      </c>
      <c r="G23" s="16">
        <v>18.2</v>
      </c>
      <c r="H23" s="16">
        <v>7.7</v>
      </c>
      <c r="I23" s="16">
        <v>14.219999999999999</v>
      </c>
      <c r="J23" s="16">
        <v>1</v>
      </c>
      <c r="K23" s="16">
        <v>10</v>
      </c>
      <c r="L23" s="16">
        <v>9</v>
      </c>
      <c r="M23" s="16">
        <v>3</v>
      </c>
      <c r="N23" s="16">
        <v>37</v>
      </c>
      <c r="O23" s="18">
        <v>5.7280000000000006</v>
      </c>
      <c r="P23" s="18">
        <v>3.2939999999999996</v>
      </c>
      <c r="Q23" s="18">
        <v>2.6280000000000001</v>
      </c>
      <c r="R23" s="16">
        <v>34.6</v>
      </c>
      <c r="S23" s="18">
        <v>1.0046628131021194</v>
      </c>
    </row>
    <row r="24" spans="1:19" ht="15.5" x14ac:dyDescent="0.35">
      <c r="A24" s="16" t="s">
        <v>294</v>
      </c>
      <c r="B24" s="16">
        <v>15</v>
      </c>
      <c r="C24" s="16">
        <v>102</v>
      </c>
      <c r="D24" s="16">
        <v>108</v>
      </c>
      <c r="E24" s="16">
        <v>134</v>
      </c>
      <c r="F24" s="16">
        <v>92.6</v>
      </c>
      <c r="G24" s="16">
        <v>17.600000000000001</v>
      </c>
      <c r="H24" s="16">
        <v>7.4</v>
      </c>
      <c r="I24" s="16">
        <v>11.8</v>
      </c>
      <c r="J24" s="16">
        <v>1.0599999999999998</v>
      </c>
      <c r="K24" s="16">
        <v>6</v>
      </c>
      <c r="L24" s="16">
        <v>9</v>
      </c>
      <c r="M24" s="16">
        <v>2</v>
      </c>
      <c r="N24" s="16">
        <v>34</v>
      </c>
      <c r="O24" s="18">
        <v>5.8179999999999996</v>
      </c>
      <c r="P24" s="18">
        <v>3.3099999999999996</v>
      </c>
      <c r="Q24" s="18">
        <v>2.8479999999999999</v>
      </c>
      <c r="R24" s="16">
        <v>34.700000000000003</v>
      </c>
      <c r="S24" s="18">
        <v>0.78403339755940904</v>
      </c>
    </row>
    <row r="25" spans="1:19" ht="15.5" x14ac:dyDescent="0.35">
      <c r="A25" s="16" t="s">
        <v>295</v>
      </c>
      <c r="B25" s="16">
        <v>15</v>
      </c>
      <c r="C25" s="16">
        <v>106</v>
      </c>
      <c r="D25" s="16">
        <v>111</v>
      </c>
      <c r="E25" s="16">
        <v>140</v>
      </c>
      <c r="F25" s="16">
        <v>86.4</v>
      </c>
      <c r="G25" s="16">
        <v>7.38</v>
      </c>
      <c r="H25" s="16">
        <v>12.4</v>
      </c>
      <c r="I25" s="16">
        <v>13.8</v>
      </c>
      <c r="J25" s="16">
        <v>1.1400000000000001</v>
      </c>
      <c r="K25" s="16">
        <v>5</v>
      </c>
      <c r="L25" s="16">
        <v>10</v>
      </c>
      <c r="M25" s="16">
        <v>4</v>
      </c>
      <c r="N25" s="16">
        <v>52</v>
      </c>
      <c r="O25" s="18">
        <v>6.94</v>
      </c>
      <c r="P25" s="18">
        <v>3.5980000000000003</v>
      </c>
      <c r="Q25" s="18">
        <v>2.6459999999999999</v>
      </c>
      <c r="R25" s="16">
        <v>52.6</v>
      </c>
      <c r="S25" s="18">
        <v>1.3063583815028901</v>
      </c>
    </row>
    <row r="26" spans="1:19" ht="15.5" x14ac:dyDescent="0.35">
      <c r="A26" s="16" t="s">
        <v>150</v>
      </c>
      <c r="B26" s="16">
        <v>15</v>
      </c>
      <c r="C26" s="16">
        <v>122</v>
      </c>
      <c r="D26" s="16">
        <v>134</v>
      </c>
      <c r="E26" s="16">
        <v>161</v>
      </c>
      <c r="F26" s="16">
        <v>104.85999999999999</v>
      </c>
      <c r="G26" s="16">
        <v>24.5</v>
      </c>
      <c r="H26" s="16">
        <v>10.3</v>
      </c>
      <c r="I26" s="16">
        <v>16.34</v>
      </c>
      <c r="J26" s="16">
        <v>0.96</v>
      </c>
      <c r="K26" s="16">
        <v>11</v>
      </c>
      <c r="L26" s="16">
        <v>9</v>
      </c>
      <c r="M26" s="16">
        <v>3</v>
      </c>
      <c r="N26" s="16">
        <v>39</v>
      </c>
      <c r="O26" s="18">
        <v>6.3239999999999998</v>
      </c>
      <c r="P26" s="18">
        <v>3.07</v>
      </c>
      <c r="Q26" s="18">
        <v>2.552</v>
      </c>
      <c r="R26" s="16">
        <v>35.700000000000003</v>
      </c>
      <c r="S26" s="18">
        <v>1.0113680154142581</v>
      </c>
    </row>
    <row r="27" spans="1:19" ht="15.5" x14ac:dyDescent="0.35">
      <c r="A27" s="16" t="s">
        <v>296</v>
      </c>
      <c r="B27" s="16">
        <v>15</v>
      </c>
      <c r="C27" s="16">
        <v>106</v>
      </c>
      <c r="D27" s="16">
        <v>111</v>
      </c>
      <c r="E27" s="16">
        <v>140</v>
      </c>
      <c r="F27" s="16">
        <v>97.9</v>
      </c>
      <c r="G27" s="16">
        <v>11.9</v>
      </c>
      <c r="H27" s="16">
        <v>11.4</v>
      </c>
      <c r="I27" s="16">
        <v>11.86</v>
      </c>
      <c r="J27" s="16">
        <v>1.1000000000000001</v>
      </c>
      <c r="K27" s="16">
        <v>5</v>
      </c>
      <c r="L27" s="16">
        <v>11</v>
      </c>
      <c r="M27" s="16">
        <v>3</v>
      </c>
      <c r="N27" s="16">
        <v>48</v>
      </c>
      <c r="O27" s="18">
        <v>6.4819999999999993</v>
      </c>
      <c r="P27" s="18">
        <v>3.3939999999999997</v>
      </c>
      <c r="Q27" s="18">
        <v>2.6239999999999997</v>
      </c>
      <c r="R27" s="16">
        <v>48.8</v>
      </c>
      <c r="S27" s="18">
        <v>1.5873346178548491</v>
      </c>
    </row>
    <row r="28" spans="1:19" ht="15.5" x14ac:dyDescent="0.35">
      <c r="A28" s="16" t="s">
        <v>297</v>
      </c>
      <c r="B28" s="16">
        <v>15</v>
      </c>
      <c r="C28" s="16">
        <v>104</v>
      </c>
      <c r="D28" s="16">
        <v>109</v>
      </c>
      <c r="E28" s="16">
        <v>138</v>
      </c>
      <c r="F28" s="16">
        <v>96.84</v>
      </c>
      <c r="G28" s="16">
        <v>16.080000000000002</v>
      </c>
      <c r="H28" s="16">
        <v>7.88</v>
      </c>
      <c r="I28" s="16">
        <v>11.180000000000001</v>
      </c>
      <c r="J28" s="16">
        <v>1.04</v>
      </c>
      <c r="K28" s="16">
        <v>10</v>
      </c>
      <c r="L28" s="16">
        <v>9</v>
      </c>
      <c r="M28" s="16">
        <v>3</v>
      </c>
      <c r="N28" s="16">
        <v>37</v>
      </c>
      <c r="O28" s="18">
        <v>5.9459999999999997</v>
      </c>
      <c r="P28" s="18">
        <v>3.0300000000000002</v>
      </c>
      <c r="Q28" s="18">
        <v>2.944</v>
      </c>
      <c r="R28" s="16">
        <v>35.299999999999997</v>
      </c>
      <c r="S28" s="18">
        <v>2.1156069364161847</v>
      </c>
    </row>
    <row r="29" spans="1:19" ht="15.5" x14ac:dyDescent="0.35">
      <c r="A29" s="16" t="s">
        <v>298</v>
      </c>
      <c r="B29" s="16">
        <v>15</v>
      </c>
      <c r="C29" s="16">
        <v>108</v>
      </c>
      <c r="D29" s="16">
        <v>111</v>
      </c>
      <c r="E29" s="16">
        <v>161</v>
      </c>
      <c r="F29" s="16">
        <v>103.17999999999999</v>
      </c>
      <c r="G29" s="16">
        <v>16.100000000000001</v>
      </c>
      <c r="H29" s="16">
        <v>7.1</v>
      </c>
      <c r="I29" s="16">
        <v>9.2800000000000011</v>
      </c>
      <c r="J29" s="16">
        <v>0.77999999999999992</v>
      </c>
      <c r="K29" s="16">
        <v>12</v>
      </c>
      <c r="L29" s="16">
        <v>8</v>
      </c>
      <c r="M29" s="16">
        <v>3</v>
      </c>
      <c r="N29" s="16">
        <v>36</v>
      </c>
      <c r="O29" s="18">
        <v>5.1580000000000004</v>
      </c>
      <c r="P29" s="18">
        <v>2.4479999999999995</v>
      </c>
      <c r="Q29" s="18">
        <v>2.0140000000000002</v>
      </c>
      <c r="R29" s="16">
        <v>21.8</v>
      </c>
      <c r="S29" s="18">
        <v>1.4582658959537573</v>
      </c>
    </row>
    <row r="30" spans="1:19" ht="15.5" x14ac:dyDescent="0.35">
      <c r="A30" s="16" t="s">
        <v>299</v>
      </c>
      <c r="B30" s="16">
        <v>18</v>
      </c>
      <c r="C30" s="16">
        <v>130</v>
      </c>
      <c r="D30" s="16">
        <v>142</v>
      </c>
      <c r="E30" s="16">
        <v>146</v>
      </c>
      <c r="F30" s="16">
        <v>106.96</v>
      </c>
      <c r="G30" s="16">
        <v>20.5</v>
      </c>
      <c r="H30" s="16">
        <v>12</v>
      </c>
      <c r="I30" s="16">
        <v>11.32</v>
      </c>
      <c r="J30" s="16">
        <v>1</v>
      </c>
      <c r="K30" s="16">
        <v>8</v>
      </c>
      <c r="L30" s="16">
        <v>10</v>
      </c>
      <c r="M30" s="16">
        <v>3</v>
      </c>
      <c r="N30" s="16">
        <v>46</v>
      </c>
      <c r="O30" s="18">
        <v>6.0000000000000009</v>
      </c>
      <c r="P30" s="18">
        <v>2.6079999999999997</v>
      </c>
      <c r="Q30" s="18">
        <v>2.282</v>
      </c>
      <c r="R30" s="16">
        <v>29.7</v>
      </c>
      <c r="S30" s="18">
        <v>2.4870905587668597</v>
      </c>
    </row>
    <row r="31" spans="1:19" ht="15.5" x14ac:dyDescent="0.35">
      <c r="A31" s="16" t="s">
        <v>300</v>
      </c>
      <c r="B31" s="16">
        <v>15</v>
      </c>
      <c r="C31" s="16">
        <v>108</v>
      </c>
      <c r="D31" s="16">
        <v>112</v>
      </c>
      <c r="E31" s="16">
        <v>140</v>
      </c>
      <c r="F31" s="16">
        <v>87.2</v>
      </c>
      <c r="G31" s="16">
        <v>12.5</v>
      </c>
      <c r="H31" s="16">
        <v>9.9</v>
      </c>
      <c r="I31" s="16">
        <v>11.24</v>
      </c>
      <c r="J31" s="16">
        <v>1.06</v>
      </c>
      <c r="K31" s="16">
        <v>4</v>
      </c>
      <c r="L31" s="16">
        <v>10</v>
      </c>
      <c r="M31" s="16">
        <v>4</v>
      </c>
      <c r="N31" s="16">
        <v>54</v>
      </c>
      <c r="O31" s="18">
        <v>5.8100000000000005</v>
      </c>
      <c r="P31" s="18">
        <v>3.0059999999999998</v>
      </c>
      <c r="Q31" s="18">
        <v>2.6020000000000003</v>
      </c>
      <c r="R31" s="16">
        <v>38.4</v>
      </c>
      <c r="S31" s="18">
        <v>1.3512652536929992</v>
      </c>
    </row>
    <row r="32" spans="1:19" ht="15.5" x14ac:dyDescent="0.35">
      <c r="A32" s="16" t="s">
        <v>301</v>
      </c>
      <c r="B32" s="16">
        <v>15</v>
      </c>
      <c r="C32" s="16">
        <v>108</v>
      </c>
      <c r="D32" s="16">
        <v>111</v>
      </c>
      <c r="E32" s="16">
        <v>140</v>
      </c>
      <c r="F32" s="16">
        <v>87.4</v>
      </c>
      <c r="G32" s="16">
        <v>13.1</v>
      </c>
      <c r="H32" s="16">
        <v>9.9</v>
      </c>
      <c r="I32" s="16">
        <v>10.120000000000001</v>
      </c>
      <c r="J32" s="16">
        <v>1.06</v>
      </c>
      <c r="K32" s="16">
        <v>5</v>
      </c>
      <c r="L32" s="16">
        <v>10</v>
      </c>
      <c r="M32" s="16">
        <v>3</v>
      </c>
      <c r="N32" s="16">
        <v>48</v>
      </c>
      <c r="O32" s="18">
        <v>5.7539999999999996</v>
      </c>
      <c r="P32" s="18">
        <v>2.9859999999999998</v>
      </c>
      <c r="Q32" s="18">
        <v>2.468</v>
      </c>
      <c r="R32" s="16">
        <v>39.1</v>
      </c>
      <c r="S32" s="18">
        <v>1.2745022479126527</v>
      </c>
    </row>
    <row r="33" spans="1:19" ht="15.5" x14ac:dyDescent="0.35">
      <c r="A33" s="16" t="s">
        <v>302</v>
      </c>
      <c r="B33" s="16">
        <v>18</v>
      </c>
      <c r="C33" s="16">
        <v>114</v>
      </c>
      <c r="D33" s="16">
        <v>117</v>
      </c>
      <c r="E33" s="16">
        <v>146</v>
      </c>
      <c r="F33" s="16">
        <v>75.599999999999994</v>
      </c>
      <c r="G33" s="16">
        <v>7.8</v>
      </c>
      <c r="H33" s="16">
        <v>9.3000000000000007</v>
      </c>
      <c r="I33" s="16">
        <v>12.84</v>
      </c>
      <c r="J33" s="16">
        <v>1.3199999999999998</v>
      </c>
      <c r="K33" s="16">
        <v>7</v>
      </c>
      <c r="L33" s="16">
        <v>9</v>
      </c>
      <c r="M33" s="16">
        <v>4</v>
      </c>
      <c r="N33" s="16">
        <v>45</v>
      </c>
      <c r="O33" s="18">
        <v>5.9799999999999995</v>
      </c>
      <c r="P33" s="18">
        <v>3.5839999999999996</v>
      </c>
      <c r="Q33" s="18">
        <v>3.028</v>
      </c>
      <c r="R33" s="16">
        <v>46.8</v>
      </c>
      <c r="S33" s="18">
        <v>1.7069749518304431</v>
      </c>
    </row>
    <row r="34" spans="1:19" ht="15.5" x14ac:dyDescent="0.35">
      <c r="A34" s="16" t="s">
        <v>303</v>
      </c>
      <c r="B34" s="16">
        <v>18</v>
      </c>
      <c r="C34" s="16">
        <v>106</v>
      </c>
      <c r="D34" s="16">
        <v>111</v>
      </c>
      <c r="E34" s="16">
        <v>145</v>
      </c>
      <c r="F34" s="16">
        <v>88.2</v>
      </c>
      <c r="G34" s="16">
        <v>13.4</v>
      </c>
      <c r="H34" s="16">
        <v>7.8</v>
      </c>
      <c r="I34" s="16">
        <v>9.6999999999999993</v>
      </c>
      <c r="J34" s="16">
        <v>0.8</v>
      </c>
      <c r="K34" s="16">
        <v>6</v>
      </c>
      <c r="L34" s="16">
        <v>9</v>
      </c>
      <c r="M34" s="16">
        <v>3</v>
      </c>
      <c r="N34" s="16">
        <v>39</v>
      </c>
      <c r="O34" s="18">
        <v>5.8739999999999997</v>
      </c>
      <c r="P34" s="18">
        <v>3.2339999999999995</v>
      </c>
      <c r="Q34" s="18">
        <v>2.5920000000000001</v>
      </c>
      <c r="R34" s="16">
        <v>31.7</v>
      </c>
      <c r="S34" s="18">
        <v>1.8497109826589597</v>
      </c>
    </row>
    <row r="35" spans="1:19" ht="15.5" x14ac:dyDescent="0.35">
      <c r="A35" s="16" t="s">
        <v>159</v>
      </c>
      <c r="B35" s="16">
        <v>18</v>
      </c>
      <c r="C35" s="16">
        <v>126</v>
      </c>
      <c r="D35" s="16">
        <v>145</v>
      </c>
      <c r="E35" s="16">
        <v>146</v>
      </c>
      <c r="F35" s="16">
        <v>95.97999999999999</v>
      </c>
      <c r="G35" s="16">
        <v>12.7</v>
      </c>
      <c r="H35" s="16">
        <v>13.14</v>
      </c>
      <c r="I35" s="16">
        <v>13.4</v>
      </c>
      <c r="J35" s="16">
        <v>0.92000000000000015</v>
      </c>
      <c r="K35" s="16">
        <v>7</v>
      </c>
      <c r="L35" s="16">
        <v>12</v>
      </c>
      <c r="M35" s="16">
        <v>3</v>
      </c>
      <c r="N35" s="16">
        <v>48</v>
      </c>
      <c r="O35" s="18">
        <v>6.6599999999999993</v>
      </c>
      <c r="P35" s="18">
        <v>2.972</v>
      </c>
      <c r="Q35" s="18">
        <v>2.5439999999999996</v>
      </c>
      <c r="R35" s="16">
        <v>37.5</v>
      </c>
      <c r="S35" s="18">
        <v>0.66115606936416182</v>
      </c>
    </row>
    <row r="36" spans="1:19" ht="15.5" x14ac:dyDescent="0.35">
      <c r="A36" s="16" t="s">
        <v>304</v>
      </c>
      <c r="B36" s="16">
        <v>15</v>
      </c>
      <c r="C36" s="16">
        <v>106</v>
      </c>
      <c r="D36" s="16">
        <v>112</v>
      </c>
      <c r="E36" s="16">
        <v>140</v>
      </c>
      <c r="F36" s="16">
        <v>104.62</v>
      </c>
      <c r="G36" s="16">
        <v>17.100000000000001</v>
      </c>
      <c r="H36" s="16">
        <v>8.5</v>
      </c>
      <c r="I36" s="16">
        <v>10.5</v>
      </c>
      <c r="J36" s="16">
        <v>0.86</v>
      </c>
      <c r="K36" s="16">
        <v>7</v>
      </c>
      <c r="L36" s="16">
        <v>10</v>
      </c>
      <c r="M36" s="16">
        <v>3</v>
      </c>
      <c r="N36" s="16">
        <v>45</v>
      </c>
      <c r="O36" s="18">
        <v>5.2460000000000004</v>
      </c>
      <c r="P36" s="18">
        <v>3.1859999999999999</v>
      </c>
      <c r="Q36" s="18">
        <v>2.41</v>
      </c>
      <c r="R36" s="16">
        <v>31.8</v>
      </c>
      <c r="S36" s="18">
        <v>1.9450738599871547</v>
      </c>
    </row>
    <row r="37" spans="1:19" ht="15.5" x14ac:dyDescent="0.35">
      <c r="A37" s="16" t="s">
        <v>305</v>
      </c>
      <c r="B37" s="16">
        <v>15</v>
      </c>
      <c r="C37" s="16">
        <v>106</v>
      </c>
      <c r="D37" s="16">
        <v>111</v>
      </c>
      <c r="E37" s="16">
        <v>140</v>
      </c>
      <c r="F37" s="16">
        <v>96.44</v>
      </c>
      <c r="G37" s="16">
        <v>18.399999999999999</v>
      </c>
      <c r="H37" s="16">
        <v>7.1400000000000006</v>
      </c>
      <c r="I37" s="16">
        <v>9.5</v>
      </c>
      <c r="J37" s="16">
        <v>0.96</v>
      </c>
      <c r="K37" s="16">
        <v>15</v>
      </c>
      <c r="L37" s="16">
        <v>9</v>
      </c>
      <c r="M37" s="16">
        <v>3</v>
      </c>
      <c r="N37" s="16">
        <v>45</v>
      </c>
      <c r="O37" s="18">
        <v>5.4040000000000008</v>
      </c>
      <c r="P37" s="18">
        <v>2.75</v>
      </c>
      <c r="Q37" s="18">
        <v>2.4239999999999999</v>
      </c>
      <c r="R37" s="16">
        <v>24.9</v>
      </c>
      <c r="S37" s="18">
        <v>1.6513423249839434</v>
      </c>
    </row>
    <row r="38" spans="1:19" ht="15.5" x14ac:dyDescent="0.35">
      <c r="A38" s="16" t="s">
        <v>162</v>
      </c>
      <c r="B38" s="16">
        <v>15</v>
      </c>
      <c r="C38" s="16">
        <v>108</v>
      </c>
      <c r="D38" s="16">
        <v>111</v>
      </c>
      <c r="E38" s="16">
        <v>145</v>
      </c>
      <c r="F38" s="16">
        <v>82.2</v>
      </c>
      <c r="G38" s="16">
        <v>6.44</v>
      </c>
      <c r="H38" s="16">
        <v>12.3</v>
      </c>
      <c r="I38" s="16">
        <v>8.98</v>
      </c>
      <c r="J38" s="16">
        <v>0.9</v>
      </c>
      <c r="K38" s="16">
        <v>9</v>
      </c>
      <c r="L38" s="16">
        <v>11</v>
      </c>
      <c r="M38" s="16">
        <v>3</v>
      </c>
      <c r="N38" s="16">
        <v>47</v>
      </c>
      <c r="O38" s="18">
        <v>6.1479999999999988</v>
      </c>
      <c r="P38" s="18">
        <v>3.044</v>
      </c>
      <c r="Q38" s="18">
        <v>2.3360000000000003</v>
      </c>
      <c r="R38" s="16">
        <v>34.1</v>
      </c>
      <c r="S38" s="18">
        <v>1.5890944123314068</v>
      </c>
    </row>
    <row r="39" spans="1:19" ht="15.5" x14ac:dyDescent="0.35">
      <c r="A39" s="16" t="s">
        <v>306</v>
      </c>
      <c r="B39" s="16">
        <v>15</v>
      </c>
      <c r="C39" s="16">
        <v>106</v>
      </c>
      <c r="D39" s="16">
        <v>111</v>
      </c>
      <c r="E39" s="16">
        <v>140</v>
      </c>
      <c r="F39" s="16">
        <v>95.3</v>
      </c>
      <c r="G39" s="16">
        <v>15.7</v>
      </c>
      <c r="H39" s="16">
        <v>7.7</v>
      </c>
      <c r="I39" s="16">
        <v>8.08</v>
      </c>
      <c r="J39" s="16">
        <v>0.88000000000000012</v>
      </c>
      <c r="K39" s="16">
        <v>7</v>
      </c>
      <c r="L39" s="16">
        <v>10</v>
      </c>
      <c r="M39" s="16">
        <v>3</v>
      </c>
      <c r="N39" s="16">
        <v>45</v>
      </c>
      <c r="O39" s="18">
        <v>5.31</v>
      </c>
      <c r="P39" s="18">
        <v>2.952</v>
      </c>
      <c r="Q39" s="18">
        <v>2.444</v>
      </c>
      <c r="R39" s="16">
        <v>30.7</v>
      </c>
      <c r="S39" s="18">
        <v>1.3848940269749519</v>
      </c>
    </row>
    <row r="40" spans="1:19" ht="15.5" x14ac:dyDescent="0.35">
      <c r="A40" s="16" t="s">
        <v>307</v>
      </c>
      <c r="B40" s="16">
        <v>15</v>
      </c>
      <c r="C40" s="16">
        <v>106</v>
      </c>
      <c r="D40" s="16">
        <v>111</v>
      </c>
      <c r="E40" s="16">
        <v>138</v>
      </c>
      <c r="F40" s="16">
        <v>97.78</v>
      </c>
      <c r="G40" s="16">
        <v>16.559999999999999</v>
      </c>
      <c r="H40" s="16">
        <v>8.3000000000000007</v>
      </c>
      <c r="I40" s="16">
        <v>10.6</v>
      </c>
      <c r="J40" s="16">
        <v>0.96</v>
      </c>
      <c r="K40" s="16">
        <v>16</v>
      </c>
      <c r="L40" s="16">
        <v>9</v>
      </c>
      <c r="M40" s="16">
        <v>4</v>
      </c>
      <c r="N40" s="16">
        <v>51</v>
      </c>
      <c r="O40" s="18">
        <v>5.18</v>
      </c>
      <c r="P40" s="18">
        <v>2.5659999999999998</v>
      </c>
      <c r="Q40" s="18">
        <v>2.09</v>
      </c>
      <c r="R40" s="16">
        <v>26</v>
      </c>
      <c r="S40" s="18">
        <v>1.9559280667951187</v>
      </c>
    </row>
    <row r="41" spans="1:19" ht="15.5" x14ac:dyDescent="0.35">
      <c r="A41" s="16" t="s">
        <v>308</v>
      </c>
      <c r="B41" s="16">
        <v>15</v>
      </c>
      <c r="C41" s="16">
        <v>102</v>
      </c>
      <c r="D41" s="16">
        <v>108</v>
      </c>
      <c r="E41" s="16">
        <v>138</v>
      </c>
      <c r="F41" s="16">
        <v>72.201999999999998</v>
      </c>
      <c r="G41" s="16">
        <v>16.600000000000001</v>
      </c>
      <c r="H41" s="16">
        <v>7.6</v>
      </c>
      <c r="I41" s="16">
        <v>12.7</v>
      </c>
      <c r="J41" s="16">
        <v>1</v>
      </c>
      <c r="K41" s="16">
        <v>8</v>
      </c>
      <c r="L41" s="16">
        <v>9</v>
      </c>
      <c r="M41" s="16">
        <v>3</v>
      </c>
      <c r="N41" s="16">
        <v>39</v>
      </c>
      <c r="O41" s="18">
        <v>5.1539999999999999</v>
      </c>
      <c r="P41" s="18">
        <v>3.3200000000000003</v>
      </c>
      <c r="Q41" s="18">
        <v>2.6859999999999999</v>
      </c>
      <c r="R41" s="16">
        <v>36.700000000000003</v>
      </c>
      <c r="S41" s="18">
        <v>2.2312138728323698</v>
      </c>
    </row>
    <row r="42" spans="1:19" ht="15.5" x14ac:dyDescent="0.35">
      <c r="A42" s="16" t="s">
        <v>309</v>
      </c>
      <c r="B42" s="16">
        <v>15</v>
      </c>
      <c r="C42" s="16">
        <v>108</v>
      </c>
      <c r="D42" s="16">
        <v>111</v>
      </c>
      <c r="E42" s="16">
        <v>145</v>
      </c>
      <c r="F42" s="16">
        <v>82.6</v>
      </c>
      <c r="G42" s="16">
        <v>7.7</v>
      </c>
      <c r="H42" s="16">
        <v>11.6</v>
      </c>
      <c r="I42" s="16">
        <v>10.9</v>
      </c>
      <c r="J42" s="16">
        <v>1.0799999999999998</v>
      </c>
      <c r="K42" s="16">
        <v>5</v>
      </c>
      <c r="L42" s="16">
        <v>10</v>
      </c>
      <c r="M42" s="16">
        <v>3</v>
      </c>
      <c r="N42" s="16">
        <v>42</v>
      </c>
      <c r="O42" s="18">
        <v>6.7180000000000009</v>
      </c>
      <c r="P42" s="18">
        <v>3.7399999999999998</v>
      </c>
      <c r="Q42" s="18">
        <v>2.6399999999999997</v>
      </c>
      <c r="R42" s="16">
        <v>48.08</v>
      </c>
      <c r="S42" s="18">
        <v>1.3237764932562621</v>
      </c>
    </row>
    <row r="43" spans="1:19" ht="15.5" x14ac:dyDescent="0.35">
      <c r="A43" s="16" t="s">
        <v>310</v>
      </c>
      <c r="B43" s="16">
        <v>15</v>
      </c>
      <c r="C43" s="16">
        <v>106</v>
      </c>
      <c r="D43" s="16">
        <v>111</v>
      </c>
      <c r="E43" s="16">
        <v>143</v>
      </c>
      <c r="F43" s="16">
        <v>89.5</v>
      </c>
      <c r="G43" s="16">
        <v>10.16</v>
      </c>
      <c r="H43" s="16">
        <v>6.7200000000000006</v>
      </c>
      <c r="I43" s="16">
        <v>11.52</v>
      </c>
      <c r="J43" s="16">
        <v>0.9</v>
      </c>
      <c r="K43" s="16">
        <v>10</v>
      </c>
      <c r="L43" s="16">
        <v>9</v>
      </c>
      <c r="M43" s="16">
        <v>3</v>
      </c>
      <c r="N43" s="16">
        <v>42</v>
      </c>
      <c r="O43" s="18">
        <v>5.75</v>
      </c>
      <c r="P43" s="18">
        <v>3.3759999999999999</v>
      </c>
      <c r="Q43" s="18">
        <v>3.0460000000000003</v>
      </c>
      <c r="R43" s="16">
        <v>35.6</v>
      </c>
      <c r="S43" s="18">
        <v>1.9884393063583818</v>
      </c>
    </row>
    <row r="44" spans="1:19" ht="15.5" x14ac:dyDescent="0.35">
      <c r="A44" s="16" t="s">
        <v>311</v>
      </c>
      <c r="B44" s="16">
        <v>15</v>
      </c>
      <c r="C44" s="16">
        <v>109</v>
      </c>
      <c r="D44" s="16">
        <v>112</v>
      </c>
      <c r="E44" s="16">
        <v>142</v>
      </c>
      <c r="F44" s="16">
        <v>62.8</v>
      </c>
      <c r="G44" s="16">
        <v>5.8</v>
      </c>
      <c r="H44" s="16">
        <v>10.1</v>
      </c>
      <c r="I44" s="16">
        <v>9.82</v>
      </c>
      <c r="J44" s="16">
        <v>1.02</v>
      </c>
      <c r="K44" s="16">
        <v>4</v>
      </c>
      <c r="L44" s="16">
        <v>9</v>
      </c>
      <c r="M44" s="16">
        <v>3</v>
      </c>
      <c r="N44" s="16">
        <v>38</v>
      </c>
      <c r="O44" s="18">
        <v>6.0739999999999998</v>
      </c>
      <c r="P44" s="18">
        <v>3.4520000000000004</v>
      </c>
      <c r="Q44" s="18">
        <v>3.1619999999999999</v>
      </c>
      <c r="R44" s="16">
        <v>50.2</v>
      </c>
      <c r="S44" s="18">
        <v>2.1618497109826591</v>
      </c>
    </row>
    <row r="45" spans="1:19" ht="15.5" x14ac:dyDescent="0.35">
      <c r="A45" s="16" t="s">
        <v>312</v>
      </c>
      <c r="B45" s="16">
        <v>15</v>
      </c>
      <c r="C45" s="16">
        <v>110</v>
      </c>
      <c r="D45" s="16">
        <v>113</v>
      </c>
      <c r="E45" s="16">
        <v>142</v>
      </c>
      <c r="F45" s="16">
        <v>82.6</v>
      </c>
      <c r="G45" s="16">
        <v>12.7</v>
      </c>
      <c r="H45" s="16">
        <v>7</v>
      </c>
      <c r="I45" s="16">
        <v>12.7</v>
      </c>
      <c r="J45" s="16">
        <v>1.3599999999999999</v>
      </c>
      <c r="K45" s="16">
        <v>5</v>
      </c>
      <c r="L45" s="16">
        <v>9</v>
      </c>
      <c r="M45" s="16">
        <v>3</v>
      </c>
      <c r="N45" s="16">
        <v>40</v>
      </c>
      <c r="O45" s="18">
        <v>5.1219999999999999</v>
      </c>
      <c r="P45" s="18">
        <v>2.8519999999999999</v>
      </c>
      <c r="Q45" s="18">
        <v>2.2039999999999997</v>
      </c>
      <c r="R45" s="16">
        <v>21.7</v>
      </c>
      <c r="S45" s="18">
        <v>0.9143095696852922</v>
      </c>
    </row>
    <row r="46" spans="1:19" ht="15.5" x14ac:dyDescent="0.35">
      <c r="A46" s="16" t="s">
        <v>313</v>
      </c>
      <c r="B46" s="16">
        <v>15</v>
      </c>
      <c r="C46" s="16">
        <v>109</v>
      </c>
      <c r="D46" s="16">
        <v>112</v>
      </c>
      <c r="E46" s="16">
        <v>142</v>
      </c>
      <c r="F46" s="16">
        <v>68.8</v>
      </c>
      <c r="G46" s="16">
        <v>9.1999999999999993</v>
      </c>
      <c r="H46" s="16">
        <v>10.3</v>
      </c>
      <c r="I46" s="16">
        <v>12.059999999999999</v>
      </c>
      <c r="J46" s="16">
        <v>0.94000000000000006</v>
      </c>
      <c r="K46" s="16">
        <v>6</v>
      </c>
      <c r="L46" s="16">
        <v>10</v>
      </c>
      <c r="M46" s="16">
        <v>3</v>
      </c>
      <c r="N46" s="16">
        <v>51</v>
      </c>
      <c r="O46" s="18">
        <v>6.1980000000000004</v>
      </c>
      <c r="P46" s="18">
        <v>3.3120000000000003</v>
      </c>
      <c r="Q46" s="18">
        <v>2.8380000000000001</v>
      </c>
      <c r="R46" s="16">
        <v>37.299999999999997</v>
      </c>
      <c r="S46" s="18">
        <v>1.4109055876685936</v>
      </c>
    </row>
    <row r="47" spans="1:19" ht="15.5" x14ac:dyDescent="0.35">
      <c r="A47" s="16" t="s">
        <v>314</v>
      </c>
      <c r="B47" s="16">
        <v>15</v>
      </c>
      <c r="C47" s="16">
        <v>104</v>
      </c>
      <c r="D47" s="16">
        <v>110</v>
      </c>
      <c r="E47" s="16">
        <v>140</v>
      </c>
      <c r="F47" s="16">
        <v>96.820000000000007</v>
      </c>
      <c r="G47" s="16">
        <v>19.399999999999999</v>
      </c>
      <c r="H47" s="16">
        <v>8.9</v>
      </c>
      <c r="I47" s="16">
        <v>10.9</v>
      </c>
      <c r="J47" s="16">
        <v>1.3599999999999999</v>
      </c>
      <c r="K47" s="16">
        <v>9</v>
      </c>
      <c r="L47" s="16">
        <v>10</v>
      </c>
      <c r="M47" s="16">
        <v>3</v>
      </c>
      <c r="N47" s="16">
        <v>41</v>
      </c>
      <c r="O47" s="18">
        <v>5.6440000000000001</v>
      </c>
      <c r="P47" s="18">
        <v>3.3540000000000005</v>
      </c>
      <c r="Q47" s="18">
        <v>2.802</v>
      </c>
      <c r="R47" s="16">
        <v>42.4</v>
      </c>
      <c r="S47" s="18">
        <v>2.1867694283879255</v>
      </c>
    </row>
    <row r="48" spans="1:19" ht="15.5" x14ac:dyDescent="0.35">
      <c r="A48" s="16" t="s">
        <v>315</v>
      </c>
      <c r="B48" s="16">
        <v>15</v>
      </c>
      <c r="C48" s="16">
        <v>112</v>
      </c>
      <c r="D48" s="16">
        <v>114</v>
      </c>
      <c r="E48" s="16">
        <v>142</v>
      </c>
      <c r="F48" s="16">
        <v>95.8</v>
      </c>
      <c r="G48" s="16">
        <v>16.7</v>
      </c>
      <c r="H48" s="16">
        <v>8.3000000000000007</v>
      </c>
      <c r="I48" s="16">
        <v>13.080000000000002</v>
      </c>
      <c r="J48" s="16">
        <v>0.96</v>
      </c>
      <c r="K48" s="16">
        <v>7</v>
      </c>
      <c r="L48" s="16">
        <v>11</v>
      </c>
      <c r="M48" s="16">
        <v>3</v>
      </c>
      <c r="N48" s="16">
        <v>49</v>
      </c>
      <c r="O48" s="18">
        <v>5.4219999999999988</v>
      </c>
      <c r="P48" s="18">
        <v>2.8899999999999997</v>
      </c>
      <c r="Q48" s="18">
        <v>2.2359999999999998</v>
      </c>
      <c r="R48" s="16">
        <v>24.4</v>
      </c>
      <c r="S48" s="18">
        <v>1.0184971098265896</v>
      </c>
    </row>
    <row r="49" spans="1:19" ht="15.5" x14ac:dyDescent="0.35">
      <c r="A49" s="16" t="s">
        <v>316</v>
      </c>
      <c r="B49" s="16">
        <v>15</v>
      </c>
      <c r="C49" s="16">
        <v>102</v>
      </c>
      <c r="D49" s="16">
        <v>108</v>
      </c>
      <c r="E49" s="16">
        <v>135</v>
      </c>
      <c r="F49" s="16">
        <v>98.039999999999992</v>
      </c>
      <c r="G49" s="16">
        <v>23.8</v>
      </c>
      <c r="H49" s="16">
        <v>8.1</v>
      </c>
      <c r="I49" s="16">
        <v>12.4</v>
      </c>
      <c r="J49" s="16">
        <v>1</v>
      </c>
      <c r="K49" s="16">
        <v>7</v>
      </c>
      <c r="L49" s="16">
        <v>9</v>
      </c>
      <c r="M49" s="16">
        <v>2</v>
      </c>
      <c r="N49" s="16">
        <v>41</v>
      </c>
      <c r="O49" s="18">
        <v>5.2640000000000002</v>
      </c>
      <c r="P49" s="18">
        <v>3.1159999999999997</v>
      </c>
      <c r="Q49" s="18">
        <v>2.7639999999999998</v>
      </c>
      <c r="R49" s="16">
        <v>32.4</v>
      </c>
      <c r="S49" s="18">
        <v>1.8550802825947332</v>
      </c>
    </row>
    <row r="50" spans="1:19" ht="15.5" x14ac:dyDescent="0.35">
      <c r="A50" s="16" t="s">
        <v>317</v>
      </c>
      <c r="B50" s="16">
        <v>15</v>
      </c>
      <c r="C50" s="16">
        <v>100</v>
      </c>
      <c r="D50" s="16">
        <v>102</v>
      </c>
      <c r="E50" s="16">
        <v>146</v>
      </c>
      <c r="F50" s="16">
        <v>88.06</v>
      </c>
      <c r="G50" s="16">
        <v>13.9</v>
      </c>
      <c r="H50" s="16">
        <v>10.4</v>
      </c>
      <c r="I50" s="16">
        <v>10.680000000000001</v>
      </c>
      <c r="J50" s="16">
        <v>0.93999999999999984</v>
      </c>
      <c r="K50" s="16">
        <v>7</v>
      </c>
      <c r="L50" s="16">
        <v>8</v>
      </c>
      <c r="M50" s="16">
        <v>3</v>
      </c>
      <c r="N50" s="16">
        <v>38</v>
      </c>
      <c r="O50" s="18">
        <v>6.9959999999999996</v>
      </c>
      <c r="P50" s="18">
        <v>3.6159999999999997</v>
      </c>
      <c r="Q50" s="18">
        <v>3.15</v>
      </c>
      <c r="R50" s="16">
        <v>48.08</v>
      </c>
      <c r="S50" s="18">
        <v>1.5890944123314068</v>
      </c>
    </row>
    <row r="51" spans="1:19" ht="15.5" x14ac:dyDescent="0.35">
      <c r="A51" s="16" t="s">
        <v>318</v>
      </c>
      <c r="B51" s="16">
        <v>15</v>
      </c>
      <c r="C51" s="16">
        <v>102</v>
      </c>
      <c r="D51" s="16">
        <v>108</v>
      </c>
      <c r="E51" s="16">
        <v>136</v>
      </c>
      <c r="F51" s="16">
        <v>96.640000000000015</v>
      </c>
      <c r="G51" s="16">
        <v>21.7</v>
      </c>
      <c r="H51" s="16">
        <v>8.1999999999999993</v>
      </c>
      <c r="I51" s="16">
        <v>10.459999999999999</v>
      </c>
      <c r="J51" s="16">
        <v>0.96</v>
      </c>
      <c r="K51" s="16">
        <v>11</v>
      </c>
      <c r="L51" s="16">
        <v>9</v>
      </c>
      <c r="M51" s="16">
        <v>3</v>
      </c>
      <c r="N51" s="16">
        <v>35</v>
      </c>
      <c r="O51" s="18">
        <v>5.492</v>
      </c>
      <c r="P51" s="18">
        <v>2.996</v>
      </c>
      <c r="Q51" s="18">
        <v>2.3140000000000001</v>
      </c>
      <c r="R51" s="16">
        <v>28.7</v>
      </c>
      <c r="S51" s="18">
        <v>2.2749261400128451</v>
      </c>
    </row>
    <row r="52" spans="1:19" ht="15.5" x14ac:dyDescent="0.35">
      <c r="A52" s="16" t="s">
        <v>319</v>
      </c>
      <c r="B52" s="16">
        <v>15</v>
      </c>
      <c r="C52" s="16">
        <v>106</v>
      </c>
      <c r="D52" s="16">
        <v>110</v>
      </c>
      <c r="E52" s="16">
        <v>137</v>
      </c>
      <c r="F52" s="16">
        <v>95.8</v>
      </c>
      <c r="G52" s="16">
        <v>16.399999999999999</v>
      </c>
      <c r="H52" s="16">
        <v>8.1999999999999993</v>
      </c>
      <c r="I52" s="16">
        <v>12.76</v>
      </c>
      <c r="J52" s="16">
        <v>1.02</v>
      </c>
      <c r="K52" s="16">
        <v>6</v>
      </c>
      <c r="L52" s="16">
        <v>9</v>
      </c>
      <c r="M52" s="16">
        <v>3</v>
      </c>
      <c r="N52" s="16">
        <v>43</v>
      </c>
      <c r="O52" s="18">
        <v>5.3220000000000001</v>
      </c>
      <c r="P52" s="18">
        <v>2.9139999999999997</v>
      </c>
      <c r="Q52" s="18">
        <v>2.4859999999999998</v>
      </c>
      <c r="R52" s="16">
        <v>28.2</v>
      </c>
      <c r="S52" s="18">
        <v>1.5802954399486193</v>
      </c>
    </row>
    <row r="53" spans="1:19" ht="15.5" x14ac:dyDescent="0.35">
      <c r="A53" s="16" t="s">
        <v>320</v>
      </c>
      <c r="B53" s="16">
        <v>15</v>
      </c>
      <c r="C53" s="16">
        <v>109</v>
      </c>
      <c r="D53" s="16">
        <v>113</v>
      </c>
      <c r="E53" s="16">
        <v>146</v>
      </c>
      <c r="F53" s="16">
        <v>76.599999999999994</v>
      </c>
      <c r="G53" s="16">
        <v>7.6</v>
      </c>
      <c r="H53" s="16">
        <v>11.5</v>
      </c>
      <c r="I53" s="16">
        <v>12.2</v>
      </c>
      <c r="J53" s="16">
        <v>0.97999999999999987</v>
      </c>
      <c r="K53" s="16">
        <v>5</v>
      </c>
      <c r="L53" s="16">
        <v>10</v>
      </c>
      <c r="M53" s="16">
        <v>3</v>
      </c>
      <c r="N53" s="16">
        <v>45</v>
      </c>
      <c r="O53" s="18">
        <v>6.7159999999999993</v>
      </c>
      <c r="P53" s="18">
        <v>3.3920000000000003</v>
      </c>
      <c r="Q53" s="18">
        <v>2.5499999999999998</v>
      </c>
      <c r="R53" s="16">
        <v>47.5</v>
      </c>
      <c r="S53" s="18">
        <v>1.8624277456647402</v>
      </c>
    </row>
    <row r="54" spans="1:19" ht="15.5" x14ac:dyDescent="0.35">
      <c r="A54" s="16" t="s">
        <v>321</v>
      </c>
      <c r="B54" s="16">
        <v>15</v>
      </c>
      <c r="C54" s="16">
        <v>112</v>
      </c>
      <c r="D54" s="16">
        <v>115</v>
      </c>
      <c r="E54" s="16">
        <v>144</v>
      </c>
      <c r="F54" s="16">
        <v>97.039999999999992</v>
      </c>
      <c r="G54" s="16">
        <v>18.899999999999999</v>
      </c>
      <c r="H54" s="16">
        <v>7.8</v>
      </c>
      <c r="I54" s="16">
        <v>9.9599999999999991</v>
      </c>
      <c r="J54" s="16">
        <v>0.8</v>
      </c>
      <c r="K54" s="16">
        <v>7</v>
      </c>
      <c r="L54" s="16">
        <v>9</v>
      </c>
      <c r="M54" s="16">
        <v>3</v>
      </c>
      <c r="N54" s="16">
        <v>44</v>
      </c>
      <c r="O54" s="18">
        <v>5.3719999999999999</v>
      </c>
      <c r="P54" s="18">
        <v>2.6160000000000001</v>
      </c>
      <c r="Q54" s="18">
        <v>2.4239999999999999</v>
      </c>
      <c r="R54" s="16">
        <v>25.8</v>
      </c>
      <c r="S54" s="18">
        <v>1.2172639691714835</v>
      </c>
    </row>
    <row r="55" spans="1:19" ht="15.5" x14ac:dyDescent="0.35">
      <c r="A55" s="16" t="s">
        <v>322</v>
      </c>
      <c r="B55" s="16">
        <v>19</v>
      </c>
      <c r="C55" s="16">
        <v>102</v>
      </c>
      <c r="D55" s="16">
        <v>110</v>
      </c>
      <c r="E55" s="16">
        <v>141</v>
      </c>
      <c r="F55" s="16">
        <v>74</v>
      </c>
      <c r="G55" s="16">
        <v>9.1999999999999993</v>
      </c>
      <c r="H55" s="16">
        <v>10.7</v>
      </c>
      <c r="I55" s="16">
        <v>12.1</v>
      </c>
      <c r="J55" s="16">
        <v>0.9</v>
      </c>
      <c r="K55" s="16">
        <v>8</v>
      </c>
      <c r="L55" s="16">
        <v>10</v>
      </c>
      <c r="M55" s="16">
        <v>3</v>
      </c>
      <c r="N55" s="16">
        <v>37</v>
      </c>
      <c r="O55" s="18">
        <v>5.9680000000000009</v>
      </c>
      <c r="P55" s="18">
        <v>3.198</v>
      </c>
      <c r="Q55" s="18">
        <v>2.8920000000000003</v>
      </c>
      <c r="R55" s="16">
        <v>40.9</v>
      </c>
      <c r="S55" s="18">
        <v>0.92445728965960183</v>
      </c>
    </row>
    <row r="56" spans="1:19" ht="15.5" x14ac:dyDescent="0.35">
      <c r="A56" s="16" t="s">
        <v>323</v>
      </c>
      <c r="B56" s="16">
        <v>15</v>
      </c>
      <c r="C56" s="16">
        <v>110</v>
      </c>
      <c r="D56" s="16">
        <v>113</v>
      </c>
      <c r="E56" s="16">
        <v>146</v>
      </c>
      <c r="F56" s="16">
        <v>77.400000000000006</v>
      </c>
      <c r="G56" s="16">
        <v>7.5200000000000005</v>
      </c>
      <c r="H56" s="16">
        <v>12.1</v>
      </c>
      <c r="I56" s="16">
        <v>8.879999999999999</v>
      </c>
      <c r="J56" s="16">
        <v>0.74</v>
      </c>
      <c r="K56" s="16">
        <v>4</v>
      </c>
      <c r="L56" s="16">
        <v>10</v>
      </c>
      <c r="M56" s="16">
        <v>3</v>
      </c>
      <c r="N56" s="16">
        <v>44</v>
      </c>
      <c r="O56" s="18">
        <v>6.4259999999999993</v>
      </c>
      <c r="P56" s="18">
        <v>3.258</v>
      </c>
      <c r="Q56" s="18">
        <v>2.6420000000000003</v>
      </c>
      <c r="R56" s="16">
        <v>40.200000000000003</v>
      </c>
      <c r="S56" s="18">
        <v>1.8130122029543994</v>
      </c>
    </row>
    <row r="57" spans="1:19" ht="15.5" x14ac:dyDescent="0.35">
      <c r="A57" s="16" t="s">
        <v>324</v>
      </c>
      <c r="B57" s="16">
        <v>15</v>
      </c>
      <c r="C57" s="16">
        <v>106</v>
      </c>
      <c r="D57" s="16">
        <v>111</v>
      </c>
      <c r="E57" s="16">
        <v>146</v>
      </c>
      <c r="F57" s="16">
        <v>97.460000000000008</v>
      </c>
      <c r="G57" s="16">
        <v>14</v>
      </c>
      <c r="H57" s="16">
        <v>9</v>
      </c>
      <c r="I57" s="16">
        <v>9.5599999999999987</v>
      </c>
      <c r="J57" s="16">
        <v>0.77999999999999992</v>
      </c>
      <c r="K57" s="16">
        <v>8</v>
      </c>
      <c r="L57" s="16">
        <v>8</v>
      </c>
      <c r="M57" s="16">
        <v>3</v>
      </c>
      <c r="N57" s="16">
        <v>32</v>
      </c>
      <c r="O57" s="18">
        <v>6.2799999999999994</v>
      </c>
      <c r="P57" s="18">
        <v>3.5260000000000007</v>
      </c>
      <c r="Q57" s="18">
        <v>3.2519999999999998</v>
      </c>
      <c r="R57" s="16">
        <v>45.3</v>
      </c>
      <c r="S57" s="18">
        <v>1.3412870905587668</v>
      </c>
    </row>
    <row r="58" spans="1:19" ht="15.5" x14ac:dyDescent="0.35">
      <c r="A58" s="16" t="s">
        <v>325</v>
      </c>
      <c r="B58" s="16">
        <v>15</v>
      </c>
      <c r="C58" s="16">
        <v>112</v>
      </c>
      <c r="D58" s="16">
        <v>115</v>
      </c>
      <c r="E58" s="16">
        <v>146</v>
      </c>
      <c r="F58" s="16">
        <v>106.2</v>
      </c>
      <c r="G58" s="16">
        <v>16.7</v>
      </c>
      <c r="H58" s="16">
        <v>11.22</v>
      </c>
      <c r="I58" s="16">
        <v>11.16</v>
      </c>
      <c r="J58" s="16">
        <v>0.98000000000000009</v>
      </c>
      <c r="K58" s="16">
        <v>17</v>
      </c>
      <c r="L58" s="16">
        <v>10</v>
      </c>
      <c r="M58" s="16">
        <v>3</v>
      </c>
      <c r="N58" s="16">
        <v>41</v>
      </c>
      <c r="O58" s="18">
        <v>5.468</v>
      </c>
      <c r="P58" s="18">
        <v>2.7880000000000003</v>
      </c>
      <c r="Q58" s="18">
        <v>2.476</v>
      </c>
      <c r="R58" s="16">
        <v>25.9</v>
      </c>
      <c r="S58" s="18">
        <v>1.5980089916506102</v>
      </c>
    </row>
    <row r="59" spans="1:19" ht="15.5" x14ac:dyDescent="0.35">
      <c r="A59" s="16" t="s">
        <v>326</v>
      </c>
      <c r="B59" s="16">
        <v>15</v>
      </c>
      <c r="C59" s="16">
        <v>112</v>
      </c>
      <c r="D59" s="16">
        <v>116</v>
      </c>
      <c r="E59" s="16">
        <v>146</v>
      </c>
      <c r="F59" s="16">
        <v>86.4</v>
      </c>
      <c r="G59" s="16">
        <v>8.4</v>
      </c>
      <c r="H59" s="16">
        <v>7</v>
      </c>
      <c r="I59" s="16">
        <v>9.8000000000000007</v>
      </c>
      <c r="J59" s="16">
        <v>0.8</v>
      </c>
      <c r="K59" s="16">
        <v>8</v>
      </c>
      <c r="L59" s="16">
        <v>10</v>
      </c>
      <c r="M59" s="16">
        <v>3</v>
      </c>
      <c r="N59" s="16">
        <v>46</v>
      </c>
      <c r="O59" s="18">
        <v>5.3760000000000003</v>
      </c>
      <c r="P59" s="18">
        <v>2.9020000000000001</v>
      </c>
      <c r="Q59" s="18">
        <v>2.4340000000000002</v>
      </c>
      <c r="R59" s="16">
        <v>30.4</v>
      </c>
      <c r="S59" s="18">
        <v>0.84768143866409762</v>
      </c>
    </row>
    <row r="60" spans="1:19" ht="15.5" x14ac:dyDescent="0.35">
      <c r="A60" s="16" t="s">
        <v>327</v>
      </c>
      <c r="B60" s="16">
        <v>15</v>
      </c>
      <c r="C60" s="16">
        <v>104</v>
      </c>
      <c r="D60" s="16">
        <v>110</v>
      </c>
      <c r="E60" s="16">
        <v>140</v>
      </c>
      <c r="F60" s="16">
        <v>101.7</v>
      </c>
      <c r="G60" s="16">
        <v>10.8</v>
      </c>
      <c r="H60" s="16">
        <v>9.3000000000000007</v>
      </c>
      <c r="I60" s="16">
        <v>10.199999999999999</v>
      </c>
      <c r="J60" s="16">
        <v>0.96</v>
      </c>
      <c r="K60" s="16">
        <v>9</v>
      </c>
      <c r="L60" s="16">
        <v>9</v>
      </c>
      <c r="M60" s="16">
        <v>3</v>
      </c>
      <c r="N60" s="16">
        <v>46</v>
      </c>
      <c r="O60" s="18">
        <v>5.3179999999999996</v>
      </c>
      <c r="P60" s="18">
        <v>2.9080000000000004</v>
      </c>
      <c r="Q60" s="18">
        <v>2.5499999999999998</v>
      </c>
      <c r="R60" s="16">
        <v>33.6</v>
      </c>
      <c r="S60" s="18">
        <v>1.7919075144508672</v>
      </c>
    </row>
    <row r="61" spans="1:19" ht="15.5" x14ac:dyDescent="0.35">
      <c r="A61" s="16" t="s">
        <v>328</v>
      </c>
      <c r="B61" s="16">
        <v>18</v>
      </c>
      <c r="C61" s="16">
        <v>104</v>
      </c>
      <c r="D61" s="16">
        <v>113</v>
      </c>
      <c r="E61" s="16">
        <v>140</v>
      </c>
      <c r="F61" s="16">
        <v>79.8</v>
      </c>
      <c r="G61" s="16">
        <v>10.9</v>
      </c>
      <c r="H61" s="16">
        <v>10.9</v>
      </c>
      <c r="I61" s="16">
        <v>11</v>
      </c>
      <c r="J61" s="16">
        <v>0.96</v>
      </c>
      <c r="K61" s="16">
        <v>7</v>
      </c>
      <c r="L61" s="16">
        <v>10</v>
      </c>
      <c r="M61" s="16">
        <v>2</v>
      </c>
      <c r="N61" s="16">
        <v>36</v>
      </c>
      <c r="O61" s="18">
        <v>6.702</v>
      </c>
      <c r="P61" s="18">
        <v>3.69</v>
      </c>
      <c r="Q61" s="18">
        <v>2.97</v>
      </c>
      <c r="R61" s="16">
        <v>49.01</v>
      </c>
      <c r="S61" s="18">
        <v>1.3872832369942196</v>
      </c>
    </row>
    <row r="62" spans="1:19" ht="15.5" x14ac:dyDescent="0.35">
      <c r="A62" s="16" t="s">
        <v>329</v>
      </c>
      <c r="B62" s="16">
        <v>18</v>
      </c>
      <c r="C62" s="16">
        <v>104</v>
      </c>
      <c r="D62" s="16">
        <v>112</v>
      </c>
      <c r="E62" s="16">
        <v>141</v>
      </c>
      <c r="F62" s="16">
        <v>73.400000000000006</v>
      </c>
      <c r="G62" s="16">
        <v>8.6999999999999993</v>
      </c>
      <c r="H62" s="16">
        <v>8.6</v>
      </c>
      <c r="I62" s="16">
        <v>12</v>
      </c>
      <c r="J62" s="16">
        <v>1.04</v>
      </c>
      <c r="K62" s="16">
        <v>5</v>
      </c>
      <c r="L62" s="16">
        <v>9</v>
      </c>
      <c r="M62" s="16">
        <v>3</v>
      </c>
      <c r="N62" s="16">
        <v>34</v>
      </c>
      <c r="O62" s="18">
        <v>6.7519999999999998</v>
      </c>
      <c r="P62" s="18">
        <v>3.4979999999999998</v>
      </c>
      <c r="Q62" s="18">
        <v>2.7839999999999998</v>
      </c>
      <c r="R62" s="16">
        <v>37.4</v>
      </c>
      <c r="S62" s="18">
        <v>0.95113680154142566</v>
      </c>
    </row>
    <row r="63" spans="1:19" ht="15.5" x14ac:dyDescent="0.35">
      <c r="A63" s="16" t="s">
        <v>330</v>
      </c>
      <c r="B63" s="16">
        <v>15</v>
      </c>
      <c r="C63" s="16">
        <v>103</v>
      </c>
      <c r="D63" s="16">
        <v>108</v>
      </c>
      <c r="E63" s="16">
        <v>136</v>
      </c>
      <c r="F63" s="16">
        <v>91.6</v>
      </c>
      <c r="G63" s="16">
        <v>15</v>
      </c>
      <c r="H63" s="16">
        <v>9.5</v>
      </c>
      <c r="I63" s="16">
        <v>8.58</v>
      </c>
      <c r="J63" s="16">
        <v>0.72</v>
      </c>
      <c r="K63" s="16">
        <v>7</v>
      </c>
      <c r="L63" s="16">
        <v>10</v>
      </c>
      <c r="M63" s="16">
        <v>2</v>
      </c>
      <c r="N63" s="16">
        <v>24</v>
      </c>
      <c r="O63" s="18">
        <v>6.5179999999999989</v>
      </c>
      <c r="P63" s="18">
        <v>3.5460000000000003</v>
      </c>
      <c r="Q63" s="18">
        <v>3.0339999999999998</v>
      </c>
      <c r="R63" s="16">
        <v>33.200000000000003</v>
      </c>
      <c r="S63" s="18">
        <v>1.1529865125240848</v>
      </c>
    </row>
    <row r="64" spans="1:19" ht="15.5" x14ac:dyDescent="0.35">
      <c r="A64" s="16" t="s">
        <v>331</v>
      </c>
      <c r="B64" s="16">
        <v>18</v>
      </c>
      <c r="C64" s="16">
        <v>102</v>
      </c>
      <c r="D64" s="16">
        <v>109</v>
      </c>
      <c r="E64" s="16">
        <v>141</v>
      </c>
      <c r="F64" s="16">
        <v>100.32000000000001</v>
      </c>
      <c r="G64" s="16">
        <v>16</v>
      </c>
      <c r="H64" s="16">
        <v>6.3</v>
      </c>
      <c r="I64" s="16">
        <v>13.86</v>
      </c>
      <c r="J64" s="16">
        <v>1.5799999999999996</v>
      </c>
      <c r="K64" s="16">
        <v>7.2</v>
      </c>
      <c r="L64" s="16">
        <v>9</v>
      </c>
      <c r="M64" s="16">
        <v>2</v>
      </c>
      <c r="N64" s="16">
        <v>32.799999999999997</v>
      </c>
      <c r="O64" s="18">
        <v>5.6759999999999993</v>
      </c>
      <c r="P64" s="18">
        <v>3.03</v>
      </c>
      <c r="Q64" s="18">
        <v>2.7119999999999997</v>
      </c>
      <c r="R64" s="16">
        <v>31.3</v>
      </c>
      <c r="S64" s="18">
        <v>0.92485549132947986</v>
      </c>
    </row>
    <row r="65" spans="1:19" ht="15.5" x14ac:dyDescent="0.35">
      <c r="A65" s="16" t="s">
        <v>332</v>
      </c>
      <c r="B65" s="16">
        <v>18</v>
      </c>
      <c r="C65" s="16">
        <v>102</v>
      </c>
      <c r="D65" s="16">
        <v>108</v>
      </c>
      <c r="E65" s="16">
        <v>145</v>
      </c>
      <c r="F65" s="16">
        <v>104.22</v>
      </c>
      <c r="G65" s="16">
        <v>20.5</v>
      </c>
      <c r="H65" s="16">
        <v>8.4</v>
      </c>
      <c r="I65" s="16">
        <v>12.440000000000001</v>
      </c>
      <c r="J65" s="16">
        <v>1.06</v>
      </c>
      <c r="K65" s="16">
        <v>13.4</v>
      </c>
      <c r="L65" s="16">
        <v>7.4</v>
      </c>
      <c r="M65" s="16">
        <v>2.4</v>
      </c>
      <c r="N65" s="16">
        <v>36.200000000000003</v>
      </c>
      <c r="O65" s="18">
        <v>5.4960000000000004</v>
      </c>
      <c r="P65" s="18">
        <v>3.2359999999999998</v>
      </c>
      <c r="Q65" s="18">
        <v>2.2239999999999998</v>
      </c>
      <c r="R65" s="16">
        <v>24.8</v>
      </c>
      <c r="S65" s="18">
        <v>1.4582658959537573</v>
      </c>
    </row>
    <row r="66" spans="1:19" ht="15.5" x14ac:dyDescent="0.35">
      <c r="A66" s="16" t="s">
        <v>333</v>
      </c>
      <c r="B66" s="16">
        <v>18</v>
      </c>
      <c r="C66" s="16">
        <v>106</v>
      </c>
      <c r="D66" s="16">
        <v>112</v>
      </c>
      <c r="E66" s="16">
        <v>143</v>
      </c>
      <c r="F66" s="16">
        <v>99.320000000000007</v>
      </c>
      <c r="G66" s="16">
        <v>14.8</v>
      </c>
      <c r="H66" s="16">
        <v>8.8000000000000007</v>
      </c>
      <c r="I66" s="16">
        <v>10.959999999999999</v>
      </c>
      <c r="J66" s="16">
        <v>1.26</v>
      </c>
      <c r="K66" s="16">
        <v>16.399999999999999</v>
      </c>
      <c r="L66" s="16">
        <v>8</v>
      </c>
      <c r="M66" s="16">
        <v>2.2000000000000002</v>
      </c>
      <c r="N66" s="16">
        <v>38.200000000000003</v>
      </c>
      <c r="O66" s="18">
        <v>6.7359999999999998</v>
      </c>
      <c r="P66" s="18">
        <v>3.3719999999999999</v>
      </c>
      <c r="Q66" s="18">
        <v>2.6040000000000001</v>
      </c>
      <c r="R66" s="16">
        <v>42.4</v>
      </c>
      <c r="S66" s="18">
        <v>1.1432369942196534</v>
      </c>
    </row>
    <row r="67" spans="1:19" ht="15.5" x14ac:dyDescent="0.35">
      <c r="A67" s="16" t="s">
        <v>334</v>
      </c>
      <c r="B67" s="16">
        <v>19</v>
      </c>
      <c r="C67" s="16">
        <v>108</v>
      </c>
      <c r="D67" s="16">
        <v>113</v>
      </c>
      <c r="E67" s="16">
        <v>146</v>
      </c>
      <c r="F67" s="16">
        <v>89.84</v>
      </c>
      <c r="G67" s="16">
        <v>10.6</v>
      </c>
      <c r="H67" s="16">
        <v>12.3</v>
      </c>
      <c r="I67" s="16">
        <v>12.16</v>
      </c>
      <c r="J67" s="16">
        <v>1.34</v>
      </c>
      <c r="K67" s="16">
        <v>6.6</v>
      </c>
      <c r="L67" s="16">
        <v>9.6</v>
      </c>
      <c r="M67" s="16">
        <v>3.4</v>
      </c>
      <c r="N67" s="16">
        <v>48.4</v>
      </c>
      <c r="O67" s="18">
        <v>5.8559999999999999</v>
      </c>
      <c r="P67" s="18">
        <v>3.0439999999999996</v>
      </c>
      <c r="Q67" s="18">
        <v>2.2800000000000002</v>
      </c>
      <c r="R67" s="16">
        <v>25.5</v>
      </c>
      <c r="S67" s="18">
        <v>1.0346820809248556</v>
      </c>
    </row>
    <row r="68" spans="1:19" ht="15.5" x14ac:dyDescent="0.35">
      <c r="A68" s="16" t="s">
        <v>335</v>
      </c>
      <c r="B68" s="16">
        <v>19</v>
      </c>
      <c r="C68" s="16">
        <v>103</v>
      </c>
      <c r="D68" s="16">
        <v>109</v>
      </c>
      <c r="E68" s="16">
        <v>143</v>
      </c>
      <c r="F68" s="16">
        <v>88.4</v>
      </c>
      <c r="G68" s="16">
        <v>10.6</v>
      </c>
      <c r="H68" s="16">
        <v>11.3</v>
      </c>
      <c r="I68" s="16">
        <v>12.680000000000001</v>
      </c>
      <c r="J68" s="16">
        <v>1.2599999999999998</v>
      </c>
      <c r="K68" s="16">
        <v>6.4</v>
      </c>
      <c r="L68" s="16">
        <v>9</v>
      </c>
      <c r="M68" s="16">
        <v>2.8</v>
      </c>
      <c r="N68" s="16">
        <v>33</v>
      </c>
      <c r="O68" s="18">
        <v>6.6519999999999992</v>
      </c>
      <c r="P68" s="18">
        <v>3.3460000000000001</v>
      </c>
      <c r="Q68" s="18">
        <v>2.766</v>
      </c>
      <c r="R68" s="16">
        <v>48.8</v>
      </c>
      <c r="S68" s="18">
        <v>1.8069621066152857</v>
      </c>
    </row>
    <row r="69" spans="1:19" ht="15.5" x14ac:dyDescent="0.35">
      <c r="A69" s="16" t="s">
        <v>336</v>
      </c>
      <c r="B69" s="16">
        <v>20</v>
      </c>
      <c r="C69" s="16">
        <v>108</v>
      </c>
      <c r="D69" s="16">
        <v>108</v>
      </c>
      <c r="E69" s="16">
        <v>146</v>
      </c>
      <c r="F69" s="16">
        <v>97.240000000000009</v>
      </c>
      <c r="G69" s="16">
        <v>15.2</v>
      </c>
      <c r="H69" s="16">
        <v>8.6</v>
      </c>
      <c r="I69" s="16">
        <v>12.379999999999999</v>
      </c>
      <c r="J69" s="16">
        <v>1.24</v>
      </c>
      <c r="K69" s="16">
        <v>7</v>
      </c>
      <c r="L69" s="16">
        <v>8.4</v>
      </c>
      <c r="M69" s="16">
        <v>3</v>
      </c>
      <c r="N69" s="16">
        <v>34.200000000000003</v>
      </c>
      <c r="O69" s="18">
        <v>6.1740000000000004</v>
      </c>
      <c r="P69" s="18">
        <v>3.05</v>
      </c>
      <c r="Q69" s="18">
        <v>2.2680000000000002</v>
      </c>
      <c r="R69" s="16">
        <v>28.8</v>
      </c>
      <c r="S69" s="18">
        <v>1.4338471419396275</v>
      </c>
    </row>
    <row r="70" spans="1:19" ht="15.5" x14ac:dyDescent="0.35">
      <c r="A70" s="16" t="s">
        <v>337</v>
      </c>
      <c r="B70" s="16">
        <v>20</v>
      </c>
      <c r="C70" s="16">
        <v>115</v>
      </c>
      <c r="D70" s="16">
        <v>117</v>
      </c>
      <c r="E70" s="16">
        <v>144</v>
      </c>
      <c r="F70" s="16">
        <v>76.2</v>
      </c>
      <c r="G70" s="16">
        <v>6.6</v>
      </c>
      <c r="H70" s="16">
        <v>9.6</v>
      </c>
      <c r="I70" s="16">
        <v>13.959999999999999</v>
      </c>
      <c r="J70" s="16">
        <v>1.02</v>
      </c>
      <c r="K70" s="16">
        <v>4</v>
      </c>
      <c r="L70" s="16">
        <v>8.4</v>
      </c>
      <c r="M70" s="16">
        <v>2.8</v>
      </c>
      <c r="N70" s="16">
        <v>37.6</v>
      </c>
      <c r="O70" s="18">
        <v>5.9420000000000002</v>
      </c>
      <c r="P70" s="18">
        <v>3.6439999999999997</v>
      </c>
      <c r="Q70" s="18">
        <v>3.1179999999999999</v>
      </c>
      <c r="R70" s="16">
        <v>45.5</v>
      </c>
      <c r="S70" s="18">
        <v>0.78001284521515746</v>
      </c>
    </row>
    <row r="71" spans="1:19" ht="15.5" x14ac:dyDescent="0.35">
      <c r="A71" s="16" t="s">
        <v>338</v>
      </c>
      <c r="B71" s="16">
        <v>20</v>
      </c>
      <c r="C71" s="16">
        <v>110</v>
      </c>
      <c r="D71" s="16">
        <v>115</v>
      </c>
      <c r="E71" s="16">
        <v>146</v>
      </c>
      <c r="F71" s="16">
        <v>78</v>
      </c>
      <c r="G71" s="16">
        <v>6.9</v>
      </c>
      <c r="H71" s="16">
        <v>12</v>
      </c>
      <c r="I71" s="16">
        <v>13.14</v>
      </c>
      <c r="J71" s="16">
        <v>1.52</v>
      </c>
      <c r="K71" s="16">
        <v>7.8</v>
      </c>
      <c r="L71" s="16">
        <v>10.8</v>
      </c>
      <c r="M71" s="16">
        <v>3.2</v>
      </c>
      <c r="N71" s="16">
        <v>50.4</v>
      </c>
      <c r="O71" s="18">
        <v>6.9859999999999998</v>
      </c>
      <c r="P71" s="18">
        <v>3.5680000000000001</v>
      </c>
      <c r="Q71" s="18">
        <v>2.6959999999999997</v>
      </c>
      <c r="R71" s="16">
        <v>38.01</v>
      </c>
      <c r="S71" s="18">
        <v>1.3727938342967243</v>
      </c>
    </row>
    <row r="72" spans="1:19" ht="15.5" x14ac:dyDescent="0.35">
      <c r="A72" s="16" t="s">
        <v>339</v>
      </c>
      <c r="B72" s="16">
        <v>20</v>
      </c>
      <c r="C72" s="16">
        <v>106</v>
      </c>
      <c r="D72" s="16">
        <v>110</v>
      </c>
      <c r="E72" s="16">
        <v>146</v>
      </c>
      <c r="F72" s="16">
        <v>77.2</v>
      </c>
      <c r="G72" s="16">
        <v>11.6</v>
      </c>
      <c r="H72" s="16">
        <v>9.9</v>
      </c>
      <c r="I72" s="16">
        <v>13.540000000000001</v>
      </c>
      <c r="J72" s="16">
        <v>1.4</v>
      </c>
      <c r="K72" s="16">
        <v>4.8</v>
      </c>
      <c r="L72" s="16">
        <v>9.4</v>
      </c>
      <c r="M72" s="16">
        <v>3</v>
      </c>
      <c r="N72" s="16">
        <v>43.4</v>
      </c>
      <c r="O72" s="18">
        <v>6.0740000000000007</v>
      </c>
      <c r="P72" s="18">
        <v>3.4939999999999998</v>
      </c>
      <c r="Q72" s="18">
        <v>3.1119999999999997</v>
      </c>
      <c r="R72" s="16">
        <v>44.6</v>
      </c>
      <c r="S72" s="18">
        <v>1.4551059730250484</v>
      </c>
    </row>
    <row r="73" spans="1:19" ht="15.5" x14ac:dyDescent="0.35">
      <c r="A73" s="16" t="s">
        <v>340</v>
      </c>
      <c r="B73" s="16">
        <v>20</v>
      </c>
      <c r="C73" s="16">
        <v>109</v>
      </c>
      <c r="D73" s="16">
        <v>115</v>
      </c>
      <c r="E73" s="16">
        <v>145</v>
      </c>
      <c r="F73" s="16">
        <v>88</v>
      </c>
      <c r="G73" s="16">
        <v>14.6</v>
      </c>
      <c r="H73" s="16">
        <v>10</v>
      </c>
      <c r="I73" s="16">
        <v>13.48</v>
      </c>
      <c r="J73" s="16">
        <v>1.04</v>
      </c>
      <c r="K73" s="16">
        <v>6.8</v>
      </c>
      <c r="L73" s="16">
        <v>9.8000000000000007</v>
      </c>
      <c r="M73" s="16">
        <v>2.6</v>
      </c>
      <c r="N73" s="16">
        <v>35.200000000000003</v>
      </c>
      <c r="O73" s="18">
        <v>6.1479999999999997</v>
      </c>
      <c r="P73" s="18">
        <v>3.3620000000000005</v>
      </c>
      <c r="Q73" s="18">
        <v>3.3220000000000005</v>
      </c>
      <c r="R73" s="16">
        <v>50.9</v>
      </c>
      <c r="S73" s="18">
        <v>1.2471676300578036</v>
      </c>
    </row>
    <row r="74" spans="1:19" ht="15.5" x14ac:dyDescent="0.35">
      <c r="A74" s="16" t="s">
        <v>341</v>
      </c>
      <c r="B74" s="16">
        <v>20</v>
      </c>
      <c r="C74" s="16">
        <v>106</v>
      </c>
      <c r="D74" s="16">
        <v>112</v>
      </c>
      <c r="E74" s="16">
        <v>148</v>
      </c>
      <c r="F74" s="16">
        <v>99.460000000000008</v>
      </c>
      <c r="G74" s="16">
        <v>18.600000000000001</v>
      </c>
      <c r="H74" s="16">
        <v>8.9</v>
      </c>
      <c r="I74" s="16">
        <v>9.76</v>
      </c>
      <c r="J74" s="16">
        <v>1.02</v>
      </c>
      <c r="K74" s="16">
        <v>13</v>
      </c>
      <c r="L74" s="16">
        <v>10</v>
      </c>
      <c r="M74" s="16">
        <v>2.4</v>
      </c>
      <c r="N74" s="16">
        <v>40.4</v>
      </c>
      <c r="O74" s="18">
        <v>5.4939999999999998</v>
      </c>
      <c r="P74" s="18">
        <v>2.8580000000000001</v>
      </c>
      <c r="Q74" s="18">
        <v>2.48</v>
      </c>
      <c r="R74" s="16">
        <v>21.2</v>
      </c>
      <c r="S74" s="18">
        <v>1.6324983943481053</v>
      </c>
    </row>
    <row r="75" spans="1:19" ht="15.5" x14ac:dyDescent="0.35">
      <c r="A75" s="16" t="s">
        <v>342</v>
      </c>
      <c r="B75" s="16">
        <v>20</v>
      </c>
      <c r="C75" s="16">
        <v>106</v>
      </c>
      <c r="D75" s="16">
        <v>112</v>
      </c>
      <c r="E75" s="16">
        <v>148</v>
      </c>
      <c r="F75" s="16">
        <v>107.58</v>
      </c>
      <c r="G75" s="16">
        <v>18.399999999999999</v>
      </c>
      <c r="H75" s="16">
        <v>8.8000000000000007</v>
      </c>
      <c r="I75" s="16">
        <v>11.379999999999999</v>
      </c>
      <c r="J75" s="16">
        <v>1.2</v>
      </c>
      <c r="K75" s="16">
        <v>5.6</v>
      </c>
      <c r="L75" s="16">
        <v>9.4</v>
      </c>
      <c r="M75" s="16">
        <v>2.2000000000000002</v>
      </c>
      <c r="N75" s="16">
        <v>31.4</v>
      </c>
      <c r="O75" s="18">
        <v>5.6280000000000001</v>
      </c>
      <c r="P75" s="18">
        <v>2.9799999999999995</v>
      </c>
      <c r="Q75" s="18">
        <v>2.4699999999999998</v>
      </c>
      <c r="R75" s="16">
        <v>23.3</v>
      </c>
      <c r="S75" s="18">
        <v>1.6702890173410405</v>
      </c>
    </row>
    <row r="76" spans="1:19" ht="15.5" x14ac:dyDescent="0.35">
      <c r="A76" s="16" t="s">
        <v>343</v>
      </c>
      <c r="B76" s="16">
        <v>19</v>
      </c>
      <c r="C76" s="16">
        <v>102</v>
      </c>
      <c r="D76" s="16">
        <v>109</v>
      </c>
      <c r="E76" s="16">
        <v>146</v>
      </c>
      <c r="F76" s="16">
        <v>88.8</v>
      </c>
      <c r="G76" s="16">
        <v>16.580000000000002</v>
      </c>
      <c r="H76" s="16">
        <v>8.5599999999999987</v>
      </c>
      <c r="I76" s="16">
        <v>11.2</v>
      </c>
      <c r="J76" s="16">
        <v>1.56</v>
      </c>
      <c r="K76" s="16">
        <v>7.6</v>
      </c>
      <c r="L76" s="16">
        <v>9.6</v>
      </c>
      <c r="M76" s="16">
        <v>3.2</v>
      </c>
      <c r="N76" s="16">
        <v>45.2</v>
      </c>
      <c r="O76" s="18">
        <v>5.798</v>
      </c>
      <c r="P76" s="18">
        <v>3.0380000000000003</v>
      </c>
      <c r="Q76" s="18">
        <v>2.4520000000000004</v>
      </c>
      <c r="R76" s="16">
        <v>37.1</v>
      </c>
      <c r="S76" s="18">
        <v>2.319845857418112</v>
      </c>
    </row>
    <row r="77" spans="1:19" ht="15.5" x14ac:dyDescent="0.35">
      <c r="A77" s="16" t="s">
        <v>344</v>
      </c>
      <c r="B77" s="16">
        <v>20</v>
      </c>
      <c r="C77" s="16">
        <v>104</v>
      </c>
      <c r="D77" s="16">
        <v>112</v>
      </c>
      <c r="E77" s="16">
        <v>144</v>
      </c>
      <c r="F77" s="16">
        <v>86.539999999999992</v>
      </c>
      <c r="G77" s="16">
        <v>14.780000000000001</v>
      </c>
      <c r="H77" s="16">
        <v>10.040000000000001</v>
      </c>
      <c r="I77" s="16">
        <v>12.379999999999999</v>
      </c>
      <c r="J77" s="16">
        <v>1.28</v>
      </c>
      <c r="K77" s="16">
        <v>5.8</v>
      </c>
      <c r="L77" s="16">
        <v>9.1999999999999993</v>
      </c>
      <c r="M77" s="16">
        <v>3.4</v>
      </c>
      <c r="N77" s="16">
        <v>42.6</v>
      </c>
      <c r="O77" s="18">
        <v>5.8239999999999998</v>
      </c>
      <c r="P77" s="18">
        <v>3.1760000000000002</v>
      </c>
      <c r="Q77" s="18">
        <v>2.4939999999999998</v>
      </c>
      <c r="R77" s="16">
        <v>31.1</v>
      </c>
      <c r="S77" s="18">
        <v>1.3879640333975594</v>
      </c>
    </row>
    <row r="78" spans="1:19" ht="15.5" x14ac:dyDescent="0.35">
      <c r="A78" s="16" t="s">
        <v>345</v>
      </c>
      <c r="B78" s="16">
        <v>20</v>
      </c>
      <c r="C78" s="16">
        <v>108</v>
      </c>
      <c r="D78" s="16">
        <v>112</v>
      </c>
      <c r="E78" s="16">
        <v>146</v>
      </c>
      <c r="F78" s="16">
        <v>98.859999999999985</v>
      </c>
      <c r="G78" s="16">
        <v>22.419999999999998</v>
      </c>
      <c r="H78" s="16">
        <v>8.6999999999999993</v>
      </c>
      <c r="I78" s="16">
        <v>13.24</v>
      </c>
      <c r="J78" s="16">
        <v>1.18</v>
      </c>
      <c r="K78" s="16">
        <v>10.4</v>
      </c>
      <c r="L78" s="16">
        <v>9.8000000000000007</v>
      </c>
      <c r="M78" s="16">
        <v>3.2</v>
      </c>
      <c r="N78" s="16">
        <v>39.799999999999997</v>
      </c>
      <c r="O78" s="18">
        <v>6.4520000000000008</v>
      </c>
      <c r="P78" s="18">
        <v>3.5259999999999998</v>
      </c>
      <c r="Q78" s="18">
        <v>2.8959999999999999</v>
      </c>
      <c r="R78" s="16">
        <v>41.5</v>
      </c>
      <c r="S78" s="18">
        <v>1.5110854206807964</v>
      </c>
    </row>
    <row r="79" spans="1:19" ht="15.5" x14ac:dyDescent="0.35">
      <c r="A79" s="16" t="s">
        <v>346</v>
      </c>
      <c r="B79" s="16">
        <v>21</v>
      </c>
      <c r="C79" s="16">
        <v>106</v>
      </c>
      <c r="D79" s="16">
        <v>110</v>
      </c>
      <c r="E79" s="16">
        <v>144</v>
      </c>
      <c r="F79" s="16">
        <v>106.41999999999999</v>
      </c>
      <c r="G79" s="16">
        <v>22.440000000000005</v>
      </c>
      <c r="H79" s="16">
        <v>9.86</v>
      </c>
      <c r="I79" s="16">
        <v>10</v>
      </c>
      <c r="J79" s="16">
        <v>1.04</v>
      </c>
      <c r="K79" s="16">
        <v>8.6</v>
      </c>
      <c r="L79" s="16">
        <v>8.8000000000000007</v>
      </c>
      <c r="M79" s="16">
        <v>2.4</v>
      </c>
      <c r="N79" s="16">
        <v>38.6</v>
      </c>
      <c r="O79" s="18">
        <v>5.7160000000000002</v>
      </c>
      <c r="P79" s="18">
        <v>3.3959999999999999</v>
      </c>
      <c r="Q79" s="18">
        <v>2.5620000000000003</v>
      </c>
      <c r="R79" s="16">
        <v>32.4</v>
      </c>
      <c r="S79" s="18">
        <v>1.5226204238921004</v>
      </c>
    </row>
    <row r="80" spans="1:19" ht="15.5" x14ac:dyDescent="0.35">
      <c r="A80" s="16" t="s">
        <v>347</v>
      </c>
      <c r="B80" s="16">
        <v>21</v>
      </c>
      <c r="C80" s="16">
        <v>112</v>
      </c>
      <c r="D80" s="16">
        <v>115</v>
      </c>
      <c r="E80" s="16">
        <v>144</v>
      </c>
      <c r="F80" s="16">
        <v>83.2</v>
      </c>
      <c r="G80" s="16">
        <v>8.9600000000000009</v>
      </c>
      <c r="H80" s="16">
        <v>11.52</v>
      </c>
      <c r="I80" s="16">
        <v>11.720000000000002</v>
      </c>
      <c r="J80" s="16">
        <v>1.08</v>
      </c>
      <c r="K80" s="16">
        <v>3.8</v>
      </c>
      <c r="L80" s="16">
        <v>10</v>
      </c>
      <c r="M80" s="16">
        <v>3.4</v>
      </c>
      <c r="N80" s="16">
        <v>46.6</v>
      </c>
      <c r="O80" s="18">
        <v>6.5039999999999996</v>
      </c>
      <c r="P80" s="18">
        <v>3.5199999999999996</v>
      </c>
      <c r="Q80" s="18">
        <v>2.5859999999999999</v>
      </c>
      <c r="R80" s="16">
        <v>53.1</v>
      </c>
      <c r="S80" s="18">
        <v>1.2249710982658961</v>
      </c>
    </row>
    <row r="81" spans="1:19" ht="15.5" x14ac:dyDescent="0.35">
      <c r="A81" s="16" t="s">
        <v>348</v>
      </c>
      <c r="B81" s="16">
        <v>21</v>
      </c>
      <c r="C81" s="16">
        <v>106</v>
      </c>
      <c r="D81" s="16">
        <v>113</v>
      </c>
      <c r="E81" s="16">
        <v>142</v>
      </c>
      <c r="F81" s="16">
        <v>102.42</v>
      </c>
      <c r="G81" s="16">
        <v>18.619999999999997</v>
      </c>
      <c r="H81" s="16">
        <v>9.34</v>
      </c>
      <c r="I81" s="16">
        <v>12.5</v>
      </c>
      <c r="J81" s="16">
        <v>1.3399999999999999</v>
      </c>
      <c r="K81" s="16">
        <v>5.6</v>
      </c>
      <c r="L81" s="16">
        <v>10</v>
      </c>
      <c r="M81" s="16">
        <v>3.2</v>
      </c>
      <c r="N81" s="16">
        <v>43</v>
      </c>
      <c r="O81" s="18">
        <v>5.8319999999999999</v>
      </c>
      <c r="P81" s="18">
        <v>3.0900000000000003</v>
      </c>
      <c r="Q81" s="18">
        <v>2.8559999999999999</v>
      </c>
      <c r="R81" s="16">
        <v>45.9</v>
      </c>
      <c r="S81" s="18">
        <v>0.72074502247912653</v>
      </c>
    </row>
    <row r="82" spans="1:19" ht="15.5" x14ac:dyDescent="0.35">
      <c r="A82" s="16" t="s">
        <v>349</v>
      </c>
      <c r="B82" s="16">
        <v>19</v>
      </c>
      <c r="C82" s="16">
        <v>112</v>
      </c>
      <c r="D82" s="16">
        <v>115</v>
      </c>
      <c r="E82" s="16">
        <v>146</v>
      </c>
      <c r="F82" s="16">
        <v>129.5</v>
      </c>
      <c r="G82" s="16">
        <v>20.52</v>
      </c>
      <c r="H82" s="16">
        <v>8.18</v>
      </c>
      <c r="I82" s="16">
        <v>11.68</v>
      </c>
      <c r="J82" s="16">
        <v>1.3</v>
      </c>
      <c r="K82" s="16">
        <v>10.8</v>
      </c>
      <c r="L82" s="16">
        <v>10.4</v>
      </c>
      <c r="M82" s="16">
        <v>2.2000000000000002</v>
      </c>
      <c r="N82" s="16">
        <v>38</v>
      </c>
      <c r="O82" s="18">
        <v>5.8579999999999997</v>
      </c>
      <c r="P82" s="18">
        <v>3.0059999999999993</v>
      </c>
      <c r="Q82" s="18">
        <v>2.6079999999999997</v>
      </c>
      <c r="R82" s="16">
        <v>24.9</v>
      </c>
      <c r="S82" s="18">
        <v>1.6122928709055875</v>
      </c>
    </row>
    <row r="83" spans="1:19" ht="15.5" x14ac:dyDescent="0.35">
      <c r="A83" s="16" t="s">
        <v>350</v>
      </c>
      <c r="B83" s="16">
        <v>19</v>
      </c>
      <c r="C83" s="16">
        <v>112</v>
      </c>
      <c r="D83" s="16">
        <v>116</v>
      </c>
      <c r="E83" s="16">
        <v>146</v>
      </c>
      <c r="F83" s="16">
        <v>125.9</v>
      </c>
      <c r="G83" s="16">
        <v>19.98</v>
      </c>
      <c r="H83" s="16">
        <v>7</v>
      </c>
      <c r="I83" s="16">
        <v>13.559999999999999</v>
      </c>
      <c r="J83" s="16">
        <v>1.3399999999999999</v>
      </c>
      <c r="K83" s="16">
        <v>23.8</v>
      </c>
      <c r="L83" s="16">
        <v>10.8</v>
      </c>
      <c r="M83" s="16">
        <v>2.2000000000000002</v>
      </c>
      <c r="N83" s="16">
        <v>45.6</v>
      </c>
      <c r="O83" s="18">
        <v>5.6719999999999997</v>
      </c>
      <c r="P83" s="18">
        <v>3.0859999999999999</v>
      </c>
      <c r="Q83" s="18">
        <v>2.69</v>
      </c>
      <c r="R83" s="16">
        <v>17.600000000000001</v>
      </c>
      <c r="S83" s="18">
        <v>1.1226332691072574</v>
      </c>
    </row>
    <row r="84" spans="1:19" ht="15.5" x14ac:dyDescent="0.35">
      <c r="A84" s="16" t="s">
        <v>351</v>
      </c>
      <c r="B84" s="16">
        <v>18</v>
      </c>
      <c r="C84" s="16">
        <v>112</v>
      </c>
      <c r="D84" s="16">
        <v>115</v>
      </c>
      <c r="E84" s="16">
        <v>146</v>
      </c>
      <c r="F84" s="16">
        <v>128.72</v>
      </c>
      <c r="G84" s="16">
        <v>21.16</v>
      </c>
      <c r="H84" s="16">
        <v>8.3000000000000007</v>
      </c>
      <c r="I84" s="16">
        <v>10.78</v>
      </c>
      <c r="J84" s="16">
        <v>1.1200000000000001</v>
      </c>
      <c r="K84" s="16">
        <v>8.8000000000000007</v>
      </c>
      <c r="L84" s="16">
        <v>11.2</v>
      </c>
      <c r="M84" s="16">
        <v>3</v>
      </c>
      <c r="N84" s="16">
        <v>55.8</v>
      </c>
      <c r="O84" s="18">
        <v>5.95</v>
      </c>
      <c r="P84" s="18">
        <v>3.0259999999999998</v>
      </c>
      <c r="Q84" s="18">
        <v>2.7600000000000002</v>
      </c>
      <c r="R84" s="16">
        <v>31.5</v>
      </c>
      <c r="S84" s="18">
        <v>1.6361464354527939</v>
      </c>
    </row>
    <row r="85" spans="1:19" ht="15.5" x14ac:dyDescent="0.35">
      <c r="A85" s="16" t="s">
        <v>352</v>
      </c>
      <c r="B85" s="16">
        <v>18</v>
      </c>
      <c r="C85" s="16">
        <v>112</v>
      </c>
      <c r="D85" s="16">
        <v>114</v>
      </c>
      <c r="E85" s="16">
        <v>146</v>
      </c>
      <c r="F85" s="16">
        <v>125.91999999999999</v>
      </c>
      <c r="G85" s="16">
        <v>23.4</v>
      </c>
      <c r="H85" s="16">
        <v>7.6599999999999993</v>
      </c>
      <c r="I85" s="16">
        <v>12.04</v>
      </c>
      <c r="J85" s="16">
        <v>1.3</v>
      </c>
      <c r="K85" s="16">
        <v>7.2</v>
      </c>
      <c r="L85" s="16">
        <v>9.4</v>
      </c>
      <c r="M85" s="16">
        <v>3.2</v>
      </c>
      <c r="N85" s="16">
        <v>47</v>
      </c>
      <c r="O85" s="18">
        <v>5.6800000000000006</v>
      </c>
      <c r="P85" s="18">
        <v>3.0940000000000003</v>
      </c>
      <c r="Q85" s="18">
        <v>2.8519999999999999</v>
      </c>
      <c r="R85" s="16">
        <v>31.5</v>
      </c>
      <c r="S85" s="18">
        <v>1.3265253692999359</v>
      </c>
    </row>
    <row r="86" spans="1:19" ht="15.5" x14ac:dyDescent="0.35">
      <c r="A86" s="16" t="s">
        <v>353</v>
      </c>
      <c r="B86" s="16">
        <v>18</v>
      </c>
      <c r="C86" s="16">
        <v>103</v>
      </c>
      <c r="D86" s="16">
        <v>112</v>
      </c>
      <c r="E86" s="16">
        <v>148</v>
      </c>
      <c r="F86" s="16">
        <v>102.52000000000001</v>
      </c>
      <c r="G86" s="16">
        <v>19.18</v>
      </c>
      <c r="H86" s="16">
        <v>10.24</v>
      </c>
      <c r="I86" s="16">
        <v>11.44</v>
      </c>
      <c r="J86" s="16">
        <v>1.08</v>
      </c>
      <c r="K86" s="16">
        <v>9</v>
      </c>
      <c r="L86" s="16">
        <v>8.6</v>
      </c>
      <c r="M86" s="16">
        <v>2.8</v>
      </c>
      <c r="N86" s="16">
        <v>35.6</v>
      </c>
      <c r="O86" s="18">
        <v>6.5419999999999998</v>
      </c>
      <c r="P86" s="18">
        <v>3.5739999999999994</v>
      </c>
      <c r="Q86" s="18">
        <v>2.8560000000000003</v>
      </c>
      <c r="R86" s="16">
        <v>47.6</v>
      </c>
      <c r="S86" s="18">
        <v>1.6485549132947976</v>
      </c>
    </row>
    <row r="87" spans="1:19" ht="15.5" x14ac:dyDescent="0.35">
      <c r="A87" s="16" t="s">
        <v>354</v>
      </c>
      <c r="B87" s="16">
        <v>19</v>
      </c>
      <c r="C87" s="16">
        <v>104</v>
      </c>
      <c r="D87" s="16">
        <v>109</v>
      </c>
      <c r="E87" s="16">
        <v>149</v>
      </c>
      <c r="F87" s="16">
        <v>94.9</v>
      </c>
      <c r="G87" s="16">
        <v>14.3</v>
      </c>
      <c r="H87" s="16">
        <v>8.34</v>
      </c>
      <c r="I87" s="16">
        <v>13.540000000000001</v>
      </c>
      <c r="J87" s="16">
        <v>1.34</v>
      </c>
      <c r="K87" s="16">
        <v>7.6</v>
      </c>
      <c r="L87" s="16">
        <v>8.4</v>
      </c>
      <c r="M87" s="16">
        <v>2.6</v>
      </c>
      <c r="N87" s="16">
        <v>33</v>
      </c>
      <c r="O87" s="18">
        <v>5.5299999999999994</v>
      </c>
      <c r="P87" s="18">
        <v>3.4220000000000006</v>
      </c>
      <c r="Q87" s="18">
        <v>2.8460000000000001</v>
      </c>
      <c r="R87" s="16">
        <v>32.200000000000003</v>
      </c>
      <c r="S87" s="18">
        <v>1.1238792549775209</v>
      </c>
    </row>
    <row r="88" spans="1:19" ht="15.5" x14ac:dyDescent="0.35">
      <c r="A88" s="16" t="s">
        <v>355</v>
      </c>
      <c r="B88" s="16">
        <v>19</v>
      </c>
      <c r="C88" s="16">
        <v>106</v>
      </c>
      <c r="D88" s="16">
        <v>110</v>
      </c>
      <c r="E88" s="16">
        <v>147</v>
      </c>
      <c r="F88" s="16">
        <v>77.7</v>
      </c>
      <c r="G88" s="16">
        <v>7.8</v>
      </c>
      <c r="H88" s="16">
        <v>8.26</v>
      </c>
      <c r="I88" s="16">
        <v>10.579999999999998</v>
      </c>
      <c r="J88" s="16">
        <v>1.22</v>
      </c>
      <c r="K88" s="16">
        <v>5.2</v>
      </c>
      <c r="L88" s="16">
        <v>8.8000000000000007</v>
      </c>
      <c r="M88" s="16">
        <v>3</v>
      </c>
      <c r="N88" s="16">
        <v>37.799999999999997</v>
      </c>
      <c r="O88" s="18">
        <v>5.9380000000000006</v>
      </c>
      <c r="P88" s="18">
        <v>3.4980000000000002</v>
      </c>
      <c r="Q88" s="18">
        <v>2.7800000000000002</v>
      </c>
      <c r="R88" s="16">
        <v>42.1</v>
      </c>
      <c r="S88" s="18">
        <v>0.73892100192678245</v>
      </c>
    </row>
    <row r="89" spans="1:19" ht="15.5" x14ac:dyDescent="0.35">
      <c r="A89" s="16" t="s">
        <v>356</v>
      </c>
      <c r="B89" s="16">
        <v>19</v>
      </c>
      <c r="C89" s="16">
        <v>105</v>
      </c>
      <c r="D89" s="16">
        <v>113</v>
      </c>
      <c r="E89" s="16">
        <v>147</v>
      </c>
      <c r="F89" s="16">
        <v>93.7</v>
      </c>
      <c r="G89" s="16">
        <v>11.2</v>
      </c>
      <c r="H89" s="16">
        <v>11.2</v>
      </c>
      <c r="I89" s="16">
        <v>12.940000000000001</v>
      </c>
      <c r="J89" s="16">
        <v>1.4400000000000002</v>
      </c>
      <c r="K89" s="16">
        <v>6.4</v>
      </c>
      <c r="L89" s="16">
        <v>9.8000000000000007</v>
      </c>
      <c r="M89" s="16">
        <v>3.2</v>
      </c>
      <c r="N89" s="16">
        <v>43.2</v>
      </c>
      <c r="O89" s="18">
        <v>6.8680000000000003</v>
      </c>
      <c r="P89" s="18">
        <v>3.5579999999999998</v>
      </c>
      <c r="Q89" s="18">
        <v>2.66</v>
      </c>
      <c r="R89" s="16">
        <v>50.4</v>
      </c>
      <c r="S89" s="18">
        <v>1.1356069364161852</v>
      </c>
    </row>
    <row r="90" spans="1:19" ht="15.5" x14ac:dyDescent="0.35">
      <c r="A90" s="16" t="s">
        <v>357</v>
      </c>
      <c r="B90" s="16">
        <v>18</v>
      </c>
      <c r="C90" s="16">
        <v>105</v>
      </c>
      <c r="D90" s="16">
        <v>113</v>
      </c>
      <c r="E90" s="16">
        <v>146</v>
      </c>
      <c r="F90" s="16">
        <v>93.72</v>
      </c>
      <c r="G90" s="16">
        <v>11.42</v>
      </c>
      <c r="H90" s="16">
        <v>10.1</v>
      </c>
      <c r="I90" s="16">
        <v>14.719999999999999</v>
      </c>
      <c r="J90" s="16">
        <v>1.52</v>
      </c>
      <c r="K90" s="16">
        <v>10.8</v>
      </c>
      <c r="L90" s="16">
        <v>9.8000000000000007</v>
      </c>
      <c r="M90" s="16">
        <v>3</v>
      </c>
      <c r="N90" s="16">
        <v>43</v>
      </c>
      <c r="O90" s="18">
        <v>6.5120000000000005</v>
      </c>
      <c r="P90" s="18">
        <v>3.6119999999999997</v>
      </c>
      <c r="Q90" s="18">
        <v>2.5279999999999996</v>
      </c>
      <c r="R90" s="16">
        <v>44.01</v>
      </c>
      <c r="S90" s="18">
        <v>1.5307385998715479</v>
      </c>
    </row>
    <row r="91" spans="1:19" ht="15.5" x14ac:dyDescent="0.35">
      <c r="A91" s="16" t="s">
        <v>358</v>
      </c>
      <c r="B91" s="16">
        <v>20</v>
      </c>
      <c r="C91" s="16">
        <v>103</v>
      </c>
      <c r="D91" s="16">
        <v>109</v>
      </c>
      <c r="E91" s="16">
        <v>143</v>
      </c>
      <c r="F91" s="16">
        <v>96.82</v>
      </c>
      <c r="G91" s="16">
        <v>16.5</v>
      </c>
      <c r="H91" s="16">
        <v>8.7799999999999994</v>
      </c>
      <c r="I91" s="16">
        <v>12.34</v>
      </c>
      <c r="J91" s="16">
        <v>1.1400000000000001</v>
      </c>
      <c r="K91" s="16">
        <v>9.6</v>
      </c>
      <c r="L91" s="16">
        <v>9.6</v>
      </c>
      <c r="M91" s="16">
        <v>3.4</v>
      </c>
      <c r="N91" s="16">
        <v>51.6</v>
      </c>
      <c r="O91" s="18">
        <v>6.418000000000001</v>
      </c>
      <c r="P91" s="18">
        <v>3.476</v>
      </c>
      <c r="Q91" s="18">
        <v>2.8120000000000003</v>
      </c>
      <c r="R91" s="16">
        <v>38.1</v>
      </c>
      <c r="S91" s="18">
        <v>1.1535003211303791</v>
      </c>
    </row>
    <row r="92" spans="1:19" ht="15.5" x14ac:dyDescent="0.35">
      <c r="A92" s="16" t="s">
        <v>359</v>
      </c>
      <c r="B92" s="16">
        <v>26</v>
      </c>
      <c r="C92" s="16">
        <v>106</v>
      </c>
      <c r="D92" s="16">
        <v>112</v>
      </c>
      <c r="E92" s="16">
        <v>144</v>
      </c>
      <c r="F92" s="16">
        <v>106.55999999999999</v>
      </c>
      <c r="G92" s="16">
        <v>19.899999999999999</v>
      </c>
      <c r="H92" s="16">
        <v>8.8000000000000007</v>
      </c>
      <c r="I92" s="16">
        <v>11.620000000000001</v>
      </c>
      <c r="J92" s="16">
        <v>1.1400000000000001</v>
      </c>
      <c r="K92" s="16">
        <v>14</v>
      </c>
      <c r="L92" s="16">
        <v>9.6</v>
      </c>
      <c r="M92" s="16">
        <v>3</v>
      </c>
      <c r="N92" s="16">
        <v>43.6</v>
      </c>
      <c r="O92" s="18">
        <v>5.8460000000000001</v>
      </c>
      <c r="P92" s="18">
        <v>3.2960000000000003</v>
      </c>
      <c r="Q92" s="18">
        <v>2.9380000000000002</v>
      </c>
      <c r="R92" s="16">
        <v>39.200000000000003</v>
      </c>
      <c r="S92" s="18">
        <v>1.4303403982016698</v>
      </c>
    </row>
    <row r="93" spans="1:19" ht="15.5" x14ac:dyDescent="0.35">
      <c r="A93" s="16" t="s">
        <v>360</v>
      </c>
      <c r="B93" s="16">
        <v>26</v>
      </c>
      <c r="C93" s="16">
        <v>109</v>
      </c>
      <c r="D93" s="16">
        <v>115</v>
      </c>
      <c r="E93" s="16">
        <v>148</v>
      </c>
      <c r="F93" s="16">
        <v>101.88000000000001</v>
      </c>
      <c r="G93" s="16">
        <v>17.600000000000001</v>
      </c>
      <c r="H93" s="16">
        <v>7.6</v>
      </c>
      <c r="I93" s="16">
        <v>12.9</v>
      </c>
      <c r="J93" s="16">
        <v>1.24</v>
      </c>
      <c r="K93" s="16">
        <v>6.6</v>
      </c>
      <c r="L93" s="16">
        <v>8.6</v>
      </c>
      <c r="M93" s="16">
        <v>2.8</v>
      </c>
      <c r="N93" s="16">
        <v>40.6</v>
      </c>
      <c r="O93" s="18">
        <v>6.9640000000000004</v>
      </c>
      <c r="P93" s="18">
        <v>3.6439999999999997</v>
      </c>
      <c r="Q93" s="18">
        <v>3.1060000000000003</v>
      </c>
      <c r="R93" s="16">
        <v>48.9</v>
      </c>
      <c r="S93" s="18">
        <v>0.63725112395632633</v>
      </c>
    </row>
    <row r="94" spans="1:19" ht="15.5" x14ac:dyDescent="0.35">
      <c r="A94" s="16" t="s">
        <v>361</v>
      </c>
      <c r="B94" s="16">
        <v>26</v>
      </c>
      <c r="C94" s="16">
        <v>108</v>
      </c>
      <c r="D94" s="16">
        <v>114</v>
      </c>
      <c r="E94" s="16">
        <v>143</v>
      </c>
      <c r="F94" s="16">
        <v>97.94</v>
      </c>
      <c r="G94" s="16">
        <v>16.48</v>
      </c>
      <c r="H94" s="16">
        <v>8.5</v>
      </c>
      <c r="I94" s="16">
        <v>10.84</v>
      </c>
      <c r="J94" s="16">
        <v>0.88000000000000012</v>
      </c>
      <c r="K94" s="16">
        <v>12.6</v>
      </c>
      <c r="L94" s="16">
        <v>10</v>
      </c>
      <c r="M94" s="16">
        <v>3</v>
      </c>
      <c r="N94" s="16">
        <v>37.6</v>
      </c>
      <c r="O94" s="18">
        <v>5.77</v>
      </c>
      <c r="P94" s="18">
        <v>2.66</v>
      </c>
      <c r="Q94" s="18">
        <v>2.5439999999999996</v>
      </c>
      <c r="R94" s="16">
        <v>29.4</v>
      </c>
      <c r="S94" s="18">
        <v>1.5908542068079643</v>
      </c>
    </row>
    <row r="95" spans="1:19" ht="15.5" x14ac:dyDescent="0.35">
      <c r="A95" s="16" t="s">
        <v>362</v>
      </c>
      <c r="B95" s="16">
        <v>26</v>
      </c>
      <c r="C95" s="16">
        <v>103</v>
      </c>
      <c r="D95" s="16">
        <v>110</v>
      </c>
      <c r="E95" s="16">
        <v>144</v>
      </c>
      <c r="F95" s="16">
        <v>100.06</v>
      </c>
      <c r="G95" s="16">
        <v>8.75</v>
      </c>
      <c r="H95" s="16">
        <v>8.8199999999999985</v>
      </c>
      <c r="I95" s="16">
        <v>14.4</v>
      </c>
      <c r="J95" s="16">
        <v>0.94000000000000006</v>
      </c>
      <c r="K95" s="16">
        <v>16</v>
      </c>
      <c r="L95" s="16">
        <v>9</v>
      </c>
      <c r="M95" s="16">
        <v>3.2</v>
      </c>
      <c r="N95" s="16">
        <v>40.4</v>
      </c>
      <c r="O95" s="18">
        <v>6.26</v>
      </c>
      <c r="P95" s="18">
        <v>3.1440000000000001</v>
      </c>
      <c r="Q95" s="18">
        <v>2.5940000000000003</v>
      </c>
      <c r="R95" s="16">
        <v>37.9</v>
      </c>
      <c r="S95" s="18">
        <v>1.3063583815028901</v>
      </c>
    </row>
    <row r="96" spans="1:19" ht="15.5" x14ac:dyDescent="0.35">
      <c r="A96" s="16" t="s">
        <v>363</v>
      </c>
      <c r="B96" s="16">
        <v>22</v>
      </c>
      <c r="C96" s="16">
        <v>108</v>
      </c>
      <c r="D96" s="16">
        <v>109</v>
      </c>
      <c r="E96" s="16">
        <v>142</v>
      </c>
      <c r="F96" s="16">
        <v>101.78</v>
      </c>
      <c r="G96" s="16">
        <v>31.3</v>
      </c>
      <c r="H96" s="16">
        <v>8.1999999999999993</v>
      </c>
      <c r="I96" s="16">
        <v>14.1</v>
      </c>
      <c r="J96" s="16">
        <v>0.9</v>
      </c>
      <c r="K96" s="16">
        <v>18.399999999999999</v>
      </c>
      <c r="L96" s="16">
        <v>7.6</v>
      </c>
      <c r="M96" s="16">
        <v>2.6</v>
      </c>
      <c r="N96" s="16">
        <v>31.8</v>
      </c>
      <c r="O96" s="18">
        <v>6.266</v>
      </c>
      <c r="P96" s="18">
        <v>3.6</v>
      </c>
      <c r="Q96" s="18">
        <v>2.9020000000000001</v>
      </c>
      <c r="R96" s="16">
        <v>41.01</v>
      </c>
      <c r="S96" s="18">
        <v>2.0485163776493254</v>
      </c>
    </row>
    <row r="97" spans="1:19" ht="15.5" x14ac:dyDescent="0.35">
      <c r="A97" s="16" t="s">
        <v>364</v>
      </c>
      <c r="B97" s="16">
        <v>22</v>
      </c>
      <c r="C97" s="16">
        <v>106</v>
      </c>
      <c r="D97" s="16">
        <v>112</v>
      </c>
      <c r="E97" s="16">
        <v>146</v>
      </c>
      <c r="F97" s="16">
        <v>101.94000000000001</v>
      </c>
      <c r="G97" s="16">
        <v>19.36</v>
      </c>
      <c r="H97" s="16">
        <v>7.580000000000001</v>
      </c>
      <c r="I97" s="16">
        <v>11.620000000000001</v>
      </c>
      <c r="J97" s="16">
        <v>1</v>
      </c>
      <c r="K97" s="16">
        <v>15.4</v>
      </c>
      <c r="L97" s="16">
        <v>8.6</v>
      </c>
      <c r="M97" s="16">
        <v>2.8</v>
      </c>
      <c r="N97" s="16">
        <v>35.6</v>
      </c>
      <c r="O97" s="18">
        <v>6.1980000000000004</v>
      </c>
      <c r="P97" s="18">
        <v>3.3600000000000003</v>
      </c>
      <c r="Q97" s="18">
        <v>2.6819999999999999</v>
      </c>
      <c r="R97" s="16">
        <v>36.700000000000003</v>
      </c>
      <c r="S97" s="18">
        <v>1.0265895953757225</v>
      </c>
    </row>
    <row r="98" spans="1:19" ht="15.5" x14ac:dyDescent="0.35">
      <c r="A98" s="16" t="s">
        <v>365</v>
      </c>
      <c r="B98" s="16">
        <v>26</v>
      </c>
      <c r="C98" s="16">
        <v>106</v>
      </c>
      <c r="D98" s="16">
        <v>110</v>
      </c>
      <c r="E98" s="16">
        <v>146</v>
      </c>
      <c r="F98" s="16">
        <v>97.4</v>
      </c>
      <c r="G98" s="16">
        <v>20.3</v>
      </c>
      <c r="H98" s="16">
        <v>8.1</v>
      </c>
      <c r="I98" s="16">
        <v>13.84</v>
      </c>
      <c r="J98" s="16">
        <v>1</v>
      </c>
      <c r="K98" s="16">
        <v>3.4</v>
      </c>
      <c r="L98" s="16">
        <v>8.8000000000000007</v>
      </c>
      <c r="M98" s="16">
        <v>3</v>
      </c>
      <c r="N98" s="16">
        <v>40</v>
      </c>
      <c r="O98" s="18">
        <v>5.3</v>
      </c>
      <c r="P98" s="18">
        <v>3.46</v>
      </c>
      <c r="Q98" s="18">
        <v>2.984</v>
      </c>
      <c r="R98" s="16">
        <v>34.6</v>
      </c>
      <c r="S98" s="18">
        <v>1.8361078998073219</v>
      </c>
    </row>
    <row r="99" spans="1:19" ht="15.5" x14ac:dyDescent="0.35">
      <c r="A99" s="16" t="s">
        <v>366</v>
      </c>
      <c r="B99" s="16">
        <v>26</v>
      </c>
      <c r="C99" s="16">
        <v>104</v>
      </c>
      <c r="D99" s="16">
        <v>109</v>
      </c>
      <c r="E99" s="16">
        <v>143</v>
      </c>
      <c r="F99" s="16">
        <v>101.64</v>
      </c>
      <c r="G99" s="16">
        <v>23</v>
      </c>
      <c r="H99" s="16">
        <v>8.9</v>
      </c>
      <c r="I99" s="16">
        <v>12.9</v>
      </c>
      <c r="J99" s="16">
        <v>1.1000000000000001</v>
      </c>
      <c r="K99" s="16">
        <v>11.8</v>
      </c>
      <c r="L99" s="16">
        <v>9</v>
      </c>
      <c r="M99" s="16">
        <v>3</v>
      </c>
      <c r="N99" s="16">
        <v>41.8</v>
      </c>
      <c r="O99" s="18">
        <v>5.6959999999999997</v>
      </c>
      <c r="P99" s="18">
        <v>3.4899999999999998</v>
      </c>
      <c r="Q99" s="18">
        <v>2.7359999999999998</v>
      </c>
      <c r="R99" s="16">
        <v>34.799999999999997</v>
      </c>
      <c r="S99" s="18">
        <v>2.0555684007707131</v>
      </c>
    </row>
    <row r="100" spans="1:19" ht="15.5" x14ac:dyDescent="0.35">
      <c r="A100" s="16" t="s">
        <v>367</v>
      </c>
      <c r="B100" s="16">
        <v>26</v>
      </c>
      <c r="C100" s="16">
        <v>102</v>
      </c>
      <c r="D100" s="16">
        <v>110</v>
      </c>
      <c r="E100" s="16">
        <v>144</v>
      </c>
      <c r="F100" s="16">
        <v>98.72</v>
      </c>
      <c r="G100" s="16">
        <v>15.9</v>
      </c>
      <c r="H100" s="16">
        <v>8.120000000000001</v>
      </c>
      <c r="I100" s="16">
        <v>12.620000000000001</v>
      </c>
      <c r="J100" s="16">
        <v>1.02</v>
      </c>
      <c r="K100" s="16">
        <v>8.6</v>
      </c>
      <c r="L100" s="16">
        <v>9</v>
      </c>
      <c r="M100" s="16">
        <v>3</v>
      </c>
      <c r="N100" s="16">
        <v>41.6</v>
      </c>
      <c r="O100" s="18">
        <v>5.952</v>
      </c>
      <c r="P100" s="18">
        <v>3.3920000000000003</v>
      </c>
      <c r="Q100" s="18">
        <v>3.1780000000000004</v>
      </c>
      <c r="R100" s="16">
        <v>41.01</v>
      </c>
      <c r="S100" s="18">
        <v>1.3711368015414258</v>
      </c>
    </row>
    <row r="101" spans="1:19" ht="15.5" x14ac:dyDescent="0.35">
      <c r="A101" s="16" t="s">
        <v>368</v>
      </c>
      <c r="B101" s="16">
        <v>26</v>
      </c>
      <c r="C101" s="16">
        <v>108</v>
      </c>
      <c r="D101" s="16">
        <v>112</v>
      </c>
      <c r="E101" s="16">
        <v>146</v>
      </c>
      <c r="F101" s="16">
        <v>99</v>
      </c>
      <c r="G101" s="16">
        <v>16.8</v>
      </c>
      <c r="H101" s="16">
        <v>8.16</v>
      </c>
      <c r="I101" s="16">
        <v>11</v>
      </c>
      <c r="J101" s="16">
        <v>0.91999999999999993</v>
      </c>
      <c r="K101" s="16">
        <v>7.2</v>
      </c>
      <c r="L101" s="16">
        <v>8.8000000000000007</v>
      </c>
      <c r="M101" s="16">
        <v>3</v>
      </c>
      <c r="N101" s="16">
        <v>41.8</v>
      </c>
      <c r="O101" s="18">
        <v>5.2840000000000007</v>
      </c>
      <c r="P101" s="18">
        <v>2.9119999999999999</v>
      </c>
      <c r="Q101" s="18">
        <v>2.4259999999999997</v>
      </c>
      <c r="R101" s="16">
        <v>29.4</v>
      </c>
      <c r="S101" s="18">
        <v>1.6149004495825305</v>
      </c>
    </row>
    <row r="102" spans="1:19" ht="15.5" x14ac:dyDescent="0.35">
      <c r="A102" s="16" t="s">
        <v>369</v>
      </c>
      <c r="B102" s="16">
        <v>26</v>
      </c>
      <c r="C102" s="16">
        <v>108</v>
      </c>
      <c r="D102" s="16">
        <v>115</v>
      </c>
      <c r="E102" s="16">
        <v>146</v>
      </c>
      <c r="F102" s="16">
        <v>96.47999999999999</v>
      </c>
      <c r="G102" s="16">
        <v>20.3</v>
      </c>
      <c r="H102" s="16">
        <v>8.4599999999999991</v>
      </c>
      <c r="I102" s="16">
        <v>14.419999999999998</v>
      </c>
      <c r="J102" s="16">
        <v>1.0799999999999998</v>
      </c>
      <c r="K102" s="16">
        <v>7.8</v>
      </c>
      <c r="L102" s="16">
        <v>8.1999999999999993</v>
      </c>
      <c r="M102" s="16">
        <v>2.8</v>
      </c>
      <c r="N102" s="16">
        <v>40.6</v>
      </c>
      <c r="O102" s="18">
        <v>5.7</v>
      </c>
      <c r="P102" s="18">
        <v>2.8479999999999999</v>
      </c>
      <c r="Q102" s="18">
        <v>2.8180000000000001</v>
      </c>
      <c r="R102" s="16">
        <v>31.8</v>
      </c>
      <c r="S102" s="18">
        <v>1.3420937700706486</v>
      </c>
    </row>
    <row r="103" spans="1:19" ht="15.5" x14ac:dyDescent="0.35">
      <c r="A103" s="16" t="s">
        <v>370</v>
      </c>
      <c r="B103" s="16">
        <v>26</v>
      </c>
      <c r="C103" s="16">
        <v>108</v>
      </c>
      <c r="D103" s="16">
        <v>112</v>
      </c>
      <c r="E103" s="16">
        <v>145</v>
      </c>
      <c r="F103" s="16">
        <v>93.7</v>
      </c>
      <c r="G103" s="16">
        <v>15.7</v>
      </c>
      <c r="H103" s="16">
        <v>7.08</v>
      </c>
      <c r="I103" s="16">
        <v>12.5</v>
      </c>
      <c r="J103" s="16">
        <v>1.02</v>
      </c>
      <c r="K103" s="16">
        <v>8</v>
      </c>
      <c r="L103" s="16">
        <v>8.6</v>
      </c>
      <c r="M103" s="16">
        <v>3</v>
      </c>
      <c r="N103" s="16">
        <v>42.4</v>
      </c>
      <c r="O103" s="18">
        <v>5.6240000000000006</v>
      </c>
      <c r="P103" s="18">
        <v>3.4240000000000004</v>
      </c>
      <c r="Q103" s="18">
        <v>2.8460000000000001</v>
      </c>
      <c r="R103" s="16">
        <v>32.4</v>
      </c>
      <c r="S103" s="18">
        <v>1.3611303789338469</v>
      </c>
    </row>
    <row r="104" spans="1:19" ht="15.5" x14ac:dyDescent="0.35">
      <c r="A104" s="16" t="s">
        <v>371</v>
      </c>
      <c r="B104" s="16">
        <v>26</v>
      </c>
      <c r="C104" s="16">
        <v>108</v>
      </c>
      <c r="D104" s="16">
        <v>114</v>
      </c>
      <c r="E104" s="16">
        <v>145</v>
      </c>
      <c r="F104" s="16">
        <v>97.6</v>
      </c>
      <c r="G104" s="16">
        <v>15.7</v>
      </c>
      <c r="H104" s="16">
        <v>8.76</v>
      </c>
      <c r="I104" s="16">
        <v>11.7</v>
      </c>
      <c r="J104" s="16">
        <v>0.91999999999999993</v>
      </c>
      <c r="K104" s="16">
        <v>6.2</v>
      </c>
      <c r="L104" s="16">
        <v>10.6</v>
      </c>
      <c r="M104" s="16">
        <v>2.8</v>
      </c>
      <c r="N104" s="16">
        <v>38.200000000000003</v>
      </c>
      <c r="O104" s="18">
        <v>5.5260000000000007</v>
      </c>
      <c r="P104" s="18">
        <v>3.1699999999999995</v>
      </c>
      <c r="Q104" s="18">
        <v>2.7119999999999997</v>
      </c>
      <c r="R104" s="16">
        <v>33.4</v>
      </c>
      <c r="S104" s="18">
        <v>1.2846628131021194</v>
      </c>
    </row>
    <row r="105" spans="1:19" ht="15.5" x14ac:dyDescent="0.35">
      <c r="A105" s="16" t="s">
        <v>372</v>
      </c>
      <c r="B105" s="16">
        <v>26</v>
      </c>
      <c r="C105" s="16">
        <v>106</v>
      </c>
      <c r="D105" s="16">
        <v>115</v>
      </c>
      <c r="E105" s="16">
        <v>145</v>
      </c>
      <c r="F105" s="16">
        <v>89.1</v>
      </c>
      <c r="G105" s="16">
        <v>15.2</v>
      </c>
      <c r="H105" s="16">
        <v>7.56</v>
      </c>
      <c r="I105" s="16">
        <v>11.1</v>
      </c>
      <c r="J105" s="16">
        <v>0.82</v>
      </c>
      <c r="K105" s="16">
        <v>8.4</v>
      </c>
      <c r="L105" s="16">
        <v>10.6</v>
      </c>
      <c r="M105" s="16">
        <v>2.8</v>
      </c>
      <c r="N105" s="16">
        <v>43</v>
      </c>
      <c r="O105" s="18">
        <v>5.4180000000000001</v>
      </c>
      <c r="P105" s="18">
        <v>3.1700000000000004</v>
      </c>
      <c r="Q105" s="18">
        <v>2.8519999999999994</v>
      </c>
      <c r="R105" s="16">
        <v>28.4</v>
      </c>
      <c r="S105" s="18">
        <v>1.1640231213872836</v>
      </c>
    </row>
    <row r="106" spans="1:19" ht="15.5" x14ac:dyDescent="0.35">
      <c r="A106" s="16" t="s">
        <v>373</v>
      </c>
      <c r="B106" s="16">
        <v>26</v>
      </c>
      <c r="C106" s="16">
        <v>107</v>
      </c>
      <c r="D106" s="16">
        <v>112</v>
      </c>
      <c r="E106" s="16">
        <v>145</v>
      </c>
      <c r="F106" s="16">
        <v>100.24</v>
      </c>
      <c r="G106" s="16">
        <v>18.3</v>
      </c>
      <c r="H106" s="16">
        <v>7.4799999999999995</v>
      </c>
      <c r="I106" s="16">
        <v>12</v>
      </c>
      <c r="J106" s="16">
        <v>0.94000000000000006</v>
      </c>
      <c r="K106" s="16">
        <v>8.1999999999999993</v>
      </c>
      <c r="L106" s="16">
        <v>10.199999999999999</v>
      </c>
      <c r="M106" s="16">
        <v>3</v>
      </c>
      <c r="N106" s="16">
        <v>41.6</v>
      </c>
      <c r="O106" s="18">
        <v>5.7780000000000005</v>
      </c>
      <c r="P106" s="18">
        <v>3.222</v>
      </c>
      <c r="Q106" s="18">
        <v>2.6859999999999999</v>
      </c>
      <c r="R106" s="16">
        <v>34.799999999999997</v>
      </c>
      <c r="S106" s="18">
        <v>1.7407835581245985</v>
      </c>
    </row>
    <row r="107" spans="1:19" ht="15.5" x14ac:dyDescent="0.35">
      <c r="A107" s="16" t="s">
        <v>374</v>
      </c>
      <c r="B107" s="16">
        <v>26</v>
      </c>
      <c r="C107" s="16">
        <v>124</v>
      </c>
      <c r="D107" s="16">
        <v>128</v>
      </c>
      <c r="E107" s="16">
        <v>145</v>
      </c>
      <c r="F107" s="16">
        <v>34.799999999999997</v>
      </c>
      <c r="G107" s="16">
        <v>6.2</v>
      </c>
      <c r="H107" s="16">
        <v>6.2</v>
      </c>
      <c r="I107" s="16">
        <v>14.819999999999999</v>
      </c>
      <c r="J107" s="16">
        <v>1.24</v>
      </c>
      <c r="K107" s="16">
        <v>8</v>
      </c>
      <c r="L107" s="16">
        <v>7.8</v>
      </c>
      <c r="M107" s="16">
        <v>2.2000000000000002</v>
      </c>
      <c r="N107" s="16">
        <v>16.8</v>
      </c>
      <c r="O107" s="18">
        <v>6.23</v>
      </c>
      <c r="P107" s="18">
        <v>2.3940000000000001</v>
      </c>
      <c r="Q107" s="18">
        <v>2.3260000000000001</v>
      </c>
      <c r="R107" s="16">
        <v>24.2</v>
      </c>
      <c r="S107" s="18">
        <v>1.2631470777135516</v>
      </c>
    </row>
    <row r="108" spans="1:19" ht="15.5" x14ac:dyDescent="0.35">
      <c r="A108" s="16" t="s">
        <v>375</v>
      </c>
      <c r="B108" s="16">
        <v>26</v>
      </c>
      <c r="C108" s="16">
        <v>118</v>
      </c>
      <c r="D108" s="16">
        <v>134</v>
      </c>
      <c r="E108" s="16">
        <v>149</v>
      </c>
      <c r="F108" s="16">
        <v>44.8</v>
      </c>
      <c r="G108" s="16">
        <v>2.7</v>
      </c>
      <c r="H108" s="16">
        <v>6.6</v>
      </c>
      <c r="I108" s="16">
        <v>11.66</v>
      </c>
      <c r="J108" s="16">
        <v>1.3399999999999999</v>
      </c>
      <c r="K108" s="16">
        <v>5.8</v>
      </c>
      <c r="L108" s="16">
        <v>8.8000000000000007</v>
      </c>
      <c r="M108" s="16">
        <v>3</v>
      </c>
      <c r="N108" s="16">
        <v>36</v>
      </c>
      <c r="O108" s="18">
        <v>6.3259999999999996</v>
      </c>
      <c r="P108" s="18">
        <v>3.07</v>
      </c>
      <c r="Q108" s="18">
        <v>2.9479999999999995</v>
      </c>
      <c r="R108" s="16">
        <v>38.4</v>
      </c>
      <c r="S108" s="18">
        <v>0.59156069364161856</v>
      </c>
    </row>
    <row r="109" spans="1:19" ht="15.5" x14ac:dyDescent="0.35">
      <c r="A109" s="16" t="s">
        <v>376</v>
      </c>
      <c r="B109" s="16">
        <v>27</v>
      </c>
      <c r="C109" s="16">
        <v>116</v>
      </c>
      <c r="D109" s="16">
        <v>132</v>
      </c>
      <c r="E109" s="16">
        <v>149</v>
      </c>
      <c r="F109" s="16">
        <v>93.8</v>
      </c>
      <c r="G109" s="16">
        <v>23.7</v>
      </c>
      <c r="H109" s="16">
        <v>8.4</v>
      </c>
      <c r="I109" s="16">
        <v>20</v>
      </c>
      <c r="J109" s="16">
        <v>1.26</v>
      </c>
      <c r="K109" s="16">
        <v>7.6</v>
      </c>
      <c r="L109" s="16">
        <v>7.8</v>
      </c>
      <c r="M109" s="16">
        <v>2.8</v>
      </c>
      <c r="N109" s="16">
        <v>26.4</v>
      </c>
      <c r="O109" s="18">
        <v>5.6980000000000004</v>
      </c>
      <c r="P109" s="18">
        <v>3.286</v>
      </c>
      <c r="Q109" s="18">
        <v>2.5739999999999998</v>
      </c>
      <c r="R109" s="16">
        <v>30.7</v>
      </c>
      <c r="S109" s="18">
        <v>0.93307642903018628</v>
      </c>
    </row>
    <row r="110" spans="1:19" ht="15.5" x14ac:dyDescent="0.35">
      <c r="A110" s="16" t="s">
        <v>377</v>
      </c>
      <c r="B110" s="16">
        <v>26</v>
      </c>
      <c r="C110" s="16">
        <v>118</v>
      </c>
      <c r="D110" s="16">
        <v>130</v>
      </c>
      <c r="E110" s="16">
        <v>163</v>
      </c>
      <c r="F110" s="16">
        <v>66.599999999999994</v>
      </c>
      <c r="G110" s="16">
        <v>5.3</v>
      </c>
      <c r="H110" s="16">
        <v>7.5</v>
      </c>
      <c r="I110" s="16">
        <v>16.759999999999998</v>
      </c>
      <c r="J110" s="16">
        <v>1.3</v>
      </c>
      <c r="K110" s="16">
        <v>5.6</v>
      </c>
      <c r="L110" s="16">
        <v>8</v>
      </c>
      <c r="M110" s="16">
        <v>3</v>
      </c>
      <c r="N110" s="16">
        <v>41.8</v>
      </c>
      <c r="O110" s="18">
        <v>6.2299999999999995</v>
      </c>
      <c r="P110" s="18">
        <v>3.0760000000000001</v>
      </c>
      <c r="Q110" s="18">
        <v>2.8600000000000003</v>
      </c>
      <c r="R110" s="16">
        <v>43.2</v>
      </c>
      <c r="S110" s="18">
        <v>1.3601156069364164</v>
      </c>
    </row>
    <row r="111" spans="1:19" ht="15.5" x14ac:dyDescent="0.35">
      <c r="A111" s="16" t="s">
        <v>378</v>
      </c>
      <c r="B111" s="16">
        <v>26</v>
      </c>
      <c r="C111" s="16">
        <v>124</v>
      </c>
      <c r="D111" s="16">
        <v>124</v>
      </c>
      <c r="E111" s="16">
        <v>163</v>
      </c>
      <c r="F111" s="16">
        <v>84.2</v>
      </c>
      <c r="G111" s="16">
        <v>6.1599999999999993</v>
      </c>
      <c r="H111" s="16">
        <v>9.76</v>
      </c>
      <c r="I111" s="16">
        <v>13.6</v>
      </c>
      <c r="J111" s="16">
        <v>1.1800000000000002</v>
      </c>
      <c r="K111" s="16">
        <v>7</v>
      </c>
      <c r="L111" s="16">
        <v>7</v>
      </c>
      <c r="M111" s="16">
        <v>3</v>
      </c>
      <c r="N111" s="16">
        <v>36.4</v>
      </c>
      <c r="O111" s="18">
        <v>5.3820000000000006</v>
      </c>
      <c r="P111" s="18">
        <v>2.6719999999999997</v>
      </c>
      <c r="Q111" s="18">
        <v>2.4539999999999997</v>
      </c>
      <c r="R111" s="16">
        <v>24.5</v>
      </c>
      <c r="S111" s="18">
        <v>0.75895953757225443</v>
      </c>
    </row>
    <row r="112" spans="1:19" ht="15.5" x14ac:dyDescent="0.35">
      <c r="A112" s="16" t="s">
        <v>379</v>
      </c>
      <c r="B112" s="16">
        <v>26</v>
      </c>
      <c r="C112" s="16">
        <v>118</v>
      </c>
      <c r="D112" s="16">
        <v>111</v>
      </c>
      <c r="E112" s="16">
        <v>150</v>
      </c>
      <c r="F112" s="16">
        <v>103.75999999999999</v>
      </c>
      <c r="G112" s="16">
        <v>18.600000000000001</v>
      </c>
      <c r="H112" s="16">
        <v>10.199999999999999</v>
      </c>
      <c r="I112" s="16">
        <v>15.34</v>
      </c>
      <c r="J112" s="16">
        <v>1.08</v>
      </c>
      <c r="K112" s="16">
        <v>9</v>
      </c>
      <c r="L112" s="16">
        <v>9</v>
      </c>
      <c r="M112" s="16">
        <v>2.6</v>
      </c>
      <c r="N112" s="16">
        <v>38.4</v>
      </c>
      <c r="O112" s="18">
        <v>6.2119999999999997</v>
      </c>
      <c r="P112" s="18">
        <v>3.4019999999999997</v>
      </c>
      <c r="Q112" s="18">
        <v>2.7240000000000002</v>
      </c>
      <c r="R112" s="16">
        <v>39.799999999999997</v>
      </c>
      <c r="S112" s="18">
        <v>1.448529222864483</v>
      </c>
    </row>
    <row r="113" spans="1:19" ht="15.5" x14ac:dyDescent="0.35">
      <c r="A113" s="16" t="s">
        <v>380</v>
      </c>
      <c r="B113" s="16">
        <v>26</v>
      </c>
      <c r="C113" s="16">
        <v>109</v>
      </c>
      <c r="D113" s="16">
        <v>130</v>
      </c>
      <c r="E113" s="16">
        <v>163</v>
      </c>
      <c r="F113" s="16">
        <v>101.34</v>
      </c>
      <c r="G113" s="16">
        <v>24.1</v>
      </c>
      <c r="H113" s="16">
        <v>10.6</v>
      </c>
      <c r="I113" s="16">
        <v>16.399999999999999</v>
      </c>
      <c r="J113" s="16">
        <v>1.08</v>
      </c>
      <c r="K113" s="16">
        <v>7</v>
      </c>
      <c r="L113" s="16">
        <v>11.6</v>
      </c>
      <c r="M113" s="16">
        <v>3.2</v>
      </c>
      <c r="N113" s="16">
        <v>65.8</v>
      </c>
      <c r="O113" s="18">
        <v>6.2040000000000006</v>
      </c>
      <c r="P113" s="18">
        <v>3.0060000000000002</v>
      </c>
      <c r="Q113" s="18">
        <v>2.5599999999999996</v>
      </c>
      <c r="R113" s="16">
        <v>37.01</v>
      </c>
      <c r="S113" s="18">
        <v>1.0369942196531792</v>
      </c>
    </row>
    <row r="114" spans="1:19" ht="15.5" x14ac:dyDescent="0.35">
      <c r="A114" s="16" t="s">
        <v>381</v>
      </c>
      <c r="B114" s="16">
        <v>26</v>
      </c>
      <c r="C114" s="16">
        <v>122</v>
      </c>
      <c r="D114" s="16">
        <v>113</v>
      </c>
      <c r="E114" s="16">
        <v>149</v>
      </c>
      <c r="F114" s="16">
        <v>72.599999999999994</v>
      </c>
      <c r="G114" s="16">
        <v>7.6</v>
      </c>
      <c r="H114" s="16">
        <v>8.8000000000000007</v>
      </c>
      <c r="I114" s="16">
        <v>10.040000000000001</v>
      </c>
      <c r="J114" s="16">
        <v>0.93999999999999984</v>
      </c>
      <c r="K114" s="16">
        <v>3.8</v>
      </c>
      <c r="L114" s="16">
        <v>9.6</v>
      </c>
      <c r="M114" s="16">
        <v>3.2</v>
      </c>
      <c r="N114" s="16">
        <v>43.4</v>
      </c>
      <c r="O114" s="18">
        <v>6.1659999999999995</v>
      </c>
      <c r="P114" s="18">
        <v>3.6659999999999995</v>
      </c>
      <c r="Q114" s="18">
        <v>3.0260000000000002</v>
      </c>
      <c r="R114" s="16">
        <v>41.1</v>
      </c>
      <c r="S114" s="18">
        <v>1.3772511239563263</v>
      </c>
    </row>
    <row r="115" spans="1:19" ht="15.5" x14ac:dyDescent="0.35">
      <c r="A115" s="16" t="s">
        <v>382</v>
      </c>
      <c r="B115" s="16">
        <v>22</v>
      </c>
      <c r="C115" s="16">
        <v>106</v>
      </c>
      <c r="D115" s="16">
        <v>113</v>
      </c>
      <c r="E115" s="16">
        <v>163</v>
      </c>
      <c r="F115" s="16">
        <v>75.400000000000006</v>
      </c>
      <c r="G115" s="16">
        <v>8.6999999999999993</v>
      </c>
      <c r="H115" s="16">
        <v>10</v>
      </c>
      <c r="I115" s="16">
        <v>11.3</v>
      </c>
      <c r="J115" s="16">
        <v>1.1800000000000002</v>
      </c>
      <c r="K115" s="16">
        <v>5.8</v>
      </c>
      <c r="L115" s="16">
        <v>11</v>
      </c>
      <c r="M115" s="16">
        <v>2.8</v>
      </c>
      <c r="N115" s="16">
        <v>43.6</v>
      </c>
      <c r="O115" s="18">
        <v>6.45</v>
      </c>
      <c r="P115" s="18">
        <v>3.4760000000000004</v>
      </c>
      <c r="Q115" s="18">
        <v>3.0859999999999999</v>
      </c>
      <c r="R115" s="16">
        <v>45.9</v>
      </c>
      <c r="S115" s="18">
        <v>1.3541040462427747</v>
      </c>
    </row>
    <row r="116" spans="1:19" ht="15.5" x14ac:dyDescent="0.35">
      <c r="A116" s="16" t="s">
        <v>284</v>
      </c>
      <c r="B116" s="16">
        <v>26</v>
      </c>
      <c r="C116" s="16">
        <v>109</v>
      </c>
      <c r="D116" s="16">
        <v>113</v>
      </c>
      <c r="E116" s="16">
        <v>163</v>
      </c>
      <c r="F116" s="16">
        <v>80.400000000000006</v>
      </c>
      <c r="G116" s="16">
        <v>10.370000000000001</v>
      </c>
      <c r="H116" s="16">
        <v>11.3</v>
      </c>
      <c r="I116" s="16">
        <v>11.36</v>
      </c>
      <c r="J116" s="16">
        <v>1.04</v>
      </c>
      <c r="K116" s="16">
        <v>5.2</v>
      </c>
      <c r="L116" s="16">
        <v>10.199999999999999</v>
      </c>
      <c r="M116" s="16">
        <v>2.8</v>
      </c>
      <c r="N116" s="16">
        <v>38.200000000000003</v>
      </c>
      <c r="O116" s="18">
        <v>6.3059999999999992</v>
      </c>
      <c r="P116" s="18">
        <v>3.4279999999999999</v>
      </c>
      <c r="Q116" s="18">
        <v>3.0179999999999998</v>
      </c>
      <c r="R116" s="16">
        <v>43.8</v>
      </c>
      <c r="S116" s="18">
        <v>1.3672447013487474</v>
      </c>
    </row>
    <row r="117" spans="1:19" ht="15.5" x14ac:dyDescent="0.35">
      <c r="A117" s="16" t="s">
        <v>283</v>
      </c>
      <c r="B117" s="1">
        <v>26</v>
      </c>
      <c r="C117" s="1">
        <v>109</v>
      </c>
      <c r="D117" s="16">
        <v>113</v>
      </c>
      <c r="E117" s="16">
        <v>163</v>
      </c>
      <c r="F117" s="16">
        <v>87.2</v>
      </c>
      <c r="G117" s="16">
        <v>14.6</v>
      </c>
      <c r="H117" s="16">
        <v>11.4</v>
      </c>
      <c r="I117" s="16">
        <v>11.7</v>
      </c>
      <c r="J117" s="16">
        <v>0.88000000000000012</v>
      </c>
      <c r="K117" s="16">
        <v>5.8</v>
      </c>
      <c r="L117" s="16">
        <v>10.199999999999999</v>
      </c>
      <c r="M117" s="16">
        <v>2.8</v>
      </c>
      <c r="N117" s="16">
        <v>50.8</v>
      </c>
      <c r="O117" s="18">
        <v>6.3859999999999992</v>
      </c>
      <c r="P117" s="18">
        <v>3.5939999999999999</v>
      </c>
      <c r="Q117" s="18">
        <v>2.9839999999999995</v>
      </c>
      <c r="R117" s="16">
        <v>46.6</v>
      </c>
      <c r="S117" s="18">
        <v>1.2191265253693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E465-7B43-47AF-B7B9-728D91039AB0}">
  <dimension ref="A1:M117"/>
  <sheetViews>
    <sheetView workbookViewId="0">
      <selection activeCell="F9" sqref="F9"/>
    </sheetView>
  </sheetViews>
  <sheetFormatPr defaultRowHeight="14.5" x14ac:dyDescent="0.35"/>
  <cols>
    <col min="1" max="1" width="17.1796875" customWidth="1"/>
  </cols>
  <sheetData>
    <row r="1" spans="1:13" ht="15.5" x14ac:dyDescent="0.35">
      <c r="A1" s="16" t="s">
        <v>270</v>
      </c>
      <c r="B1" s="16" t="s">
        <v>385</v>
      </c>
      <c r="C1" s="16" t="s">
        <v>262</v>
      </c>
      <c r="D1" s="16" t="s">
        <v>263</v>
      </c>
      <c r="E1" s="16" t="s">
        <v>264</v>
      </c>
      <c r="F1" s="16" t="s">
        <v>266</v>
      </c>
      <c r="G1" s="16" t="s">
        <v>440</v>
      </c>
      <c r="H1" s="16" t="s">
        <v>268</v>
      </c>
      <c r="I1" s="16" t="s">
        <v>269</v>
      </c>
      <c r="J1" s="16" t="s">
        <v>267</v>
      </c>
      <c r="K1" s="16" t="s">
        <v>258</v>
      </c>
      <c r="L1" s="16" t="s">
        <v>255</v>
      </c>
      <c r="M1" s="16" t="s">
        <v>254</v>
      </c>
    </row>
    <row r="2" spans="1:13" ht="15.5" x14ac:dyDescent="0.35">
      <c r="A2" s="16" t="s">
        <v>126</v>
      </c>
      <c r="B2" s="16">
        <v>104</v>
      </c>
      <c r="C2" s="16">
        <v>111</v>
      </c>
      <c r="D2" s="16">
        <v>138</v>
      </c>
      <c r="E2" s="16">
        <v>97.8</v>
      </c>
      <c r="F2" s="16">
        <v>7.7200000000000006</v>
      </c>
      <c r="G2" s="16">
        <v>9</v>
      </c>
      <c r="H2" s="16">
        <v>9</v>
      </c>
      <c r="I2" s="16">
        <v>2</v>
      </c>
      <c r="J2" s="16">
        <v>34</v>
      </c>
      <c r="K2" s="18">
        <v>5.5640000000000001</v>
      </c>
      <c r="L2" s="16">
        <v>34.700000000000003</v>
      </c>
      <c r="M2" s="18">
        <v>1.9906486833654462</v>
      </c>
    </row>
    <row r="3" spans="1:13" ht="15.5" x14ac:dyDescent="0.35">
      <c r="A3" s="16" t="s">
        <v>271</v>
      </c>
      <c r="B3" s="16">
        <v>132</v>
      </c>
      <c r="C3" s="16">
        <v>145</v>
      </c>
      <c r="D3" s="16">
        <v>171</v>
      </c>
      <c r="E3" s="16">
        <v>78.8</v>
      </c>
      <c r="F3" s="16">
        <v>7.7200000000000006</v>
      </c>
      <c r="G3" s="16">
        <v>10</v>
      </c>
      <c r="H3" s="16">
        <v>8</v>
      </c>
      <c r="I3" s="16">
        <v>2</v>
      </c>
      <c r="J3" s="16">
        <v>33</v>
      </c>
      <c r="K3" s="18">
        <v>6.3819999999999997</v>
      </c>
      <c r="L3" s="16">
        <v>25.7</v>
      </c>
      <c r="M3" s="18">
        <v>2.4670520231213877</v>
      </c>
    </row>
    <row r="4" spans="1:13" ht="15.5" x14ac:dyDescent="0.35">
      <c r="A4" s="16" t="s">
        <v>272</v>
      </c>
      <c r="B4" s="16">
        <v>102</v>
      </c>
      <c r="C4" s="16">
        <v>108</v>
      </c>
      <c r="D4" s="16">
        <v>134</v>
      </c>
      <c r="E4" s="16">
        <v>103.4</v>
      </c>
      <c r="F4" s="16">
        <v>7.44</v>
      </c>
      <c r="G4" s="16">
        <v>8</v>
      </c>
      <c r="H4" s="16">
        <v>11</v>
      </c>
      <c r="I4" s="16">
        <v>3</v>
      </c>
      <c r="J4" s="16">
        <v>45</v>
      </c>
      <c r="K4" s="18">
        <v>5.2380000000000004</v>
      </c>
      <c r="L4" s="16">
        <v>32.799999999999997</v>
      </c>
      <c r="M4" s="18">
        <v>2.3699421965317917</v>
      </c>
    </row>
    <row r="5" spans="1:13" ht="15.5" x14ac:dyDescent="0.35">
      <c r="A5" s="16" t="s">
        <v>273</v>
      </c>
      <c r="B5" s="16">
        <v>102</v>
      </c>
      <c r="C5" s="16">
        <v>108</v>
      </c>
      <c r="D5" s="16">
        <v>134</v>
      </c>
      <c r="E5" s="16">
        <v>64.47999999999999</v>
      </c>
      <c r="F5" s="16">
        <v>8.8000000000000007</v>
      </c>
      <c r="G5" s="16">
        <v>7</v>
      </c>
      <c r="H5" s="16">
        <v>10</v>
      </c>
      <c r="I5" s="16">
        <v>3</v>
      </c>
      <c r="J5" s="16">
        <v>41</v>
      </c>
      <c r="K5" s="18">
        <v>5.8360000000000003</v>
      </c>
      <c r="L5" s="16">
        <v>33.049999999999997</v>
      </c>
      <c r="M5" s="50">
        <v>2.543660886319846</v>
      </c>
    </row>
    <row r="6" spans="1:13" ht="15.5" x14ac:dyDescent="0.35">
      <c r="A6" s="16" t="s">
        <v>274</v>
      </c>
      <c r="B6" s="16">
        <v>102</v>
      </c>
      <c r="C6" s="16">
        <v>108</v>
      </c>
      <c r="D6" s="16">
        <v>140</v>
      </c>
      <c r="E6" s="16">
        <v>104.74000000000001</v>
      </c>
      <c r="F6" s="16">
        <v>8.6</v>
      </c>
      <c r="G6" s="16">
        <v>13</v>
      </c>
      <c r="H6" s="16">
        <v>9</v>
      </c>
      <c r="I6" s="16">
        <v>3</v>
      </c>
      <c r="J6" s="16">
        <v>49</v>
      </c>
      <c r="K6" s="18">
        <v>5.5579999999999998</v>
      </c>
      <c r="L6" s="16">
        <v>34.6</v>
      </c>
      <c r="M6" s="18">
        <v>1.8497109826589597</v>
      </c>
    </row>
    <row r="7" spans="1:13" ht="15.5" x14ac:dyDescent="0.35">
      <c r="A7" s="16" t="s">
        <v>275</v>
      </c>
      <c r="B7" s="16">
        <v>102</v>
      </c>
      <c r="C7" s="16">
        <v>108</v>
      </c>
      <c r="D7" s="16">
        <v>136</v>
      </c>
      <c r="E7" s="16">
        <v>102.25999999999999</v>
      </c>
      <c r="F7" s="16">
        <v>8.66</v>
      </c>
      <c r="G7" s="16">
        <v>11</v>
      </c>
      <c r="H7" s="16">
        <v>10</v>
      </c>
      <c r="I7" s="16">
        <v>3</v>
      </c>
      <c r="J7" s="16">
        <v>39</v>
      </c>
      <c r="K7" s="18">
        <v>5.7179999999999991</v>
      </c>
      <c r="L7" s="16">
        <v>33.5</v>
      </c>
      <c r="M7" s="18">
        <v>1.883442517662171</v>
      </c>
    </row>
    <row r="8" spans="1:13" ht="15.5" x14ac:dyDescent="0.35">
      <c r="A8" s="16" t="s">
        <v>276</v>
      </c>
      <c r="B8" s="16">
        <v>111</v>
      </c>
      <c r="C8" s="16">
        <v>117</v>
      </c>
      <c r="D8" s="16">
        <v>146</v>
      </c>
      <c r="E8" s="16">
        <v>119.51999999999998</v>
      </c>
      <c r="F8" s="16">
        <v>7.9</v>
      </c>
      <c r="G8" s="16">
        <v>8</v>
      </c>
      <c r="H8" s="16">
        <v>10</v>
      </c>
      <c r="I8" s="16">
        <v>3</v>
      </c>
      <c r="J8" s="16">
        <v>55</v>
      </c>
      <c r="K8" s="18">
        <v>5.59</v>
      </c>
      <c r="L8" s="16">
        <v>37.1</v>
      </c>
      <c r="M8" s="18">
        <v>1.2732562620423895</v>
      </c>
    </row>
    <row r="9" spans="1:13" ht="15.5" x14ac:dyDescent="0.35">
      <c r="A9" s="16" t="s">
        <v>277</v>
      </c>
      <c r="B9" s="16">
        <v>102</v>
      </c>
      <c r="C9" s="16">
        <v>109</v>
      </c>
      <c r="D9" s="46">
        <v>132</v>
      </c>
      <c r="E9" s="16">
        <v>100.7</v>
      </c>
      <c r="F9" s="16">
        <v>9.6999999999999993</v>
      </c>
      <c r="G9" s="16">
        <v>14</v>
      </c>
      <c r="H9" s="16">
        <v>10</v>
      </c>
      <c r="I9" s="16">
        <v>3</v>
      </c>
      <c r="J9" s="16">
        <v>46</v>
      </c>
      <c r="K9" s="18">
        <v>5.76</v>
      </c>
      <c r="L9" s="16">
        <v>39.299999999999997</v>
      </c>
      <c r="M9" s="18">
        <v>1.9075144508670518</v>
      </c>
    </row>
    <row r="10" spans="1:13" ht="15.5" x14ac:dyDescent="0.35">
      <c r="A10" s="16" t="s">
        <v>278</v>
      </c>
      <c r="B10" s="16">
        <v>106</v>
      </c>
      <c r="C10" s="16">
        <v>110</v>
      </c>
      <c r="D10" s="16">
        <v>138</v>
      </c>
      <c r="E10" s="16">
        <v>84.2</v>
      </c>
      <c r="F10" s="16">
        <v>10</v>
      </c>
      <c r="G10" s="16">
        <v>6</v>
      </c>
      <c r="H10" s="16">
        <v>10</v>
      </c>
      <c r="I10" s="16">
        <v>3</v>
      </c>
      <c r="J10" s="16">
        <v>46</v>
      </c>
      <c r="K10" s="18">
        <v>5.9360000000000008</v>
      </c>
      <c r="L10" s="16">
        <v>36.090000000000003</v>
      </c>
      <c r="M10" s="18">
        <v>1.1068079640333977</v>
      </c>
    </row>
    <row r="11" spans="1:13" ht="15.5" x14ac:dyDescent="0.35">
      <c r="A11" s="16" t="s">
        <v>279</v>
      </c>
      <c r="B11" s="16">
        <v>104</v>
      </c>
      <c r="C11" s="16">
        <v>110</v>
      </c>
      <c r="D11" s="16">
        <v>138</v>
      </c>
      <c r="E11" s="16">
        <v>99.16</v>
      </c>
      <c r="F11" s="16">
        <v>9.1</v>
      </c>
      <c r="G11" s="16">
        <v>8</v>
      </c>
      <c r="H11" s="16">
        <v>9</v>
      </c>
      <c r="I11" s="16">
        <v>2</v>
      </c>
      <c r="J11" s="16">
        <v>35</v>
      </c>
      <c r="K11" s="18">
        <v>6.0780000000000012</v>
      </c>
      <c r="L11" s="16">
        <v>40.1</v>
      </c>
      <c r="M11" s="18">
        <v>1.7109826589595376</v>
      </c>
    </row>
    <row r="12" spans="1:13" ht="15.5" x14ac:dyDescent="0.35">
      <c r="A12" s="16" t="s">
        <v>280</v>
      </c>
      <c r="B12" s="16">
        <v>102</v>
      </c>
      <c r="C12" s="16">
        <v>110</v>
      </c>
      <c r="D12" s="16">
        <v>138</v>
      </c>
      <c r="E12" s="16">
        <v>107.17999999999999</v>
      </c>
      <c r="F12" s="16">
        <v>7.5</v>
      </c>
      <c r="G12" s="16">
        <v>15</v>
      </c>
      <c r="H12" s="16">
        <v>10</v>
      </c>
      <c r="I12" s="16">
        <v>3</v>
      </c>
      <c r="J12" s="16">
        <v>35</v>
      </c>
      <c r="K12" s="18">
        <v>5.8020000000000005</v>
      </c>
      <c r="L12" s="16">
        <v>33.299999999999997</v>
      </c>
      <c r="M12" s="18">
        <v>2.2171868978805396</v>
      </c>
    </row>
    <row r="13" spans="1:13" ht="15.5" x14ac:dyDescent="0.35">
      <c r="A13" s="16" t="s">
        <v>281</v>
      </c>
      <c r="B13" s="16">
        <v>110</v>
      </c>
      <c r="C13" s="16">
        <v>110</v>
      </c>
      <c r="D13" s="16">
        <v>140</v>
      </c>
      <c r="E13" s="16">
        <v>75</v>
      </c>
      <c r="F13" s="16">
        <v>10.4</v>
      </c>
      <c r="G13" s="16">
        <v>4</v>
      </c>
      <c r="H13" s="16">
        <v>10</v>
      </c>
      <c r="I13" s="16">
        <v>3</v>
      </c>
      <c r="J13" s="16">
        <v>37</v>
      </c>
      <c r="K13" s="18">
        <v>6.3559999999999999</v>
      </c>
      <c r="L13" s="16">
        <v>41.7</v>
      </c>
      <c r="M13" s="18">
        <v>0.92999357739242139</v>
      </c>
    </row>
    <row r="14" spans="1:13" ht="15.5" x14ac:dyDescent="0.35">
      <c r="A14" s="16" t="s">
        <v>282</v>
      </c>
      <c r="B14" s="16">
        <v>110</v>
      </c>
      <c r="C14" s="16">
        <v>113</v>
      </c>
      <c r="D14" s="16">
        <v>140</v>
      </c>
      <c r="E14" s="16">
        <v>79.900000000000006</v>
      </c>
      <c r="F14" s="16">
        <v>12.26</v>
      </c>
      <c r="G14" s="16">
        <v>3</v>
      </c>
      <c r="H14" s="16">
        <v>11</v>
      </c>
      <c r="I14" s="16">
        <v>3</v>
      </c>
      <c r="J14" s="16">
        <v>37</v>
      </c>
      <c r="K14" s="18">
        <v>6.1240000000000006</v>
      </c>
      <c r="L14" s="16">
        <v>39.4</v>
      </c>
      <c r="M14" s="18">
        <v>1.0994861913937057</v>
      </c>
    </row>
    <row r="15" spans="1:13" ht="15.5" x14ac:dyDescent="0.35">
      <c r="A15" s="16" t="s">
        <v>285</v>
      </c>
      <c r="B15" s="16">
        <v>110</v>
      </c>
      <c r="C15" s="16">
        <v>113</v>
      </c>
      <c r="D15" s="16">
        <v>140</v>
      </c>
      <c r="E15" s="16">
        <v>77.400000000000006</v>
      </c>
      <c r="F15" s="16">
        <v>10.86</v>
      </c>
      <c r="G15" s="16">
        <v>4</v>
      </c>
      <c r="H15" s="16">
        <v>10</v>
      </c>
      <c r="I15" s="16">
        <v>3</v>
      </c>
      <c r="J15" s="16">
        <v>37</v>
      </c>
      <c r="K15" s="18">
        <v>5.9440000000000008</v>
      </c>
      <c r="L15" s="16">
        <v>40.1</v>
      </c>
      <c r="M15" s="18">
        <v>1.0870905587668593</v>
      </c>
    </row>
    <row r="16" spans="1:13" ht="15.5" x14ac:dyDescent="0.35">
      <c r="A16" s="16" t="s">
        <v>286</v>
      </c>
      <c r="B16" s="16">
        <v>110</v>
      </c>
      <c r="C16" s="16">
        <v>116</v>
      </c>
      <c r="D16" s="16">
        <v>142</v>
      </c>
      <c r="E16" s="16">
        <v>84.18</v>
      </c>
      <c r="F16" s="16">
        <v>9.5400000000000009</v>
      </c>
      <c r="G16" s="16">
        <v>5</v>
      </c>
      <c r="H16" s="16">
        <v>9</v>
      </c>
      <c r="I16" s="16">
        <v>3</v>
      </c>
      <c r="J16" s="16">
        <v>40</v>
      </c>
      <c r="K16" s="18">
        <v>6.0380000000000003</v>
      </c>
      <c r="L16" s="16">
        <v>35.6</v>
      </c>
      <c r="M16" s="18">
        <v>0.45838150289017343</v>
      </c>
    </row>
    <row r="17" spans="1:13" ht="15.5" x14ac:dyDescent="0.35">
      <c r="A17" s="16" t="s">
        <v>287</v>
      </c>
      <c r="B17" s="16">
        <v>112</v>
      </c>
      <c r="C17" s="16">
        <v>116</v>
      </c>
      <c r="D17" s="16">
        <v>142</v>
      </c>
      <c r="E17" s="16">
        <v>77.7</v>
      </c>
      <c r="F17" s="16">
        <v>8.8000000000000007</v>
      </c>
      <c r="G17" s="16">
        <v>7</v>
      </c>
      <c r="H17" s="16">
        <v>9</v>
      </c>
      <c r="I17" s="16">
        <v>3</v>
      </c>
      <c r="J17" s="16">
        <v>36</v>
      </c>
      <c r="K17" s="18">
        <v>6</v>
      </c>
      <c r="L17" s="16">
        <v>47.8</v>
      </c>
      <c r="M17" s="18">
        <v>2.0373795761078997</v>
      </c>
    </row>
    <row r="18" spans="1:13" ht="15.5" x14ac:dyDescent="0.35">
      <c r="A18" s="16" t="s">
        <v>288</v>
      </c>
      <c r="B18" s="16">
        <v>103</v>
      </c>
      <c r="C18" s="16">
        <v>108</v>
      </c>
      <c r="D18" s="16">
        <v>138</v>
      </c>
      <c r="E18" s="16">
        <v>99</v>
      </c>
      <c r="F18" s="16">
        <v>8.18</v>
      </c>
      <c r="G18" s="16">
        <v>8</v>
      </c>
      <c r="H18" s="16">
        <v>9</v>
      </c>
      <c r="I18" s="16">
        <v>3</v>
      </c>
      <c r="J18" s="16">
        <v>34</v>
      </c>
      <c r="K18" s="18">
        <v>6.0020000000000007</v>
      </c>
      <c r="L18" s="16">
        <v>40.4</v>
      </c>
      <c r="M18" s="18">
        <v>0.86879897238278747</v>
      </c>
    </row>
    <row r="19" spans="1:13" ht="15.5" x14ac:dyDescent="0.35">
      <c r="A19" s="16" t="s">
        <v>289</v>
      </c>
      <c r="B19" s="46">
        <v>99</v>
      </c>
      <c r="C19" s="16">
        <v>106</v>
      </c>
      <c r="D19" s="16">
        <v>132</v>
      </c>
      <c r="E19" s="16">
        <v>89.5</v>
      </c>
      <c r="F19" s="16">
        <v>9.379999999999999</v>
      </c>
      <c r="G19" s="16">
        <v>8</v>
      </c>
      <c r="H19" s="16">
        <v>9</v>
      </c>
      <c r="I19" s="16">
        <v>3</v>
      </c>
      <c r="J19" s="16">
        <v>32</v>
      </c>
      <c r="K19" s="18">
        <v>6.7959999999999994</v>
      </c>
      <c r="L19" s="16">
        <v>44.6</v>
      </c>
      <c r="M19" s="18">
        <v>0.52312138728323698</v>
      </c>
    </row>
    <row r="20" spans="1:13" ht="15.5" x14ac:dyDescent="0.35">
      <c r="A20" s="16" t="s">
        <v>290</v>
      </c>
      <c r="B20" s="16">
        <v>102</v>
      </c>
      <c r="C20" s="16">
        <v>108</v>
      </c>
      <c r="D20" s="16">
        <v>134</v>
      </c>
      <c r="E20" s="16">
        <v>113.47999999999999</v>
      </c>
      <c r="F20" s="16">
        <v>8.36</v>
      </c>
      <c r="G20" s="16">
        <v>7</v>
      </c>
      <c r="H20" s="16">
        <v>10</v>
      </c>
      <c r="I20" s="16">
        <v>3</v>
      </c>
      <c r="J20" s="16">
        <v>38</v>
      </c>
      <c r="K20" s="18">
        <v>6.14</v>
      </c>
      <c r="L20" s="16">
        <v>35.9</v>
      </c>
      <c r="M20" s="18">
        <v>0.75895953757225443</v>
      </c>
    </row>
    <row r="21" spans="1:13" ht="15.5" x14ac:dyDescent="0.35">
      <c r="A21" s="16" t="s">
        <v>291</v>
      </c>
      <c r="B21" s="16">
        <v>125</v>
      </c>
      <c r="C21" s="16">
        <v>135</v>
      </c>
      <c r="D21" s="16">
        <v>161</v>
      </c>
      <c r="E21" s="16">
        <v>65.7</v>
      </c>
      <c r="F21" s="16">
        <v>9.5</v>
      </c>
      <c r="G21" s="16">
        <v>6</v>
      </c>
      <c r="H21" s="16">
        <v>10</v>
      </c>
      <c r="I21" s="16">
        <v>3</v>
      </c>
      <c r="J21" s="16">
        <v>50</v>
      </c>
      <c r="K21" s="18">
        <v>6.266</v>
      </c>
      <c r="L21" s="16">
        <v>32.5</v>
      </c>
      <c r="M21" s="18">
        <v>0.56231213872832375</v>
      </c>
    </row>
    <row r="22" spans="1:13" ht="15.5" x14ac:dyDescent="0.35">
      <c r="A22" s="16" t="s">
        <v>292</v>
      </c>
      <c r="B22" s="16">
        <v>102</v>
      </c>
      <c r="C22" s="16">
        <v>108</v>
      </c>
      <c r="D22" s="16">
        <v>136</v>
      </c>
      <c r="E22" s="16">
        <v>116.32000000000001</v>
      </c>
      <c r="F22" s="16">
        <v>8.4</v>
      </c>
      <c r="G22" s="16">
        <v>17</v>
      </c>
      <c r="H22" s="16">
        <v>10</v>
      </c>
      <c r="I22" s="16">
        <v>3</v>
      </c>
      <c r="J22" s="16">
        <v>43</v>
      </c>
      <c r="K22" s="18">
        <v>5.7720000000000002</v>
      </c>
      <c r="L22" s="16">
        <v>33.4</v>
      </c>
      <c r="M22" s="18">
        <v>0.76691072575465635</v>
      </c>
    </row>
    <row r="23" spans="1:13" ht="15.5" x14ac:dyDescent="0.35">
      <c r="A23" s="16" t="s">
        <v>293</v>
      </c>
      <c r="B23" s="16">
        <v>106</v>
      </c>
      <c r="C23" s="16">
        <v>110</v>
      </c>
      <c r="D23" s="16">
        <v>135</v>
      </c>
      <c r="E23" s="16">
        <v>108.43999999999998</v>
      </c>
      <c r="F23" s="16">
        <v>7.7</v>
      </c>
      <c r="G23" s="16">
        <v>10</v>
      </c>
      <c r="H23" s="16">
        <v>9</v>
      </c>
      <c r="I23" s="16">
        <v>3</v>
      </c>
      <c r="J23" s="16">
        <v>37</v>
      </c>
      <c r="K23" s="18">
        <v>5.7280000000000006</v>
      </c>
      <c r="L23" s="16">
        <v>34.6</v>
      </c>
      <c r="M23" s="18">
        <v>1.0046628131021194</v>
      </c>
    </row>
    <row r="24" spans="1:13" ht="15.5" x14ac:dyDescent="0.35">
      <c r="A24" s="16" t="s">
        <v>294</v>
      </c>
      <c r="B24" s="16">
        <v>102</v>
      </c>
      <c r="C24" s="16">
        <v>108</v>
      </c>
      <c r="D24" s="16">
        <v>134</v>
      </c>
      <c r="E24" s="16">
        <v>92.6</v>
      </c>
      <c r="F24" s="16">
        <v>7.4</v>
      </c>
      <c r="G24" s="16">
        <v>6</v>
      </c>
      <c r="H24" s="16">
        <v>9</v>
      </c>
      <c r="I24" s="16">
        <v>2</v>
      </c>
      <c r="J24" s="16">
        <v>34</v>
      </c>
      <c r="K24" s="18">
        <v>5.8179999999999996</v>
      </c>
      <c r="L24" s="16">
        <v>34.700000000000003</v>
      </c>
      <c r="M24" s="18">
        <v>0.78403339755940904</v>
      </c>
    </row>
    <row r="25" spans="1:13" ht="15.5" x14ac:dyDescent="0.35">
      <c r="A25" s="16" t="s">
        <v>295</v>
      </c>
      <c r="B25" s="16">
        <v>106</v>
      </c>
      <c r="C25" s="16">
        <v>111</v>
      </c>
      <c r="D25" s="16">
        <v>140</v>
      </c>
      <c r="E25" s="16">
        <v>86.4</v>
      </c>
      <c r="F25" s="16">
        <v>12.4</v>
      </c>
      <c r="G25" s="16">
        <v>5</v>
      </c>
      <c r="H25" s="16">
        <v>10</v>
      </c>
      <c r="I25" s="46">
        <v>4</v>
      </c>
      <c r="J25" s="16">
        <v>52</v>
      </c>
      <c r="K25" s="18">
        <v>6.94</v>
      </c>
      <c r="L25" s="16">
        <v>52.6</v>
      </c>
      <c r="M25" s="18">
        <v>1.3063583815028901</v>
      </c>
    </row>
    <row r="26" spans="1:13" ht="15.5" x14ac:dyDescent="0.35">
      <c r="A26" s="16" t="s">
        <v>150</v>
      </c>
      <c r="B26" s="16">
        <v>122</v>
      </c>
      <c r="C26" s="16">
        <v>134</v>
      </c>
      <c r="D26" s="16">
        <v>161</v>
      </c>
      <c r="E26" s="16">
        <v>104.85999999999999</v>
      </c>
      <c r="F26" s="16">
        <v>10.3</v>
      </c>
      <c r="G26" s="16">
        <v>11</v>
      </c>
      <c r="H26" s="16">
        <v>9</v>
      </c>
      <c r="I26" s="16">
        <v>3</v>
      </c>
      <c r="J26" s="16">
        <v>39</v>
      </c>
      <c r="K26" s="18">
        <v>6.3239999999999998</v>
      </c>
      <c r="L26" s="16">
        <v>35.700000000000003</v>
      </c>
      <c r="M26" s="18">
        <v>1.0113680154142581</v>
      </c>
    </row>
    <row r="27" spans="1:13" ht="15.5" x14ac:dyDescent="0.35">
      <c r="A27" s="16" t="s">
        <v>296</v>
      </c>
      <c r="B27" s="16">
        <v>106</v>
      </c>
      <c r="C27" s="16">
        <v>111</v>
      </c>
      <c r="D27" s="16">
        <v>140</v>
      </c>
      <c r="E27" s="16">
        <v>97.9</v>
      </c>
      <c r="F27" s="16">
        <v>11.4</v>
      </c>
      <c r="G27" s="16">
        <v>5</v>
      </c>
      <c r="H27" s="16">
        <v>11</v>
      </c>
      <c r="I27" s="16">
        <v>3</v>
      </c>
      <c r="J27" s="16">
        <v>48</v>
      </c>
      <c r="K27" s="18">
        <v>6.4819999999999993</v>
      </c>
      <c r="L27" s="16">
        <v>48.8</v>
      </c>
      <c r="M27" s="18">
        <v>1.5873346178548491</v>
      </c>
    </row>
    <row r="28" spans="1:13" ht="15.5" x14ac:dyDescent="0.35">
      <c r="A28" s="16" t="s">
        <v>297</v>
      </c>
      <c r="B28" s="16">
        <v>104</v>
      </c>
      <c r="C28" s="16">
        <v>109</v>
      </c>
      <c r="D28" s="16">
        <v>138</v>
      </c>
      <c r="E28" s="16">
        <v>96.84</v>
      </c>
      <c r="F28" s="16">
        <v>7.88</v>
      </c>
      <c r="G28" s="16">
        <v>10</v>
      </c>
      <c r="H28" s="16">
        <v>9</v>
      </c>
      <c r="I28" s="16">
        <v>3</v>
      </c>
      <c r="J28" s="16">
        <v>37</v>
      </c>
      <c r="K28" s="18">
        <v>5.9459999999999997</v>
      </c>
      <c r="L28" s="16">
        <v>35.299999999999997</v>
      </c>
      <c r="M28" s="18">
        <v>2.1156069364161847</v>
      </c>
    </row>
    <row r="29" spans="1:13" ht="15.5" x14ac:dyDescent="0.35">
      <c r="A29" s="16" t="s">
        <v>298</v>
      </c>
      <c r="B29" s="16">
        <v>108</v>
      </c>
      <c r="C29" s="16">
        <v>111</v>
      </c>
      <c r="D29" s="16">
        <v>161</v>
      </c>
      <c r="E29" s="16">
        <v>103.17999999999999</v>
      </c>
      <c r="F29" s="16">
        <v>7.1</v>
      </c>
      <c r="G29" s="16">
        <v>12</v>
      </c>
      <c r="H29" s="16">
        <v>8</v>
      </c>
      <c r="I29" s="16">
        <v>3</v>
      </c>
      <c r="J29" s="16">
        <v>36</v>
      </c>
      <c r="K29" s="18">
        <v>5.1580000000000004</v>
      </c>
      <c r="L29" s="16">
        <v>21.8</v>
      </c>
      <c r="M29" s="18">
        <v>1.4582658959537573</v>
      </c>
    </row>
    <row r="30" spans="1:13" ht="15.5" x14ac:dyDescent="0.35">
      <c r="A30" s="16" t="s">
        <v>299</v>
      </c>
      <c r="B30" s="16">
        <v>130</v>
      </c>
      <c r="C30" s="16">
        <v>142</v>
      </c>
      <c r="D30" s="16">
        <v>146</v>
      </c>
      <c r="E30" s="16">
        <v>106.96</v>
      </c>
      <c r="F30" s="16">
        <v>12</v>
      </c>
      <c r="G30" s="16">
        <v>8</v>
      </c>
      <c r="H30" s="16">
        <v>10</v>
      </c>
      <c r="I30" s="16">
        <v>3</v>
      </c>
      <c r="J30" s="16">
        <v>46</v>
      </c>
      <c r="K30" s="18">
        <v>6.0000000000000009</v>
      </c>
      <c r="L30" s="16">
        <v>29.7</v>
      </c>
      <c r="M30" s="18">
        <v>2.4870905587668597</v>
      </c>
    </row>
    <row r="31" spans="1:13" ht="15.5" x14ac:dyDescent="0.35">
      <c r="A31" s="16" t="s">
        <v>300</v>
      </c>
      <c r="B31" s="16">
        <v>108</v>
      </c>
      <c r="C31" s="16">
        <v>112</v>
      </c>
      <c r="D31" s="16">
        <v>140</v>
      </c>
      <c r="E31" s="16">
        <v>87.2</v>
      </c>
      <c r="F31" s="16">
        <v>9.9</v>
      </c>
      <c r="G31" s="16">
        <v>4</v>
      </c>
      <c r="H31" s="16">
        <v>10</v>
      </c>
      <c r="I31" s="46">
        <v>4</v>
      </c>
      <c r="J31" s="16">
        <v>54</v>
      </c>
      <c r="K31" s="18">
        <v>5.8100000000000005</v>
      </c>
      <c r="L31" s="16">
        <v>38.4</v>
      </c>
      <c r="M31" s="18">
        <v>1.3512652536929992</v>
      </c>
    </row>
    <row r="32" spans="1:13" ht="15.5" x14ac:dyDescent="0.35">
      <c r="A32" s="16" t="s">
        <v>301</v>
      </c>
      <c r="B32" s="16">
        <v>108</v>
      </c>
      <c r="C32" s="16">
        <v>111</v>
      </c>
      <c r="D32" s="16">
        <v>140</v>
      </c>
      <c r="E32" s="16">
        <v>87.4</v>
      </c>
      <c r="F32" s="16">
        <v>9.9</v>
      </c>
      <c r="G32" s="16">
        <v>5</v>
      </c>
      <c r="H32" s="16">
        <v>10</v>
      </c>
      <c r="I32" s="16">
        <v>3</v>
      </c>
      <c r="J32" s="16">
        <v>48</v>
      </c>
      <c r="K32" s="18">
        <v>5.7539999999999996</v>
      </c>
      <c r="L32" s="16">
        <v>39.1</v>
      </c>
      <c r="M32" s="18">
        <v>1.2745022479126527</v>
      </c>
    </row>
    <row r="33" spans="1:13" ht="15.5" x14ac:dyDescent="0.35">
      <c r="A33" s="16" t="s">
        <v>302</v>
      </c>
      <c r="B33" s="16">
        <v>114</v>
      </c>
      <c r="C33" s="16">
        <v>117</v>
      </c>
      <c r="D33" s="16">
        <v>146</v>
      </c>
      <c r="E33" s="16">
        <v>75.599999999999994</v>
      </c>
      <c r="F33" s="16">
        <v>9.3000000000000007</v>
      </c>
      <c r="G33" s="16">
        <v>7</v>
      </c>
      <c r="H33" s="16">
        <v>9</v>
      </c>
      <c r="I33" s="46">
        <v>4</v>
      </c>
      <c r="J33" s="16">
        <v>45</v>
      </c>
      <c r="K33" s="18">
        <v>5.9799999999999995</v>
      </c>
      <c r="L33" s="16">
        <v>46.8</v>
      </c>
      <c r="M33" s="18">
        <v>1.7069749518304431</v>
      </c>
    </row>
    <row r="34" spans="1:13" ht="15.5" x14ac:dyDescent="0.35">
      <c r="A34" s="16" t="s">
        <v>303</v>
      </c>
      <c r="B34" s="16">
        <v>106</v>
      </c>
      <c r="C34" s="16">
        <v>111</v>
      </c>
      <c r="D34" s="16">
        <v>145</v>
      </c>
      <c r="E34" s="16">
        <v>88.2</v>
      </c>
      <c r="F34" s="16">
        <v>7.8</v>
      </c>
      <c r="G34" s="16">
        <v>6</v>
      </c>
      <c r="H34" s="16">
        <v>9</v>
      </c>
      <c r="I34" s="16">
        <v>3</v>
      </c>
      <c r="J34" s="16">
        <v>39</v>
      </c>
      <c r="K34" s="18">
        <v>5.8739999999999997</v>
      </c>
      <c r="L34" s="16">
        <v>31.7</v>
      </c>
      <c r="M34" s="18">
        <v>1.8497109826589597</v>
      </c>
    </row>
    <row r="35" spans="1:13" ht="15.5" x14ac:dyDescent="0.35">
      <c r="A35" s="16" t="s">
        <v>159</v>
      </c>
      <c r="B35" s="16">
        <v>126</v>
      </c>
      <c r="C35" s="16">
        <v>145</v>
      </c>
      <c r="D35" s="16">
        <v>146</v>
      </c>
      <c r="E35" s="16">
        <v>95.97999999999999</v>
      </c>
      <c r="F35" s="46">
        <v>13.14</v>
      </c>
      <c r="G35" s="16">
        <v>7</v>
      </c>
      <c r="H35" s="46">
        <v>12</v>
      </c>
      <c r="I35" s="16">
        <v>3</v>
      </c>
      <c r="J35" s="16">
        <v>48</v>
      </c>
      <c r="K35" s="18">
        <v>6.6599999999999993</v>
      </c>
      <c r="L35" s="16">
        <v>37.5</v>
      </c>
      <c r="M35" s="18">
        <v>0.66115606936416182</v>
      </c>
    </row>
    <row r="36" spans="1:13" ht="15.5" x14ac:dyDescent="0.35">
      <c r="A36" s="16" t="s">
        <v>304</v>
      </c>
      <c r="B36" s="16">
        <v>106</v>
      </c>
      <c r="C36" s="16">
        <v>112</v>
      </c>
      <c r="D36" s="16">
        <v>140</v>
      </c>
      <c r="E36" s="16">
        <v>104.62</v>
      </c>
      <c r="F36" s="16">
        <v>8.5</v>
      </c>
      <c r="G36" s="16">
        <v>7</v>
      </c>
      <c r="H36" s="16">
        <v>10</v>
      </c>
      <c r="I36" s="16">
        <v>3</v>
      </c>
      <c r="J36" s="16">
        <v>45</v>
      </c>
      <c r="K36" s="18">
        <v>5.2460000000000004</v>
      </c>
      <c r="L36" s="16">
        <v>31.8</v>
      </c>
      <c r="M36" s="18">
        <v>1.9450738599871547</v>
      </c>
    </row>
    <row r="37" spans="1:13" ht="15.5" x14ac:dyDescent="0.35">
      <c r="A37" s="16" t="s">
        <v>305</v>
      </c>
      <c r="B37" s="16">
        <v>106</v>
      </c>
      <c r="C37" s="16">
        <v>111</v>
      </c>
      <c r="D37" s="16">
        <v>140</v>
      </c>
      <c r="E37" s="16">
        <v>96.44</v>
      </c>
      <c r="F37" s="16">
        <v>7.1400000000000006</v>
      </c>
      <c r="G37" s="16">
        <v>15</v>
      </c>
      <c r="H37" s="16">
        <v>9</v>
      </c>
      <c r="I37" s="16">
        <v>3</v>
      </c>
      <c r="J37" s="16">
        <v>45</v>
      </c>
      <c r="K37" s="18">
        <v>5.4040000000000008</v>
      </c>
      <c r="L37" s="16">
        <v>24.9</v>
      </c>
      <c r="M37" s="18">
        <v>1.6513423249839434</v>
      </c>
    </row>
    <row r="38" spans="1:13" ht="15.5" x14ac:dyDescent="0.35">
      <c r="A38" s="16" t="s">
        <v>162</v>
      </c>
      <c r="B38" s="16">
        <v>108</v>
      </c>
      <c r="C38" s="16">
        <v>111</v>
      </c>
      <c r="D38" s="16">
        <v>145</v>
      </c>
      <c r="E38" s="16">
        <v>82.2</v>
      </c>
      <c r="F38" s="16">
        <v>12.3</v>
      </c>
      <c r="G38" s="16">
        <v>9</v>
      </c>
      <c r="H38" s="16">
        <v>11</v>
      </c>
      <c r="I38" s="16">
        <v>3</v>
      </c>
      <c r="J38" s="16">
        <v>47</v>
      </c>
      <c r="K38" s="18">
        <v>6.1479999999999988</v>
      </c>
      <c r="L38" s="16">
        <v>34.1</v>
      </c>
      <c r="M38" s="18">
        <v>1.5890944123314068</v>
      </c>
    </row>
    <row r="39" spans="1:13" ht="15.5" x14ac:dyDescent="0.35">
      <c r="A39" s="16" t="s">
        <v>306</v>
      </c>
      <c r="B39" s="16">
        <v>106</v>
      </c>
      <c r="C39" s="16">
        <v>111</v>
      </c>
      <c r="D39" s="16">
        <v>140</v>
      </c>
      <c r="E39" s="16">
        <v>95.3</v>
      </c>
      <c r="F39" s="16">
        <v>7.7</v>
      </c>
      <c r="G39" s="16">
        <v>7</v>
      </c>
      <c r="H39" s="16">
        <v>10</v>
      </c>
      <c r="I39" s="16">
        <v>3</v>
      </c>
      <c r="J39" s="16">
        <v>45</v>
      </c>
      <c r="K39" s="18">
        <v>5.31</v>
      </c>
      <c r="L39" s="16">
        <v>30.7</v>
      </c>
      <c r="M39" s="18">
        <v>1.3848940269749519</v>
      </c>
    </row>
    <row r="40" spans="1:13" ht="15.5" x14ac:dyDescent="0.35">
      <c r="A40" s="16" t="s">
        <v>307</v>
      </c>
      <c r="B40" s="16">
        <v>106</v>
      </c>
      <c r="C40" s="16">
        <v>111</v>
      </c>
      <c r="D40" s="16">
        <v>138</v>
      </c>
      <c r="E40" s="16">
        <v>97.78</v>
      </c>
      <c r="F40" s="16">
        <v>8.3000000000000007</v>
      </c>
      <c r="G40" s="16">
        <v>16</v>
      </c>
      <c r="H40" s="16">
        <v>9</v>
      </c>
      <c r="I40" s="46">
        <v>4</v>
      </c>
      <c r="J40" s="16">
        <v>51</v>
      </c>
      <c r="K40" s="18">
        <v>5.18</v>
      </c>
      <c r="L40" s="16">
        <v>26</v>
      </c>
      <c r="M40" s="18">
        <v>1.9559280667951187</v>
      </c>
    </row>
    <row r="41" spans="1:13" ht="15.5" x14ac:dyDescent="0.35">
      <c r="A41" s="16" t="s">
        <v>308</v>
      </c>
      <c r="B41" s="16">
        <v>102</v>
      </c>
      <c r="C41" s="16">
        <v>108</v>
      </c>
      <c r="D41" s="16">
        <v>138</v>
      </c>
      <c r="E41" s="16">
        <v>72.201999999999998</v>
      </c>
      <c r="F41" s="16">
        <v>7.6</v>
      </c>
      <c r="G41" s="16">
        <v>8</v>
      </c>
      <c r="H41" s="16">
        <v>9</v>
      </c>
      <c r="I41" s="16">
        <v>3</v>
      </c>
      <c r="J41" s="16">
        <v>39</v>
      </c>
      <c r="K41" s="18">
        <v>5.1539999999999999</v>
      </c>
      <c r="L41" s="16">
        <v>36.700000000000003</v>
      </c>
      <c r="M41" s="18">
        <v>2.2312138728323698</v>
      </c>
    </row>
    <row r="42" spans="1:13" ht="15.5" x14ac:dyDescent="0.35">
      <c r="A42" s="16" t="s">
        <v>309</v>
      </c>
      <c r="B42" s="16">
        <v>108</v>
      </c>
      <c r="C42" s="16">
        <v>111</v>
      </c>
      <c r="D42" s="16">
        <v>145</v>
      </c>
      <c r="E42" s="16">
        <v>82.6</v>
      </c>
      <c r="F42" s="16">
        <v>11.6</v>
      </c>
      <c r="G42" s="16">
        <v>5</v>
      </c>
      <c r="H42" s="16">
        <v>10</v>
      </c>
      <c r="I42" s="16">
        <v>3</v>
      </c>
      <c r="J42" s="16">
        <v>42</v>
      </c>
      <c r="K42" s="18">
        <v>6.7180000000000009</v>
      </c>
      <c r="L42" s="16">
        <v>48.08</v>
      </c>
      <c r="M42" s="18">
        <v>1.3237764932562621</v>
      </c>
    </row>
    <row r="43" spans="1:13" ht="15.5" x14ac:dyDescent="0.35">
      <c r="A43" s="16" t="s">
        <v>310</v>
      </c>
      <c r="B43" s="16">
        <v>106</v>
      </c>
      <c r="C43" s="16">
        <v>111</v>
      </c>
      <c r="D43" s="16">
        <v>143</v>
      </c>
      <c r="E43" s="16">
        <v>89.5</v>
      </c>
      <c r="F43" s="16">
        <v>6.7200000000000006</v>
      </c>
      <c r="G43" s="16">
        <v>10</v>
      </c>
      <c r="H43" s="16">
        <v>9</v>
      </c>
      <c r="I43" s="16">
        <v>3</v>
      </c>
      <c r="J43" s="16">
        <v>42</v>
      </c>
      <c r="K43" s="18">
        <v>5.75</v>
      </c>
      <c r="L43" s="16">
        <v>35.6</v>
      </c>
      <c r="M43" s="18">
        <v>1.9884393063583818</v>
      </c>
    </row>
    <row r="44" spans="1:13" ht="15.5" x14ac:dyDescent="0.35">
      <c r="A44" s="16" t="s">
        <v>311</v>
      </c>
      <c r="B44" s="16">
        <v>109</v>
      </c>
      <c r="C44" s="16">
        <v>112</v>
      </c>
      <c r="D44" s="16">
        <v>142</v>
      </c>
      <c r="E44" s="16">
        <v>62.8</v>
      </c>
      <c r="F44" s="16">
        <v>10.1</v>
      </c>
      <c r="G44" s="16">
        <v>4</v>
      </c>
      <c r="H44" s="16">
        <v>9</v>
      </c>
      <c r="I44" s="16">
        <v>3</v>
      </c>
      <c r="J44" s="16">
        <v>38</v>
      </c>
      <c r="K44" s="18">
        <v>6.0739999999999998</v>
      </c>
      <c r="L44" s="16">
        <v>50.2</v>
      </c>
      <c r="M44" s="18">
        <v>2.1618497109826591</v>
      </c>
    </row>
    <row r="45" spans="1:13" ht="15.5" x14ac:dyDescent="0.35">
      <c r="A45" s="16" t="s">
        <v>312</v>
      </c>
      <c r="B45" s="16">
        <v>110</v>
      </c>
      <c r="C45" s="16">
        <v>113</v>
      </c>
      <c r="D45" s="16">
        <v>142</v>
      </c>
      <c r="E45" s="16">
        <v>82.6</v>
      </c>
      <c r="F45" s="16">
        <v>7</v>
      </c>
      <c r="G45" s="16">
        <v>5</v>
      </c>
      <c r="H45" s="16">
        <v>9</v>
      </c>
      <c r="I45" s="16">
        <v>3</v>
      </c>
      <c r="J45" s="16">
        <v>40</v>
      </c>
      <c r="K45" s="18">
        <v>5.1219999999999999</v>
      </c>
      <c r="L45" s="16">
        <v>21.7</v>
      </c>
      <c r="M45" s="18">
        <v>0.9143095696852922</v>
      </c>
    </row>
    <row r="46" spans="1:13" ht="15.5" x14ac:dyDescent="0.35">
      <c r="A46" s="16" t="s">
        <v>313</v>
      </c>
      <c r="B46" s="16">
        <v>109</v>
      </c>
      <c r="C46" s="16">
        <v>112</v>
      </c>
      <c r="D46" s="16">
        <v>142</v>
      </c>
      <c r="E46" s="16">
        <v>68.8</v>
      </c>
      <c r="F46" s="16">
        <v>10.3</v>
      </c>
      <c r="G46" s="16">
        <v>6</v>
      </c>
      <c r="H46" s="16">
        <v>10</v>
      </c>
      <c r="I46" s="16">
        <v>3</v>
      </c>
      <c r="J46" s="16">
        <v>51</v>
      </c>
      <c r="K46" s="18">
        <v>6.1980000000000004</v>
      </c>
      <c r="L46" s="16">
        <v>37.299999999999997</v>
      </c>
      <c r="M46" s="18">
        <v>1.4109055876685936</v>
      </c>
    </row>
    <row r="47" spans="1:13" ht="15.5" x14ac:dyDescent="0.35">
      <c r="A47" s="16" t="s">
        <v>314</v>
      </c>
      <c r="B47" s="16">
        <v>104</v>
      </c>
      <c r="C47" s="16">
        <v>110</v>
      </c>
      <c r="D47" s="16">
        <v>140</v>
      </c>
      <c r="E47" s="16">
        <v>96.820000000000007</v>
      </c>
      <c r="F47" s="16">
        <v>8.9</v>
      </c>
      <c r="G47" s="16">
        <v>9</v>
      </c>
      <c r="H47" s="16">
        <v>10</v>
      </c>
      <c r="I47" s="16">
        <v>3</v>
      </c>
      <c r="J47" s="16">
        <v>41</v>
      </c>
      <c r="K47" s="18">
        <v>5.6440000000000001</v>
      </c>
      <c r="L47" s="16">
        <v>42.4</v>
      </c>
      <c r="M47" s="18">
        <v>2.1867694283879255</v>
      </c>
    </row>
    <row r="48" spans="1:13" ht="15.5" x14ac:dyDescent="0.35">
      <c r="A48" s="16" t="s">
        <v>315</v>
      </c>
      <c r="B48" s="16">
        <v>112</v>
      </c>
      <c r="C48" s="16">
        <v>114</v>
      </c>
      <c r="D48" s="16">
        <v>142</v>
      </c>
      <c r="E48" s="16">
        <v>95.8</v>
      </c>
      <c r="F48" s="16">
        <v>8.3000000000000007</v>
      </c>
      <c r="G48" s="16">
        <v>7</v>
      </c>
      <c r="H48" s="16">
        <v>11</v>
      </c>
      <c r="I48" s="16">
        <v>3</v>
      </c>
      <c r="J48" s="16">
        <v>49</v>
      </c>
      <c r="K48" s="18">
        <v>5.4219999999999988</v>
      </c>
      <c r="L48" s="16">
        <v>24.4</v>
      </c>
      <c r="M48" s="18">
        <v>1.0184971098265896</v>
      </c>
    </row>
    <row r="49" spans="1:13" ht="15.5" x14ac:dyDescent="0.35">
      <c r="A49" s="16" t="s">
        <v>316</v>
      </c>
      <c r="B49" s="16">
        <v>102</v>
      </c>
      <c r="C49" s="16">
        <v>108</v>
      </c>
      <c r="D49" s="16">
        <v>135</v>
      </c>
      <c r="E49" s="16">
        <v>98.039999999999992</v>
      </c>
      <c r="F49" s="16">
        <v>8.1</v>
      </c>
      <c r="G49" s="16">
        <v>7</v>
      </c>
      <c r="H49" s="16">
        <v>9</v>
      </c>
      <c r="I49" s="16">
        <v>2</v>
      </c>
      <c r="J49" s="16">
        <v>41</v>
      </c>
      <c r="K49" s="18">
        <v>5.2640000000000002</v>
      </c>
      <c r="L49" s="16">
        <v>32.4</v>
      </c>
      <c r="M49" s="18">
        <v>1.8550802825947332</v>
      </c>
    </row>
    <row r="50" spans="1:13" ht="15.5" x14ac:dyDescent="0.35">
      <c r="A50" s="16" t="s">
        <v>317</v>
      </c>
      <c r="B50" s="16">
        <v>100</v>
      </c>
      <c r="C50" s="46">
        <v>102</v>
      </c>
      <c r="D50" s="16">
        <v>146</v>
      </c>
      <c r="E50" s="16">
        <v>88.06</v>
      </c>
      <c r="F50" s="16">
        <v>10.4</v>
      </c>
      <c r="G50" s="16">
        <v>7</v>
      </c>
      <c r="H50" s="16">
        <v>8</v>
      </c>
      <c r="I50" s="16">
        <v>3</v>
      </c>
      <c r="J50" s="16">
        <v>38</v>
      </c>
      <c r="K50" s="50">
        <v>6.9959999999999996</v>
      </c>
      <c r="L50" s="16">
        <v>48.08</v>
      </c>
      <c r="M50" s="18">
        <v>1.5890944123314068</v>
      </c>
    </row>
    <row r="51" spans="1:13" ht="15.5" x14ac:dyDescent="0.35">
      <c r="A51" s="16" t="s">
        <v>318</v>
      </c>
      <c r="B51" s="16">
        <v>102</v>
      </c>
      <c r="C51" s="16">
        <v>108</v>
      </c>
      <c r="D51" s="16">
        <v>136</v>
      </c>
      <c r="E51" s="16">
        <v>96.640000000000015</v>
      </c>
      <c r="F51" s="16">
        <v>8.1999999999999993</v>
      </c>
      <c r="G51" s="16">
        <v>11</v>
      </c>
      <c r="H51" s="16">
        <v>9</v>
      </c>
      <c r="I51" s="16">
        <v>3</v>
      </c>
      <c r="J51" s="16">
        <v>35</v>
      </c>
      <c r="K51" s="18">
        <v>5.492</v>
      </c>
      <c r="L51" s="16">
        <v>28.7</v>
      </c>
      <c r="M51" s="18">
        <v>2.2749261400128451</v>
      </c>
    </row>
    <row r="52" spans="1:13" ht="15.5" x14ac:dyDescent="0.35">
      <c r="A52" s="16" t="s">
        <v>319</v>
      </c>
      <c r="B52" s="16">
        <v>106</v>
      </c>
      <c r="C52" s="16">
        <v>110</v>
      </c>
      <c r="D52" s="16">
        <v>137</v>
      </c>
      <c r="E52" s="16">
        <v>95.8</v>
      </c>
      <c r="F52" s="16">
        <v>8.1999999999999993</v>
      </c>
      <c r="G52" s="16">
        <v>6</v>
      </c>
      <c r="H52" s="16">
        <v>9</v>
      </c>
      <c r="I52" s="16">
        <v>3</v>
      </c>
      <c r="J52" s="16">
        <v>43</v>
      </c>
      <c r="K52" s="18">
        <v>5.3220000000000001</v>
      </c>
      <c r="L52" s="16">
        <v>28.2</v>
      </c>
      <c r="M52" s="18">
        <v>1.5802954399486193</v>
      </c>
    </row>
    <row r="53" spans="1:13" ht="15.5" x14ac:dyDescent="0.35">
      <c r="A53" s="16" t="s">
        <v>320</v>
      </c>
      <c r="B53" s="16">
        <v>109</v>
      </c>
      <c r="C53" s="16">
        <v>113</v>
      </c>
      <c r="D53" s="16">
        <v>146</v>
      </c>
      <c r="E53" s="16">
        <v>76.599999999999994</v>
      </c>
      <c r="F53" s="16">
        <v>11.5</v>
      </c>
      <c r="G53" s="16">
        <v>5</v>
      </c>
      <c r="H53" s="16">
        <v>10</v>
      </c>
      <c r="I53" s="16">
        <v>3</v>
      </c>
      <c r="J53" s="16">
        <v>45</v>
      </c>
      <c r="K53" s="18">
        <v>6.7159999999999993</v>
      </c>
      <c r="L53" s="16">
        <v>47.5</v>
      </c>
      <c r="M53" s="18">
        <v>1.8624277456647402</v>
      </c>
    </row>
    <row r="54" spans="1:13" ht="15.5" x14ac:dyDescent="0.35">
      <c r="A54" s="16" t="s">
        <v>321</v>
      </c>
      <c r="B54" s="16">
        <v>112</v>
      </c>
      <c r="C54" s="16">
        <v>115</v>
      </c>
      <c r="D54" s="16">
        <v>144</v>
      </c>
      <c r="E54" s="16">
        <v>97.039999999999992</v>
      </c>
      <c r="F54" s="16">
        <v>7.8</v>
      </c>
      <c r="G54" s="16">
        <v>7</v>
      </c>
      <c r="H54" s="16">
        <v>9</v>
      </c>
      <c r="I54" s="16">
        <v>3</v>
      </c>
      <c r="J54" s="16">
        <v>44</v>
      </c>
      <c r="K54" s="18">
        <v>5.3719999999999999</v>
      </c>
      <c r="L54" s="16">
        <v>25.8</v>
      </c>
      <c r="M54" s="18">
        <v>1.2172639691714835</v>
      </c>
    </row>
    <row r="55" spans="1:13" ht="15.5" x14ac:dyDescent="0.35">
      <c r="A55" s="16" t="s">
        <v>322</v>
      </c>
      <c r="B55" s="16">
        <v>102</v>
      </c>
      <c r="C55" s="16">
        <v>110</v>
      </c>
      <c r="D55" s="16">
        <v>141</v>
      </c>
      <c r="E55" s="16">
        <v>74</v>
      </c>
      <c r="F55" s="16">
        <v>10.7</v>
      </c>
      <c r="G55" s="16">
        <v>8</v>
      </c>
      <c r="H55" s="16">
        <v>10</v>
      </c>
      <c r="I55" s="16">
        <v>3</v>
      </c>
      <c r="J55" s="16">
        <v>37</v>
      </c>
      <c r="K55" s="18">
        <v>5.9680000000000009</v>
      </c>
      <c r="L55" s="16">
        <v>40.9</v>
      </c>
      <c r="M55" s="18">
        <v>0.92445728965960183</v>
      </c>
    </row>
    <row r="56" spans="1:13" ht="15.5" x14ac:dyDescent="0.35">
      <c r="A56" s="16" t="s">
        <v>323</v>
      </c>
      <c r="B56" s="16">
        <v>110</v>
      </c>
      <c r="C56" s="16">
        <v>113</v>
      </c>
      <c r="D56" s="16">
        <v>146</v>
      </c>
      <c r="E56" s="16">
        <v>77.400000000000006</v>
      </c>
      <c r="F56" s="16">
        <v>12.1</v>
      </c>
      <c r="G56" s="16">
        <v>4</v>
      </c>
      <c r="H56" s="16">
        <v>10</v>
      </c>
      <c r="I56" s="16">
        <v>3</v>
      </c>
      <c r="J56" s="16">
        <v>44</v>
      </c>
      <c r="K56" s="18">
        <v>6.4259999999999993</v>
      </c>
      <c r="L56" s="16">
        <v>40.200000000000003</v>
      </c>
      <c r="M56" s="18">
        <v>1.8130122029543994</v>
      </c>
    </row>
    <row r="57" spans="1:13" ht="15.5" x14ac:dyDescent="0.35">
      <c r="A57" s="16" t="s">
        <v>324</v>
      </c>
      <c r="B57" s="16">
        <v>106</v>
      </c>
      <c r="C57" s="16">
        <v>111</v>
      </c>
      <c r="D57" s="16">
        <v>146</v>
      </c>
      <c r="E57" s="16">
        <v>97.460000000000008</v>
      </c>
      <c r="F57" s="16">
        <v>9</v>
      </c>
      <c r="G57" s="16">
        <v>8</v>
      </c>
      <c r="H57" s="16">
        <v>8</v>
      </c>
      <c r="I57" s="16">
        <v>3</v>
      </c>
      <c r="J57" s="16">
        <v>32</v>
      </c>
      <c r="K57" s="18">
        <v>6.2799999999999994</v>
      </c>
      <c r="L57" s="16">
        <v>45.3</v>
      </c>
      <c r="M57" s="18">
        <v>1.3412870905587668</v>
      </c>
    </row>
    <row r="58" spans="1:13" ht="15.5" x14ac:dyDescent="0.35">
      <c r="A58" s="16" t="s">
        <v>325</v>
      </c>
      <c r="B58" s="16">
        <v>112</v>
      </c>
      <c r="C58" s="16">
        <v>115</v>
      </c>
      <c r="D58" s="16">
        <v>146</v>
      </c>
      <c r="E58" s="16">
        <v>106.2</v>
      </c>
      <c r="F58" s="16">
        <v>11.22</v>
      </c>
      <c r="G58" s="16">
        <v>17</v>
      </c>
      <c r="H58" s="16">
        <v>10</v>
      </c>
      <c r="I58" s="16">
        <v>3</v>
      </c>
      <c r="J58" s="16">
        <v>41</v>
      </c>
      <c r="K58" s="18">
        <v>5.468</v>
      </c>
      <c r="L58" s="16">
        <v>25.9</v>
      </c>
      <c r="M58" s="18">
        <v>1.5980089916506102</v>
      </c>
    </row>
    <row r="59" spans="1:13" ht="15.5" x14ac:dyDescent="0.35">
      <c r="A59" s="16" t="s">
        <v>326</v>
      </c>
      <c r="B59" s="16">
        <v>112</v>
      </c>
      <c r="C59" s="16">
        <v>116</v>
      </c>
      <c r="D59" s="16">
        <v>146</v>
      </c>
      <c r="E59" s="16">
        <v>86.4</v>
      </c>
      <c r="F59" s="16">
        <v>7</v>
      </c>
      <c r="G59" s="16">
        <v>8</v>
      </c>
      <c r="H59" s="16">
        <v>10</v>
      </c>
      <c r="I59" s="16">
        <v>3</v>
      </c>
      <c r="J59" s="16">
        <v>46</v>
      </c>
      <c r="K59" s="18">
        <v>5.3760000000000003</v>
      </c>
      <c r="L59" s="16">
        <v>30.4</v>
      </c>
      <c r="M59" s="18">
        <v>0.84768143866409762</v>
      </c>
    </row>
    <row r="60" spans="1:13" ht="15.5" x14ac:dyDescent="0.35">
      <c r="A60" s="16" t="s">
        <v>327</v>
      </c>
      <c r="B60" s="16">
        <v>104</v>
      </c>
      <c r="C60" s="16">
        <v>110</v>
      </c>
      <c r="D60" s="16">
        <v>140</v>
      </c>
      <c r="E60" s="16">
        <v>101.7</v>
      </c>
      <c r="F60" s="16">
        <v>9.3000000000000007</v>
      </c>
      <c r="G60" s="16">
        <v>9</v>
      </c>
      <c r="H60" s="16">
        <v>9</v>
      </c>
      <c r="I60" s="16">
        <v>3</v>
      </c>
      <c r="J60" s="16">
        <v>46</v>
      </c>
      <c r="K60" s="18">
        <v>5.3179999999999996</v>
      </c>
      <c r="L60" s="16">
        <v>33.6</v>
      </c>
      <c r="M60" s="18">
        <v>1.7919075144508672</v>
      </c>
    </row>
    <row r="61" spans="1:13" ht="15.5" x14ac:dyDescent="0.35">
      <c r="A61" s="16" t="s">
        <v>328</v>
      </c>
      <c r="B61" s="16">
        <v>104</v>
      </c>
      <c r="C61" s="16">
        <v>113</v>
      </c>
      <c r="D61" s="16">
        <v>140</v>
      </c>
      <c r="E61" s="16">
        <v>79.8</v>
      </c>
      <c r="F61" s="16">
        <v>10.9</v>
      </c>
      <c r="G61" s="16">
        <v>7</v>
      </c>
      <c r="H61" s="16">
        <v>10</v>
      </c>
      <c r="I61" s="16">
        <v>2</v>
      </c>
      <c r="J61" s="16">
        <v>36</v>
      </c>
      <c r="K61" s="18">
        <v>6.702</v>
      </c>
      <c r="L61" s="16">
        <v>49.01</v>
      </c>
      <c r="M61" s="18">
        <v>1.3872832369942196</v>
      </c>
    </row>
    <row r="62" spans="1:13" ht="15.5" x14ac:dyDescent="0.35">
      <c r="A62" s="16" t="s">
        <v>329</v>
      </c>
      <c r="B62" s="16">
        <v>104</v>
      </c>
      <c r="C62" s="16">
        <v>112</v>
      </c>
      <c r="D62" s="16">
        <v>141</v>
      </c>
      <c r="E62" s="16">
        <v>73.400000000000006</v>
      </c>
      <c r="F62" s="16">
        <v>8.6</v>
      </c>
      <c r="G62" s="16">
        <v>5</v>
      </c>
      <c r="H62" s="16">
        <v>9</v>
      </c>
      <c r="I62" s="16">
        <v>3</v>
      </c>
      <c r="J62" s="16">
        <v>34</v>
      </c>
      <c r="K62" s="18">
        <v>6.7519999999999998</v>
      </c>
      <c r="L62" s="16">
        <v>37.4</v>
      </c>
      <c r="M62" s="18">
        <v>0.95113680154142566</v>
      </c>
    </row>
    <row r="63" spans="1:13" ht="15.5" x14ac:dyDescent="0.35">
      <c r="A63" s="16" t="s">
        <v>330</v>
      </c>
      <c r="B63" s="16">
        <v>103</v>
      </c>
      <c r="C63" s="16">
        <v>108</v>
      </c>
      <c r="D63" s="16">
        <v>136</v>
      </c>
      <c r="E63" s="16">
        <v>91.6</v>
      </c>
      <c r="F63" s="16">
        <v>9.5</v>
      </c>
      <c r="G63" s="16">
        <v>7</v>
      </c>
      <c r="H63" s="16">
        <v>10</v>
      </c>
      <c r="I63" s="16">
        <v>2</v>
      </c>
      <c r="J63" s="16">
        <v>24</v>
      </c>
      <c r="K63" s="18">
        <v>6.5179999999999989</v>
      </c>
      <c r="L63" s="16">
        <v>33.200000000000003</v>
      </c>
      <c r="M63" s="18">
        <v>1.1529865125240848</v>
      </c>
    </row>
    <row r="64" spans="1:13" ht="15.5" x14ac:dyDescent="0.35">
      <c r="A64" s="16" t="s">
        <v>331</v>
      </c>
      <c r="B64" s="16">
        <v>102</v>
      </c>
      <c r="C64" s="16">
        <v>109</v>
      </c>
      <c r="D64" s="16">
        <v>141</v>
      </c>
      <c r="E64" s="16">
        <v>100.32000000000001</v>
      </c>
      <c r="F64" s="16">
        <v>6.3</v>
      </c>
      <c r="G64" s="16">
        <v>7.2</v>
      </c>
      <c r="H64" s="16">
        <v>9</v>
      </c>
      <c r="I64" s="16">
        <v>2</v>
      </c>
      <c r="J64" s="16">
        <v>32.799999999999997</v>
      </c>
      <c r="K64" s="18">
        <v>5.6759999999999993</v>
      </c>
      <c r="L64" s="16">
        <v>31.3</v>
      </c>
      <c r="M64" s="18">
        <v>0.92485549132947986</v>
      </c>
    </row>
    <row r="65" spans="1:13" ht="15.5" x14ac:dyDescent="0.35">
      <c r="A65" s="16" t="s">
        <v>332</v>
      </c>
      <c r="B65" s="16">
        <v>102</v>
      </c>
      <c r="C65" s="16">
        <v>108</v>
      </c>
      <c r="D65" s="16">
        <v>145</v>
      </c>
      <c r="E65" s="16">
        <v>104.22</v>
      </c>
      <c r="F65" s="16">
        <v>8.4</v>
      </c>
      <c r="G65" s="16">
        <v>13.4</v>
      </c>
      <c r="H65" s="16">
        <v>7.4</v>
      </c>
      <c r="I65" s="16">
        <v>2.4</v>
      </c>
      <c r="J65" s="16">
        <v>36.200000000000003</v>
      </c>
      <c r="K65" s="18">
        <v>5.4960000000000004</v>
      </c>
      <c r="L65" s="16">
        <v>24.8</v>
      </c>
      <c r="M65" s="18">
        <v>1.4582658959537573</v>
      </c>
    </row>
    <row r="66" spans="1:13" ht="15.5" x14ac:dyDescent="0.35">
      <c r="A66" s="16" t="s">
        <v>333</v>
      </c>
      <c r="B66" s="16">
        <v>106</v>
      </c>
      <c r="C66" s="16">
        <v>112</v>
      </c>
      <c r="D66" s="16">
        <v>143</v>
      </c>
      <c r="E66" s="16">
        <v>99.320000000000007</v>
      </c>
      <c r="F66" s="16">
        <v>8.8000000000000007</v>
      </c>
      <c r="G66" s="16">
        <v>16.399999999999999</v>
      </c>
      <c r="H66" s="16">
        <v>8</v>
      </c>
      <c r="I66" s="16">
        <v>2.2000000000000002</v>
      </c>
      <c r="J66" s="16">
        <v>38.200000000000003</v>
      </c>
      <c r="K66" s="18">
        <v>6.7359999999999998</v>
      </c>
      <c r="L66" s="16">
        <v>42.4</v>
      </c>
      <c r="M66" s="18">
        <v>1.1432369942196534</v>
      </c>
    </row>
    <row r="67" spans="1:13" ht="15.5" x14ac:dyDescent="0.35">
      <c r="A67" s="16" t="s">
        <v>334</v>
      </c>
      <c r="B67" s="16">
        <v>108</v>
      </c>
      <c r="C67" s="16">
        <v>113</v>
      </c>
      <c r="D67" s="16">
        <v>146</v>
      </c>
      <c r="E67" s="16">
        <v>89.84</v>
      </c>
      <c r="F67" s="16">
        <v>12.3</v>
      </c>
      <c r="G67" s="16">
        <v>6.6</v>
      </c>
      <c r="H67" s="16">
        <v>9.6</v>
      </c>
      <c r="I67" s="16">
        <v>3.4</v>
      </c>
      <c r="J67" s="16">
        <v>48.4</v>
      </c>
      <c r="K67" s="18">
        <v>5.8559999999999999</v>
      </c>
      <c r="L67" s="16">
        <v>25.5</v>
      </c>
      <c r="M67" s="18">
        <v>1.0346820809248556</v>
      </c>
    </row>
    <row r="68" spans="1:13" ht="15.5" x14ac:dyDescent="0.35">
      <c r="A68" s="16" t="s">
        <v>335</v>
      </c>
      <c r="B68" s="16">
        <v>103</v>
      </c>
      <c r="C68" s="16">
        <v>109</v>
      </c>
      <c r="D68" s="16">
        <v>143</v>
      </c>
      <c r="E68" s="16">
        <v>88.4</v>
      </c>
      <c r="F68" s="16">
        <v>11.3</v>
      </c>
      <c r="G68" s="16">
        <v>6.4</v>
      </c>
      <c r="H68" s="16">
        <v>9</v>
      </c>
      <c r="I68" s="16">
        <v>2.8</v>
      </c>
      <c r="J68" s="16">
        <v>33</v>
      </c>
      <c r="K68" s="18">
        <v>6.6519999999999992</v>
      </c>
      <c r="L68" s="16">
        <v>48.8</v>
      </c>
      <c r="M68" s="18">
        <v>1.8069621066152857</v>
      </c>
    </row>
    <row r="69" spans="1:13" ht="15.5" x14ac:dyDescent="0.35">
      <c r="A69" s="16" t="s">
        <v>336</v>
      </c>
      <c r="B69" s="16">
        <v>108</v>
      </c>
      <c r="C69" s="16">
        <v>108</v>
      </c>
      <c r="D69" s="16">
        <v>146</v>
      </c>
      <c r="E69" s="16">
        <v>97.240000000000009</v>
      </c>
      <c r="F69" s="16">
        <v>8.6</v>
      </c>
      <c r="G69" s="16">
        <v>7</v>
      </c>
      <c r="H69" s="16">
        <v>8.4</v>
      </c>
      <c r="I69" s="16">
        <v>3</v>
      </c>
      <c r="J69" s="16">
        <v>34.200000000000003</v>
      </c>
      <c r="K69" s="18">
        <v>6.1740000000000004</v>
      </c>
      <c r="L69" s="16">
        <v>28.8</v>
      </c>
      <c r="M69" s="18">
        <v>1.4338471419396275</v>
      </c>
    </row>
    <row r="70" spans="1:13" ht="15.5" x14ac:dyDescent="0.35">
      <c r="A70" s="16" t="s">
        <v>337</v>
      </c>
      <c r="B70" s="16">
        <v>115</v>
      </c>
      <c r="C70" s="16">
        <v>117</v>
      </c>
      <c r="D70" s="16">
        <v>144</v>
      </c>
      <c r="E70" s="16">
        <v>76.2</v>
      </c>
      <c r="F70" s="16">
        <v>9.6</v>
      </c>
      <c r="G70" s="16">
        <v>4</v>
      </c>
      <c r="H70" s="16">
        <v>8.4</v>
      </c>
      <c r="I70" s="16">
        <v>2.8</v>
      </c>
      <c r="J70" s="16">
        <v>37.6</v>
      </c>
      <c r="K70" s="18">
        <v>5.9420000000000002</v>
      </c>
      <c r="L70" s="16">
        <v>45.5</v>
      </c>
      <c r="M70" s="18">
        <v>0.78001284521515746</v>
      </c>
    </row>
    <row r="71" spans="1:13" ht="15.5" x14ac:dyDescent="0.35">
      <c r="A71" s="16" t="s">
        <v>338</v>
      </c>
      <c r="B71" s="16">
        <v>110</v>
      </c>
      <c r="C71" s="16">
        <v>115</v>
      </c>
      <c r="D71" s="16">
        <v>146</v>
      </c>
      <c r="E71" s="16">
        <v>78</v>
      </c>
      <c r="F71" s="16">
        <v>12</v>
      </c>
      <c r="G71" s="16">
        <v>7.8</v>
      </c>
      <c r="H71" s="16">
        <v>10.8</v>
      </c>
      <c r="I71" s="16">
        <v>3.2</v>
      </c>
      <c r="J71" s="16">
        <v>50.4</v>
      </c>
      <c r="K71" s="18">
        <v>6.9859999999999998</v>
      </c>
      <c r="L71" s="16">
        <v>38.01</v>
      </c>
      <c r="M71" s="18">
        <v>1.3727938342967243</v>
      </c>
    </row>
    <row r="72" spans="1:13" ht="15.5" x14ac:dyDescent="0.35">
      <c r="A72" s="16" t="s">
        <v>339</v>
      </c>
      <c r="B72" s="16">
        <v>106</v>
      </c>
      <c r="C72" s="16">
        <v>110</v>
      </c>
      <c r="D72" s="16">
        <v>146</v>
      </c>
      <c r="E72" s="16">
        <v>77.2</v>
      </c>
      <c r="F72" s="16">
        <v>9.9</v>
      </c>
      <c r="G72" s="16">
        <v>4.8</v>
      </c>
      <c r="H72" s="16">
        <v>9.4</v>
      </c>
      <c r="I72" s="16">
        <v>3</v>
      </c>
      <c r="J72" s="16">
        <v>43.4</v>
      </c>
      <c r="K72" s="18">
        <v>6.0740000000000007</v>
      </c>
      <c r="L72" s="16">
        <v>44.6</v>
      </c>
      <c r="M72" s="18">
        <v>1.4551059730250484</v>
      </c>
    </row>
    <row r="73" spans="1:13" ht="15.5" x14ac:dyDescent="0.35">
      <c r="A73" s="16" t="s">
        <v>340</v>
      </c>
      <c r="B73" s="16">
        <v>109</v>
      </c>
      <c r="C73" s="16">
        <v>115</v>
      </c>
      <c r="D73" s="16">
        <v>145</v>
      </c>
      <c r="E73" s="16">
        <v>88</v>
      </c>
      <c r="F73" s="16">
        <v>10</v>
      </c>
      <c r="G73" s="16">
        <v>6.8</v>
      </c>
      <c r="H73" s="16">
        <v>9.8000000000000007</v>
      </c>
      <c r="I73" s="16">
        <v>2.6</v>
      </c>
      <c r="J73" s="16">
        <v>35.200000000000003</v>
      </c>
      <c r="K73" s="18">
        <v>6.1479999999999997</v>
      </c>
      <c r="L73" s="46">
        <v>50.9</v>
      </c>
      <c r="M73" s="18">
        <v>1.2471676300578036</v>
      </c>
    </row>
    <row r="74" spans="1:13" ht="15.5" x14ac:dyDescent="0.35">
      <c r="A74" s="16" t="s">
        <v>341</v>
      </c>
      <c r="B74" s="16">
        <v>106</v>
      </c>
      <c r="C74" s="16">
        <v>112</v>
      </c>
      <c r="D74" s="16">
        <v>148</v>
      </c>
      <c r="E74" s="16">
        <v>99.460000000000008</v>
      </c>
      <c r="F74" s="16">
        <v>8.9</v>
      </c>
      <c r="G74" s="16">
        <v>13</v>
      </c>
      <c r="H74" s="16">
        <v>10</v>
      </c>
      <c r="I74" s="16">
        <v>2.4</v>
      </c>
      <c r="J74" s="16">
        <v>40.4</v>
      </c>
      <c r="K74" s="18">
        <v>5.4939999999999998</v>
      </c>
      <c r="L74" s="16">
        <v>21.2</v>
      </c>
      <c r="M74" s="18">
        <v>1.6324983943481053</v>
      </c>
    </row>
    <row r="75" spans="1:13" ht="15.5" x14ac:dyDescent="0.35">
      <c r="A75" s="16" t="s">
        <v>342</v>
      </c>
      <c r="B75" s="16">
        <v>106</v>
      </c>
      <c r="C75" s="16">
        <v>112</v>
      </c>
      <c r="D75" s="16">
        <v>148</v>
      </c>
      <c r="E75" s="16">
        <v>107.58</v>
      </c>
      <c r="F75" s="16">
        <v>8.8000000000000007</v>
      </c>
      <c r="G75" s="16">
        <v>5.6</v>
      </c>
      <c r="H75" s="16">
        <v>9.4</v>
      </c>
      <c r="I75" s="16">
        <v>2.2000000000000002</v>
      </c>
      <c r="J75" s="16">
        <v>31.4</v>
      </c>
      <c r="K75" s="18">
        <v>5.6280000000000001</v>
      </c>
      <c r="L75" s="16">
        <v>23.3</v>
      </c>
      <c r="M75" s="18">
        <v>1.6702890173410405</v>
      </c>
    </row>
    <row r="76" spans="1:13" ht="15.5" x14ac:dyDescent="0.35">
      <c r="A76" s="16" t="s">
        <v>343</v>
      </c>
      <c r="B76" s="16">
        <v>102</v>
      </c>
      <c r="C76" s="16">
        <v>109</v>
      </c>
      <c r="D76" s="16">
        <v>146</v>
      </c>
      <c r="E76" s="16">
        <v>88.8</v>
      </c>
      <c r="F76" s="16">
        <v>8.5599999999999987</v>
      </c>
      <c r="G76" s="16">
        <v>7.6</v>
      </c>
      <c r="H76" s="16">
        <v>9.6</v>
      </c>
      <c r="I76" s="16">
        <v>3.2</v>
      </c>
      <c r="J76" s="16">
        <v>45.2</v>
      </c>
      <c r="K76" s="18">
        <v>5.798</v>
      </c>
      <c r="L76" s="16">
        <v>37.1</v>
      </c>
      <c r="M76" s="18">
        <v>2.319845857418112</v>
      </c>
    </row>
    <row r="77" spans="1:13" ht="15.5" x14ac:dyDescent="0.35">
      <c r="A77" s="16" t="s">
        <v>344</v>
      </c>
      <c r="B77" s="16">
        <v>104</v>
      </c>
      <c r="C77" s="16">
        <v>112</v>
      </c>
      <c r="D77" s="16">
        <v>144</v>
      </c>
      <c r="E77" s="16">
        <v>86.539999999999992</v>
      </c>
      <c r="F77" s="16">
        <v>10.040000000000001</v>
      </c>
      <c r="G77" s="16">
        <v>5.8</v>
      </c>
      <c r="H77" s="16">
        <v>9.1999999999999993</v>
      </c>
      <c r="I77" s="16">
        <v>3.4</v>
      </c>
      <c r="J77" s="16">
        <v>42.6</v>
      </c>
      <c r="K77" s="18">
        <v>5.8239999999999998</v>
      </c>
      <c r="L77" s="16">
        <v>31.1</v>
      </c>
      <c r="M77" s="18">
        <v>1.3879640333975594</v>
      </c>
    </row>
    <row r="78" spans="1:13" ht="15.5" x14ac:dyDescent="0.35">
      <c r="A78" s="16" t="s">
        <v>345</v>
      </c>
      <c r="B78" s="16">
        <v>108</v>
      </c>
      <c r="C78" s="16">
        <v>112</v>
      </c>
      <c r="D78" s="16">
        <v>146</v>
      </c>
      <c r="E78" s="16">
        <v>98.859999999999985</v>
      </c>
      <c r="F78" s="16">
        <v>8.6999999999999993</v>
      </c>
      <c r="G78" s="16">
        <v>10.4</v>
      </c>
      <c r="H78" s="16">
        <v>9.8000000000000007</v>
      </c>
      <c r="I78" s="16">
        <v>3.2</v>
      </c>
      <c r="J78" s="16">
        <v>39.799999999999997</v>
      </c>
      <c r="K78" s="18">
        <v>6.4520000000000008</v>
      </c>
      <c r="L78" s="16">
        <v>41.5</v>
      </c>
      <c r="M78" s="18">
        <v>1.5110854206807964</v>
      </c>
    </row>
    <row r="79" spans="1:13" ht="15.5" x14ac:dyDescent="0.35">
      <c r="A79" s="16" t="s">
        <v>346</v>
      </c>
      <c r="B79" s="16">
        <v>106</v>
      </c>
      <c r="C79" s="16">
        <v>110</v>
      </c>
      <c r="D79" s="16">
        <v>144</v>
      </c>
      <c r="E79" s="16">
        <v>106.41999999999999</v>
      </c>
      <c r="F79" s="16">
        <v>9.86</v>
      </c>
      <c r="G79" s="16">
        <v>8.6</v>
      </c>
      <c r="H79" s="16">
        <v>8.8000000000000007</v>
      </c>
      <c r="I79" s="16">
        <v>2.4</v>
      </c>
      <c r="J79" s="16">
        <v>38.6</v>
      </c>
      <c r="K79" s="18">
        <v>5.7160000000000002</v>
      </c>
      <c r="L79" s="16">
        <v>32.4</v>
      </c>
      <c r="M79" s="18">
        <v>1.5226204238921004</v>
      </c>
    </row>
    <row r="80" spans="1:13" ht="15.5" x14ac:dyDescent="0.35">
      <c r="A80" s="16" t="s">
        <v>347</v>
      </c>
      <c r="B80" s="16">
        <v>112</v>
      </c>
      <c r="C80" s="16">
        <v>115</v>
      </c>
      <c r="D80" s="16">
        <v>144</v>
      </c>
      <c r="E80" s="16">
        <v>83.2</v>
      </c>
      <c r="F80" s="16">
        <v>11.52</v>
      </c>
      <c r="G80" s="16">
        <v>3.8</v>
      </c>
      <c r="H80" s="16">
        <v>10</v>
      </c>
      <c r="I80" s="16">
        <v>3.4</v>
      </c>
      <c r="J80" s="16">
        <v>46.6</v>
      </c>
      <c r="K80" s="18">
        <v>6.5039999999999996</v>
      </c>
      <c r="L80" s="16">
        <v>53.1</v>
      </c>
      <c r="M80" s="18">
        <v>1.2249710982658961</v>
      </c>
    </row>
    <row r="81" spans="1:13" ht="15.5" x14ac:dyDescent="0.35">
      <c r="A81" s="16" t="s">
        <v>348</v>
      </c>
      <c r="B81" s="16">
        <v>106</v>
      </c>
      <c r="C81" s="16">
        <v>113</v>
      </c>
      <c r="D81" s="16">
        <v>142</v>
      </c>
      <c r="E81" s="16">
        <v>102.42</v>
      </c>
      <c r="F81" s="16">
        <v>9.34</v>
      </c>
      <c r="G81" s="16">
        <v>5.6</v>
      </c>
      <c r="H81" s="16">
        <v>10</v>
      </c>
      <c r="I81" s="16">
        <v>3.2</v>
      </c>
      <c r="J81" s="16">
        <v>43</v>
      </c>
      <c r="K81" s="18">
        <v>5.8319999999999999</v>
      </c>
      <c r="L81" s="16">
        <v>45.9</v>
      </c>
      <c r="M81" s="18">
        <v>0.72074502247912653</v>
      </c>
    </row>
    <row r="82" spans="1:13" ht="15.5" x14ac:dyDescent="0.35">
      <c r="A82" s="16" t="s">
        <v>349</v>
      </c>
      <c r="B82" s="16">
        <v>112</v>
      </c>
      <c r="C82" s="16">
        <v>115</v>
      </c>
      <c r="D82" s="16">
        <v>146</v>
      </c>
      <c r="E82" s="16">
        <v>129.5</v>
      </c>
      <c r="F82" s="16">
        <v>8.18</v>
      </c>
      <c r="G82" s="16">
        <v>10.8</v>
      </c>
      <c r="H82" s="16">
        <v>10.4</v>
      </c>
      <c r="I82" s="16">
        <v>2.2000000000000002</v>
      </c>
      <c r="J82" s="16">
        <v>38</v>
      </c>
      <c r="K82" s="18">
        <v>5.8579999999999997</v>
      </c>
      <c r="L82" s="16">
        <v>24.9</v>
      </c>
      <c r="M82" s="18">
        <v>1.6122928709055875</v>
      </c>
    </row>
    <row r="83" spans="1:13" ht="15.5" x14ac:dyDescent="0.35">
      <c r="A83" s="16" t="s">
        <v>350</v>
      </c>
      <c r="B83" s="16">
        <v>112</v>
      </c>
      <c r="C83" s="16">
        <v>116</v>
      </c>
      <c r="D83" s="16">
        <v>146</v>
      </c>
      <c r="E83" s="16">
        <v>125.9</v>
      </c>
      <c r="F83" s="16">
        <v>7</v>
      </c>
      <c r="G83" s="46">
        <v>23.8</v>
      </c>
      <c r="H83" s="16">
        <v>10.8</v>
      </c>
      <c r="I83" s="16">
        <v>2.2000000000000002</v>
      </c>
      <c r="J83" s="16">
        <v>45.6</v>
      </c>
      <c r="K83" s="18">
        <v>5.6719999999999997</v>
      </c>
      <c r="L83" s="16">
        <v>17.600000000000001</v>
      </c>
      <c r="M83" s="18">
        <v>1.1226332691072574</v>
      </c>
    </row>
    <row r="84" spans="1:13" ht="15.5" x14ac:dyDescent="0.35">
      <c r="A84" s="16" t="s">
        <v>351</v>
      </c>
      <c r="B84" s="16">
        <v>112</v>
      </c>
      <c r="C84" s="16">
        <v>115</v>
      </c>
      <c r="D84" s="16">
        <v>146</v>
      </c>
      <c r="E84" s="46">
        <v>128.72</v>
      </c>
      <c r="F84" s="16">
        <v>8.3000000000000007</v>
      </c>
      <c r="G84" s="16">
        <v>8.8000000000000007</v>
      </c>
      <c r="H84" s="16">
        <v>11.2</v>
      </c>
      <c r="I84" s="16">
        <v>3</v>
      </c>
      <c r="J84" s="16">
        <v>55.8</v>
      </c>
      <c r="K84" s="18">
        <v>5.95</v>
      </c>
      <c r="L84" s="16">
        <v>31.5</v>
      </c>
      <c r="M84" s="18">
        <v>1.6361464354527939</v>
      </c>
    </row>
    <row r="85" spans="1:13" ht="15.5" x14ac:dyDescent="0.35">
      <c r="A85" s="16" t="s">
        <v>352</v>
      </c>
      <c r="B85" s="16">
        <v>112</v>
      </c>
      <c r="C85" s="16">
        <v>114</v>
      </c>
      <c r="D85" s="16">
        <v>146</v>
      </c>
      <c r="E85" s="16">
        <v>125.91999999999999</v>
      </c>
      <c r="F85" s="16">
        <v>7.6599999999999993</v>
      </c>
      <c r="G85" s="16">
        <v>7.2</v>
      </c>
      <c r="H85" s="16">
        <v>9.4</v>
      </c>
      <c r="I85" s="16">
        <v>3.2</v>
      </c>
      <c r="J85" s="16">
        <v>47</v>
      </c>
      <c r="K85" s="18">
        <v>5.6800000000000006</v>
      </c>
      <c r="L85" s="16">
        <v>31.5</v>
      </c>
      <c r="M85" s="18">
        <v>1.3265253692999359</v>
      </c>
    </row>
    <row r="86" spans="1:13" ht="15.5" x14ac:dyDescent="0.35">
      <c r="A86" s="16" t="s">
        <v>353</v>
      </c>
      <c r="B86" s="16">
        <v>103</v>
      </c>
      <c r="C86" s="16">
        <v>112</v>
      </c>
      <c r="D86" s="16">
        <v>148</v>
      </c>
      <c r="E86" s="16">
        <v>102.52000000000001</v>
      </c>
      <c r="F86" s="16">
        <v>10.24</v>
      </c>
      <c r="G86" s="16">
        <v>9</v>
      </c>
      <c r="H86" s="16">
        <v>8.6</v>
      </c>
      <c r="I86" s="16">
        <v>2.8</v>
      </c>
      <c r="J86" s="16">
        <v>35.6</v>
      </c>
      <c r="K86" s="18">
        <v>6.5419999999999998</v>
      </c>
      <c r="L86" s="16">
        <v>47.6</v>
      </c>
      <c r="M86" s="18">
        <v>1.6485549132947976</v>
      </c>
    </row>
    <row r="87" spans="1:13" ht="15.5" x14ac:dyDescent="0.35">
      <c r="A87" s="16" t="s">
        <v>354</v>
      </c>
      <c r="B87" s="16">
        <v>104</v>
      </c>
      <c r="C87" s="16">
        <v>109</v>
      </c>
      <c r="D87" s="16">
        <v>149</v>
      </c>
      <c r="E87" s="16">
        <v>94.9</v>
      </c>
      <c r="F87" s="16">
        <v>8.34</v>
      </c>
      <c r="G87" s="16">
        <v>7.6</v>
      </c>
      <c r="H87" s="16">
        <v>8.4</v>
      </c>
      <c r="I87" s="16">
        <v>2.6</v>
      </c>
      <c r="J87" s="16">
        <v>33</v>
      </c>
      <c r="K87" s="18">
        <v>5.5299999999999994</v>
      </c>
      <c r="L87" s="16">
        <v>32.200000000000003</v>
      </c>
      <c r="M87" s="18">
        <v>1.1238792549775209</v>
      </c>
    </row>
    <row r="88" spans="1:13" ht="15.5" x14ac:dyDescent="0.35">
      <c r="A88" s="16" t="s">
        <v>355</v>
      </c>
      <c r="B88" s="16">
        <v>106</v>
      </c>
      <c r="C88" s="16">
        <v>110</v>
      </c>
      <c r="D88" s="16">
        <v>147</v>
      </c>
      <c r="E88" s="16">
        <v>77.7</v>
      </c>
      <c r="F88" s="16">
        <v>8.26</v>
      </c>
      <c r="G88" s="16">
        <v>5.2</v>
      </c>
      <c r="H88" s="16">
        <v>8.8000000000000007</v>
      </c>
      <c r="I88" s="16">
        <v>3</v>
      </c>
      <c r="J88" s="16">
        <v>37.799999999999997</v>
      </c>
      <c r="K88" s="18">
        <v>5.9380000000000006</v>
      </c>
      <c r="L88" s="16">
        <v>42.1</v>
      </c>
      <c r="M88" s="18">
        <v>0.73892100192678245</v>
      </c>
    </row>
    <row r="89" spans="1:13" ht="15.5" x14ac:dyDescent="0.35">
      <c r="A89" s="16" t="s">
        <v>356</v>
      </c>
      <c r="B89" s="16">
        <v>105</v>
      </c>
      <c r="C89" s="16">
        <v>113</v>
      </c>
      <c r="D89" s="16">
        <v>147</v>
      </c>
      <c r="E89" s="16">
        <v>93.7</v>
      </c>
      <c r="F89" s="16">
        <v>11.2</v>
      </c>
      <c r="G89" s="16">
        <v>6.4</v>
      </c>
      <c r="H89" s="16">
        <v>9.8000000000000007</v>
      </c>
      <c r="I89" s="16">
        <v>3.2</v>
      </c>
      <c r="J89" s="16">
        <v>43.2</v>
      </c>
      <c r="K89" s="18">
        <v>6.8680000000000003</v>
      </c>
      <c r="L89" s="16">
        <v>50.4</v>
      </c>
      <c r="M89" s="18">
        <v>1.1356069364161852</v>
      </c>
    </row>
    <row r="90" spans="1:13" ht="15.5" x14ac:dyDescent="0.35">
      <c r="A90" s="16" t="s">
        <v>357</v>
      </c>
      <c r="B90" s="16">
        <v>105</v>
      </c>
      <c r="C90" s="16">
        <v>113</v>
      </c>
      <c r="D90" s="16">
        <v>146</v>
      </c>
      <c r="E90" s="16">
        <v>93.72</v>
      </c>
      <c r="F90" s="16">
        <v>10.1</v>
      </c>
      <c r="G90" s="16">
        <v>10.8</v>
      </c>
      <c r="H90" s="16">
        <v>9.8000000000000007</v>
      </c>
      <c r="I90" s="16">
        <v>3</v>
      </c>
      <c r="J90" s="16">
        <v>43</v>
      </c>
      <c r="K90" s="18">
        <v>6.5120000000000005</v>
      </c>
      <c r="L90" s="16">
        <v>44.01</v>
      </c>
      <c r="M90" s="18">
        <v>1.5307385998715479</v>
      </c>
    </row>
    <row r="91" spans="1:13" ht="15.5" x14ac:dyDescent="0.35">
      <c r="A91" s="16" t="s">
        <v>358</v>
      </c>
      <c r="B91" s="16">
        <v>103</v>
      </c>
      <c r="C91" s="16">
        <v>109</v>
      </c>
      <c r="D91" s="16">
        <v>143</v>
      </c>
      <c r="E91" s="16">
        <v>96.82</v>
      </c>
      <c r="F91" s="16">
        <v>8.7799999999999994</v>
      </c>
      <c r="G91" s="16">
        <v>9.6</v>
      </c>
      <c r="H91" s="16">
        <v>9.6</v>
      </c>
      <c r="I91" s="16">
        <v>3.4</v>
      </c>
      <c r="J91" s="16">
        <v>51.6</v>
      </c>
      <c r="K91" s="18">
        <v>6.418000000000001</v>
      </c>
      <c r="L91" s="16">
        <v>38.1</v>
      </c>
      <c r="M91" s="18">
        <v>1.1535003211303791</v>
      </c>
    </row>
    <row r="92" spans="1:13" ht="15.5" x14ac:dyDescent="0.35">
      <c r="A92" s="16" t="s">
        <v>359</v>
      </c>
      <c r="B92" s="16">
        <v>106</v>
      </c>
      <c r="C92" s="16">
        <v>112</v>
      </c>
      <c r="D92" s="16">
        <v>144</v>
      </c>
      <c r="E92" s="16">
        <v>106.55999999999999</v>
      </c>
      <c r="F92" s="16">
        <v>8.8000000000000007</v>
      </c>
      <c r="G92" s="16">
        <v>14</v>
      </c>
      <c r="H92" s="16">
        <v>9.6</v>
      </c>
      <c r="I92" s="16">
        <v>3</v>
      </c>
      <c r="J92" s="16">
        <v>43.6</v>
      </c>
      <c r="K92" s="18">
        <v>5.8460000000000001</v>
      </c>
      <c r="L92" s="16">
        <v>39.200000000000003</v>
      </c>
      <c r="M92" s="18">
        <v>1.4303403982016698</v>
      </c>
    </row>
    <row r="93" spans="1:13" ht="15.5" x14ac:dyDescent="0.35">
      <c r="A93" s="16" t="s">
        <v>360</v>
      </c>
      <c r="B93" s="16">
        <v>109</v>
      </c>
      <c r="C93" s="16">
        <v>115</v>
      </c>
      <c r="D93" s="16">
        <v>148</v>
      </c>
      <c r="E93" s="16">
        <v>101.88000000000001</v>
      </c>
      <c r="F93" s="16">
        <v>7.6</v>
      </c>
      <c r="G93" s="16">
        <v>6.6</v>
      </c>
      <c r="H93" s="16">
        <v>8.6</v>
      </c>
      <c r="I93" s="16">
        <v>2.8</v>
      </c>
      <c r="J93" s="16">
        <v>40.6</v>
      </c>
      <c r="K93" s="18">
        <v>6.9640000000000004</v>
      </c>
      <c r="L93" s="16">
        <v>48.9</v>
      </c>
      <c r="M93" s="18">
        <v>0.63725112395632633</v>
      </c>
    </row>
    <row r="94" spans="1:13" ht="15.5" x14ac:dyDescent="0.35">
      <c r="A94" s="16" t="s">
        <v>361</v>
      </c>
      <c r="B94" s="16">
        <v>108</v>
      </c>
      <c r="C94" s="16">
        <v>114</v>
      </c>
      <c r="D94" s="16">
        <v>143</v>
      </c>
      <c r="E94" s="16">
        <v>97.94</v>
      </c>
      <c r="F94" s="16">
        <v>8.5</v>
      </c>
      <c r="G94" s="16">
        <v>12.6</v>
      </c>
      <c r="H94" s="16">
        <v>10</v>
      </c>
      <c r="I94" s="16">
        <v>3</v>
      </c>
      <c r="J94" s="16">
        <v>37.6</v>
      </c>
      <c r="K94" s="18">
        <v>5.77</v>
      </c>
      <c r="L94" s="16">
        <v>29.4</v>
      </c>
      <c r="M94" s="18">
        <v>1.5908542068079643</v>
      </c>
    </row>
    <row r="95" spans="1:13" ht="15.5" x14ac:dyDescent="0.35">
      <c r="A95" s="16" t="s">
        <v>362</v>
      </c>
      <c r="B95" s="16">
        <v>103</v>
      </c>
      <c r="C95" s="16">
        <v>110</v>
      </c>
      <c r="D95" s="16">
        <v>144</v>
      </c>
      <c r="E95" s="16">
        <v>100.06</v>
      </c>
      <c r="F95" s="16">
        <v>8.8199999999999985</v>
      </c>
      <c r="G95" s="16">
        <v>16</v>
      </c>
      <c r="H95" s="16">
        <v>9</v>
      </c>
      <c r="I95" s="16">
        <v>3.2</v>
      </c>
      <c r="J95" s="16">
        <v>40.4</v>
      </c>
      <c r="K95" s="18">
        <v>6.26</v>
      </c>
      <c r="L95" s="16">
        <v>37.9</v>
      </c>
      <c r="M95" s="18">
        <v>1.3063583815028901</v>
      </c>
    </row>
    <row r="96" spans="1:13" ht="15.5" x14ac:dyDescent="0.35">
      <c r="A96" s="16" t="s">
        <v>363</v>
      </c>
      <c r="B96" s="16">
        <v>108</v>
      </c>
      <c r="C96" s="16">
        <v>109</v>
      </c>
      <c r="D96" s="16">
        <v>142</v>
      </c>
      <c r="E96" s="16">
        <v>101.78</v>
      </c>
      <c r="F96" s="16">
        <v>8.1999999999999993</v>
      </c>
      <c r="G96" s="16">
        <v>18.399999999999999</v>
      </c>
      <c r="H96" s="16">
        <v>7.6</v>
      </c>
      <c r="I96" s="16">
        <v>2.6</v>
      </c>
      <c r="J96" s="16">
        <v>31.8</v>
      </c>
      <c r="K96" s="18">
        <v>6.266</v>
      </c>
      <c r="L96" s="16">
        <v>41.01</v>
      </c>
      <c r="M96" s="18">
        <v>2.0485163776493254</v>
      </c>
    </row>
    <row r="97" spans="1:13" ht="15.5" x14ac:dyDescent="0.35">
      <c r="A97" s="16" t="s">
        <v>364</v>
      </c>
      <c r="B97" s="16">
        <v>106</v>
      </c>
      <c r="C97" s="16">
        <v>112</v>
      </c>
      <c r="D97" s="16">
        <v>146</v>
      </c>
      <c r="E97" s="16">
        <v>101.94000000000001</v>
      </c>
      <c r="F97" s="16">
        <v>7.580000000000001</v>
      </c>
      <c r="G97" s="16">
        <v>15.4</v>
      </c>
      <c r="H97" s="16">
        <v>8.6</v>
      </c>
      <c r="I97" s="16">
        <v>2.8</v>
      </c>
      <c r="J97" s="16">
        <v>35.6</v>
      </c>
      <c r="K97" s="18">
        <v>6.1980000000000004</v>
      </c>
      <c r="L97" s="16">
        <v>36.700000000000003</v>
      </c>
      <c r="M97" s="18">
        <v>1.0265895953757225</v>
      </c>
    </row>
    <row r="98" spans="1:13" ht="15.5" x14ac:dyDescent="0.35">
      <c r="A98" s="16" t="s">
        <v>365</v>
      </c>
      <c r="B98" s="16">
        <v>106</v>
      </c>
      <c r="C98" s="16">
        <v>110</v>
      </c>
      <c r="D98" s="16">
        <v>146</v>
      </c>
      <c r="E98" s="16">
        <v>97.4</v>
      </c>
      <c r="F98" s="16">
        <v>8.1</v>
      </c>
      <c r="G98" s="16">
        <v>3.4</v>
      </c>
      <c r="H98" s="16">
        <v>8.8000000000000007</v>
      </c>
      <c r="I98" s="16">
        <v>3</v>
      </c>
      <c r="J98" s="16">
        <v>40</v>
      </c>
      <c r="K98" s="18">
        <v>5.3</v>
      </c>
      <c r="L98" s="16">
        <v>34.6</v>
      </c>
      <c r="M98" s="18">
        <v>1.8361078998073219</v>
      </c>
    </row>
    <row r="99" spans="1:13" ht="15.5" x14ac:dyDescent="0.35">
      <c r="A99" s="16" t="s">
        <v>366</v>
      </c>
      <c r="B99" s="16">
        <v>104</v>
      </c>
      <c r="C99" s="16">
        <v>109</v>
      </c>
      <c r="D99" s="16">
        <v>143</v>
      </c>
      <c r="E99" s="16">
        <v>101.64</v>
      </c>
      <c r="F99" s="16">
        <v>8.9</v>
      </c>
      <c r="G99" s="16">
        <v>11.8</v>
      </c>
      <c r="H99" s="16">
        <v>9</v>
      </c>
      <c r="I99" s="16">
        <v>3</v>
      </c>
      <c r="J99" s="16">
        <v>41.8</v>
      </c>
      <c r="K99" s="18">
        <v>5.6959999999999997</v>
      </c>
      <c r="L99" s="16">
        <v>34.799999999999997</v>
      </c>
      <c r="M99" s="18">
        <v>2.0555684007707131</v>
      </c>
    </row>
    <row r="100" spans="1:13" ht="15.5" x14ac:dyDescent="0.35">
      <c r="A100" s="16" t="s">
        <v>367</v>
      </c>
      <c r="B100" s="16">
        <v>102</v>
      </c>
      <c r="C100" s="16">
        <v>110</v>
      </c>
      <c r="D100" s="16">
        <v>144</v>
      </c>
      <c r="E100" s="16">
        <v>98.72</v>
      </c>
      <c r="F100" s="16">
        <v>8.120000000000001</v>
      </c>
      <c r="G100" s="16">
        <v>8.6</v>
      </c>
      <c r="H100" s="16">
        <v>9</v>
      </c>
      <c r="I100" s="16">
        <v>3</v>
      </c>
      <c r="J100" s="16">
        <v>41.6</v>
      </c>
      <c r="K100" s="18">
        <v>5.952</v>
      </c>
      <c r="L100" s="16">
        <v>41.01</v>
      </c>
      <c r="M100" s="18">
        <v>1.3711368015414258</v>
      </c>
    </row>
    <row r="101" spans="1:13" ht="15.5" x14ac:dyDescent="0.35">
      <c r="A101" s="16" t="s">
        <v>368</v>
      </c>
      <c r="B101" s="16">
        <v>108</v>
      </c>
      <c r="C101" s="16">
        <v>112</v>
      </c>
      <c r="D101" s="16">
        <v>146</v>
      </c>
      <c r="E101" s="16">
        <v>99</v>
      </c>
      <c r="F101" s="16">
        <v>8.16</v>
      </c>
      <c r="G101" s="16">
        <v>7.2</v>
      </c>
      <c r="H101" s="16">
        <v>8.8000000000000007</v>
      </c>
      <c r="I101" s="16">
        <v>3</v>
      </c>
      <c r="J101" s="16">
        <v>41.8</v>
      </c>
      <c r="K101" s="18">
        <v>5.2840000000000007</v>
      </c>
      <c r="L101" s="16">
        <v>29.4</v>
      </c>
      <c r="M101" s="18">
        <v>1.6149004495825305</v>
      </c>
    </row>
    <row r="102" spans="1:13" ht="15.5" x14ac:dyDescent="0.35">
      <c r="A102" s="16" t="s">
        <v>369</v>
      </c>
      <c r="B102" s="16">
        <v>108</v>
      </c>
      <c r="C102" s="16">
        <v>115</v>
      </c>
      <c r="D102" s="16">
        <v>146</v>
      </c>
      <c r="E102" s="16">
        <v>96.47999999999999</v>
      </c>
      <c r="F102" s="16">
        <v>8.4599999999999991</v>
      </c>
      <c r="G102" s="16">
        <v>7.8</v>
      </c>
      <c r="H102" s="16">
        <v>8.1999999999999993</v>
      </c>
      <c r="I102" s="16">
        <v>2.8</v>
      </c>
      <c r="J102" s="16">
        <v>40.6</v>
      </c>
      <c r="K102" s="18">
        <v>5.7</v>
      </c>
      <c r="L102" s="16">
        <v>31.8</v>
      </c>
      <c r="M102" s="18">
        <v>1.3420937700706486</v>
      </c>
    </row>
    <row r="103" spans="1:13" ht="15.5" x14ac:dyDescent="0.35">
      <c r="A103" s="16" t="s">
        <v>370</v>
      </c>
      <c r="B103" s="16">
        <v>108</v>
      </c>
      <c r="C103" s="16">
        <v>112</v>
      </c>
      <c r="D103" s="16">
        <v>145</v>
      </c>
      <c r="E103" s="16">
        <v>93.7</v>
      </c>
      <c r="F103" s="16">
        <v>7.08</v>
      </c>
      <c r="G103" s="16">
        <v>8</v>
      </c>
      <c r="H103" s="16">
        <v>8.6</v>
      </c>
      <c r="I103" s="16">
        <v>3</v>
      </c>
      <c r="J103" s="16">
        <v>42.4</v>
      </c>
      <c r="K103" s="18">
        <v>5.6240000000000006</v>
      </c>
      <c r="L103" s="16">
        <v>32.4</v>
      </c>
      <c r="M103" s="18">
        <v>1.3611303789338469</v>
      </c>
    </row>
    <row r="104" spans="1:13" ht="15.5" x14ac:dyDescent="0.35">
      <c r="A104" s="16" t="s">
        <v>371</v>
      </c>
      <c r="B104" s="16">
        <v>108</v>
      </c>
      <c r="C104" s="16">
        <v>114</v>
      </c>
      <c r="D104" s="16">
        <v>145</v>
      </c>
      <c r="E104" s="16">
        <v>97.6</v>
      </c>
      <c r="F104" s="16">
        <v>8.76</v>
      </c>
      <c r="G104" s="16">
        <v>6.2</v>
      </c>
      <c r="H104" s="16">
        <v>10.6</v>
      </c>
      <c r="I104" s="16">
        <v>2.8</v>
      </c>
      <c r="J104" s="16">
        <v>38.200000000000003</v>
      </c>
      <c r="K104" s="18">
        <v>5.5260000000000007</v>
      </c>
      <c r="L104" s="16">
        <v>33.4</v>
      </c>
      <c r="M104" s="18">
        <v>1.2846628131021194</v>
      </c>
    </row>
    <row r="105" spans="1:13" ht="15.5" x14ac:dyDescent="0.35">
      <c r="A105" s="16" t="s">
        <v>372</v>
      </c>
      <c r="B105" s="16">
        <v>106</v>
      </c>
      <c r="C105" s="16">
        <v>115</v>
      </c>
      <c r="D105" s="16">
        <v>145</v>
      </c>
      <c r="E105" s="16">
        <v>89.1</v>
      </c>
      <c r="F105" s="16">
        <v>7.56</v>
      </c>
      <c r="G105" s="16">
        <v>8.4</v>
      </c>
      <c r="H105" s="16">
        <v>10.6</v>
      </c>
      <c r="I105" s="16">
        <v>2.8</v>
      </c>
      <c r="J105" s="16">
        <v>43</v>
      </c>
      <c r="K105" s="18">
        <v>5.4180000000000001</v>
      </c>
      <c r="L105" s="16">
        <v>28.4</v>
      </c>
      <c r="M105" s="18">
        <v>1.1640231213872836</v>
      </c>
    </row>
    <row r="106" spans="1:13" ht="15.5" x14ac:dyDescent="0.35">
      <c r="A106" s="16" t="s">
        <v>373</v>
      </c>
      <c r="B106" s="16">
        <v>107</v>
      </c>
      <c r="C106" s="16">
        <v>112</v>
      </c>
      <c r="D106" s="16">
        <v>145</v>
      </c>
      <c r="E106" s="16">
        <v>100.24</v>
      </c>
      <c r="F106" s="16">
        <v>7.4799999999999995</v>
      </c>
      <c r="G106" s="16">
        <v>8.1999999999999993</v>
      </c>
      <c r="H106" s="16">
        <v>10.199999999999999</v>
      </c>
      <c r="I106" s="16">
        <v>3</v>
      </c>
      <c r="J106" s="16">
        <v>41.6</v>
      </c>
      <c r="K106" s="18">
        <v>5.7780000000000005</v>
      </c>
      <c r="L106" s="16">
        <v>34.799999999999997</v>
      </c>
      <c r="M106" s="18">
        <v>1.7407835581245985</v>
      </c>
    </row>
    <row r="107" spans="1:13" ht="15.5" x14ac:dyDescent="0.35">
      <c r="A107" s="16" t="s">
        <v>374</v>
      </c>
      <c r="B107" s="16">
        <v>124</v>
      </c>
      <c r="C107" s="16">
        <v>128</v>
      </c>
      <c r="D107" s="16">
        <v>145</v>
      </c>
      <c r="E107" s="16">
        <v>34.799999999999997</v>
      </c>
      <c r="F107" s="16">
        <v>6.2</v>
      </c>
      <c r="G107" s="16">
        <v>8</v>
      </c>
      <c r="H107" s="16">
        <v>7.8</v>
      </c>
      <c r="I107" s="16">
        <v>2.2000000000000002</v>
      </c>
      <c r="J107" s="16">
        <v>16.8</v>
      </c>
      <c r="K107" s="18">
        <v>6.23</v>
      </c>
      <c r="L107" s="16">
        <v>24.2</v>
      </c>
      <c r="M107" s="18">
        <v>1.2631470777135516</v>
      </c>
    </row>
    <row r="108" spans="1:13" ht="15.5" x14ac:dyDescent="0.35">
      <c r="A108" s="16" t="s">
        <v>375</v>
      </c>
      <c r="B108" s="16">
        <v>118</v>
      </c>
      <c r="C108" s="16">
        <v>134</v>
      </c>
      <c r="D108" s="16">
        <v>149</v>
      </c>
      <c r="E108" s="16">
        <v>44.8</v>
      </c>
      <c r="F108" s="16">
        <v>6.6</v>
      </c>
      <c r="G108" s="16">
        <v>5.8</v>
      </c>
      <c r="H108" s="16">
        <v>8.8000000000000007</v>
      </c>
      <c r="I108" s="16">
        <v>3</v>
      </c>
      <c r="J108" s="16">
        <v>36</v>
      </c>
      <c r="K108" s="18">
        <v>6.3259999999999996</v>
      </c>
      <c r="L108" s="16">
        <v>38.4</v>
      </c>
      <c r="M108" s="18">
        <v>0.59156069364161856</v>
      </c>
    </row>
    <row r="109" spans="1:13" ht="15.5" x14ac:dyDescent="0.35">
      <c r="A109" s="16" t="s">
        <v>376</v>
      </c>
      <c r="B109" s="16">
        <v>116</v>
      </c>
      <c r="C109" s="16">
        <v>132</v>
      </c>
      <c r="D109" s="16">
        <v>149</v>
      </c>
      <c r="E109" s="16">
        <v>93.8</v>
      </c>
      <c r="F109" s="16">
        <v>8.4</v>
      </c>
      <c r="G109" s="16">
        <v>7.6</v>
      </c>
      <c r="H109" s="16">
        <v>7.8</v>
      </c>
      <c r="I109" s="16">
        <v>2.8</v>
      </c>
      <c r="J109" s="16">
        <v>26.4</v>
      </c>
      <c r="K109" s="18">
        <v>5.6980000000000004</v>
      </c>
      <c r="L109" s="16">
        <v>30.7</v>
      </c>
      <c r="M109" s="18">
        <v>0.93307642903018628</v>
      </c>
    </row>
    <row r="110" spans="1:13" ht="15.5" x14ac:dyDescent="0.35">
      <c r="A110" s="16" t="s">
        <v>377</v>
      </c>
      <c r="B110" s="16">
        <v>118</v>
      </c>
      <c r="C110" s="16">
        <v>130</v>
      </c>
      <c r="D110" s="16">
        <v>163</v>
      </c>
      <c r="E110" s="16">
        <v>66.599999999999994</v>
      </c>
      <c r="F110" s="16">
        <v>7.5</v>
      </c>
      <c r="G110" s="16">
        <v>5.6</v>
      </c>
      <c r="H110" s="16">
        <v>8</v>
      </c>
      <c r="I110" s="16">
        <v>3</v>
      </c>
      <c r="J110" s="16">
        <v>41.8</v>
      </c>
      <c r="K110" s="18">
        <v>6.2299999999999995</v>
      </c>
      <c r="L110" s="16">
        <v>43.2</v>
      </c>
      <c r="M110" s="18">
        <v>1.3601156069364164</v>
      </c>
    </row>
    <row r="111" spans="1:13" ht="15.5" x14ac:dyDescent="0.35">
      <c r="A111" s="16" t="s">
        <v>378</v>
      </c>
      <c r="B111" s="16">
        <v>124</v>
      </c>
      <c r="C111" s="16">
        <v>124</v>
      </c>
      <c r="D111" s="16">
        <v>163</v>
      </c>
      <c r="E111" s="16">
        <v>84.2</v>
      </c>
      <c r="F111" s="16">
        <v>9.76</v>
      </c>
      <c r="G111" s="16">
        <v>7</v>
      </c>
      <c r="H111" s="16">
        <v>7</v>
      </c>
      <c r="I111" s="16">
        <v>3</v>
      </c>
      <c r="J111" s="16">
        <v>36.4</v>
      </c>
      <c r="K111" s="18">
        <v>5.3820000000000006</v>
      </c>
      <c r="L111" s="16">
        <v>24.5</v>
      </c>
      <c r="M111" s="18">
        <v>0.75895953757225443</v>
      </c>
    </row>
    <row r="112" spans="1:13" ht="15.5" x14ac:dyDescent="0.35">
      <c r="A112" s="16" t="s">
        <v>379</v>
      </c>
      <c r="B112" s="16">
        <v>118</v>
      </c>
      <c r="C112" s="16">
        <v>111</v>
      </c>
      <c r="D112" s="16">
        <v>150</v>
      </c>
      <c r="E112" s="16">
        <v>103.75999999999999</v>
      </c>
      <c r="F112" s="16">
        <v>10.199999999999999</v>
      </c>
      <c r="G112" s="16">
        <v>9</v>
      </c>
      <c r="H112" s="16">
        <v>9</v>
      </c>
      <c r="I112" s="16">
        <v>2.6</v>
      </c>
      <c r="J112" s="16">
        <v>38.4</v>
      </c>
      <c r="K112" s="18">
        <v>6.2119999999999997</v>
      </c>
      <c r="L112" s="16">
        <v>39.799999999999997</v>
      </c>
      <c r="M112" s="18">
        <v>1.448529222864483</v>
      </c>
    </row>
    <row r="113" spans="1:13" ht="15.5" x14ac:dyDescent="0.35">
      <c r="A113" s="16" t="s">
        <v>380</v>
      </c>
      <c r="B113" s="16">
        <v>109</v>
      </c>
      <c r="C113" s="16">
        <v>130</v>
      </c>
      <c r="D113" s="16">
        <v>163</v>
      </c>
      <c r="E113" s="16">
        <v>101.34</v>
      </c>
      <c r="F113" s="16">
        <v>10.6</v>
      </c>
      <c r="G113" s="16">
        <v>7</v>
      </c>
      <c r="H113" s="16">
        <v>11.6</v>
      </c>
      <c r="I113" s="16">
        <v>3.2</v>
      </c>
      <c r="J113" s="46">
        <v>65.8</v>
      </c>
      <c r="K113" s="18">
        <v>6.2040000000000006</v>
      </c>
      <c r="L113" s="16">
        <v>37.01</v>
      </c>
      <c r="M113" s="18">
        <v>1.0369942196531792</v>
      </c>
    </row>
    <row r="114" spans="1:13" ht="15.5" x14ac:dyDescent="0.35">
      <c r="A114" s="16" t="s">
        <v>381</v>
      </c>
      <c r="B114" s="16">
        <v>122</v>
      </c>
      <c r="C114" s="16">
        <v>113</v>
      </c>
      <c r="D114" s="16">
        <v>149</v>
      </c>
      <c r="E114" s="16">
        <v>72.599999999999994</v>
      </c>
      <c r="F114" s="16">
        <v>8.8000000000000007</v>
      </c>
      <c r="G114" s="16">
        <v>3.8</v>
      </c>
      <c r="H114" s="16">
        <v>9.6</v>
      </c>
      <c r="I114" s="16">
        <v>3.2</v>
      </c>
      <c r="J114" s="16">
        <v>43.4</v>
      </c>
      <c r="K114" s="18">
        <v>6.1659999999999995</v>
      </c>
      <c r="L114" s="16">
        <v>41.1</v>
      </c>
      <c r="M114" s="18">
        <v>1.3772511239563263</v>
      </c>
    </row>
    <row r="115" spans="1:13" ht="15.5" x14ac:dyDescent="0.35">
      <c r="A115" s="16" t="s">
        <v>382</v>
      </c>
      <c r="B115" s="16">
        <v>106</v>
      </c>
      <c r="C115" s="16">
        <v>113</v>
      </c>
      <c r="D115" s="16">
        <v>163</v>
      </c>
      <c r="E115" s="16">
        <v>75.400000000000006</v>
      </c>
      <c r="F115" s="16">
        <v>10</v>
      </c>
      <c r="G115" s="16">
        <v>5.8</v>
      </c>
      <c r="H115" s="16">
        <v>11</v>
      </c>
      <c r="I115" s="16">
        <v>2.8</v>
      </c>
      <c r="J115" s="16">
        <v>43.6</v>
      </c>
      <c r="K115" s="18">
        <v>6.45</v>
      </c>
      <c r="L115" s="16">
        <v>45.9</v>
      </c>
      <c r="M115" s="18">
        <v>1.3541040462427747</v>
      </c>
    </row>
    <row r="116" spans="1:13" ht="15.5" x14ac:dyDescent="0.35">
      <c r="A116" s="16" t="s">
        <v>284</v>
      </c>
      <c r="B116" s="16">
        <v>109</v>
      </c>
      <c r="C116" s="16">
        <v>113</v>
      </c>
      <c r="D116" s="16">
        <v>163</v>
      </c>
      <c r="E116" s="16">
        <v>80.400000000000006</v>
      </c>
      <c r="F116" s="16">
        <v>11.3</v>
      </c>
      <c r="G116" s="16">
        <v>5.2</v>
      </c>
      <c r="H116" s="16">
        <v>10.199999999999999</v>
      </c>
      <c r="I116" s="16">
        <v>2.8</v>
      </c>
      <c r="J116" s="16">
        <v>38.200000000000003</v>
      </c>
      <c r="K116" s="18">
        <v>6.3059999999999992</v>
      </c>
      <c r="L116" s="16">
        <v>43.8</v>
      </c>
      <c r="M116" s="18">
        <v>1.3672447013487474</v>
      </c>
    </row>
    <row r="117" spans="1:13" ht="15.5" x14ac:dyDescent="0.35">
      <c r="A117" s="16" t="s">
        <v>283</v>
      </c>
      <c r="B117" s="1">
        <v>109</v>
      </c>
      <c r="C117" s="16">
        <v>113</v>
      </c>
      <c r="D117" s="16">
        <v>163</v>
      </c>
      <c r="E117" s="16">
        <v>87.2</v>
      </c>
      <c r="F117" s="16">
        <v>11.4</v>
      </c>
      <c r="G117" s="16">
        <v>5.8</v>
      </c>
      <c r="H117" s="16">
        <v>10.199999999999999</v>
      </c>
      <c r="I117" s="16">
        <v>2.8</v>
      </c>
      <c r="J117" s="16">
        <v>50.8</v>
      </c>
      <c r="K117" s="18">
        <v>6.3859999999999992</v>
      </c>
      <c r="L117" s="16">
        <v>46.6</v>
      </c>
      <c r="M117" s="18">
        <v>1.2191265253693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B5E5-52DC-43BE-AE68-99C3E6949121}">
  <dimension ref="B1:H7"/>
  <sheetViews>
    <sheetView workbookViewId="0">
      <selection activeCell="B1" sqref="B1:H7"/>
    </sheetView>
  </sheetViews>
  <sheetFormatPr defaultRowHeight="14.5" x14ac:dyDescent="0.35"/>
  <cols>
    <col min="3" max="8" width="9.36328125" bestFit="1" customWidth="1"/>
  </cols>
  <sheetData>
    <row r="1" spans="2:8" ht="15.5" x14ac:dyDescent="0.35">
      <c r="B1" s="17"/>
      <c r="C1" s="17" t="s">
        <v>441</v>
      </c>
      <c r="D1" s="17" t="s">
        <v>442</v>
      </c>
      <c r="E1" s="17" t="s">
        <v>443</v>
      </c>
      <c r="F1" s="17" t="s">
        <v>451</v>
      </c>
      <c r="G1" s="17" t="s">
        <v>452</v>
      </c>
      <c r="H1" s="17" t="s">
        <v>453</v>
      </c>
    </row>
    <row r="2" spans="2:8" ht="15.5" x14ac:dyDescent="0.35">
      <c r="B2" s="17" t="s">
        <v>441</v>
      </c>
      <c r="C2" s="53">
        <v>0</v>
      </c>
      <c r="D2" s="53">
        <v>36.77169</v>
      </c>
      <c r="E2" s="53">
        <v>38.516260000000003</v>
      </c>
      <c r="F2" s="53">
        <v>44.28866</v>
      </c>
      <c r="G2" s="53">
        <v>32.300060000000002</v>
      </c>
      <c r="H2" s="53">
        <v>59.991160000000001</v>
      </c>
    </row>
    <row r="3" spans="2:8" ht="15.5" x14ac:dyDescent="0.35">
      <c r="B3" s="17" t="s">
        <v>442</v>
      </c>
      <c r="C3" s="53">
        <v>36.77169</v>
      </c>
      <c r="D3" s="53">
        <v>0</v>
      </c>
      <c r="E3" s="53">
        <v>39.051110000000001</v>
      </c>
      <c r="F3" s="53">
        <v>64.568430000000006</v>
      </c>
      <c r="G3" s="53">
        <v>39.12491</v>
      </c>
      <c r="H3" s="53">
        <v>90.888440000000003</v>
      </c>
    </row>
    <row r="4" spans="2:8" ht="15.5" x14ac:dyDescent="0.35">
      <c r="B4" s="17" t="s">
        <v>443</v>
      </c>
      <c r="C4" s="53">
        <v>38.516260000000003</v>
      </c>
      <c r="D4" s="53">
        <v>39.051110000000001</v>
      </c>
      <c r="E4" s="53">
        <v>0</v>
      </c>
      <c r="F4" s="53">
        <v>43.294620000000002</v>
      </c>
      <c r="G4" s="53">
        <v>33.254600000000003</v>
      </c>
      <c r="H4" s="53">
        <v>76.171210000000002</v>
      </c>
    </row>
    <row r="5" spans="2:8" ht="15.5" x14ac:dyDescent="0.35">
      <c r="B5" s="17" t="s">
        <v>451</v>
      </c>
      <c r="C5" s="53">
        <v>44.28866</v>
      </c>
      <c r="D5" s="53">
        <v>64.568430000000006</v>
      </c>
      <c r="E5" s="53">
        <v>43.294620000000002</v>
      </c>
      <c r="F5" s="53">
        <v>0</v>
      </c>
      <c r="G5" s="53">
        <v>29.726140000000001</v>
      </c>
      <c r="H5" s="53">
        <v>39.339849999999998</v>
      </c>
    </row>
    <row r="6" spans="2:8" ht="15.5" x14ac:dyDescent="0.35">
      <c r="B6" s="17" t="s">
        <v>452</v>
      </c>
      <c r="C6" s="53">
        <v>32.300060000000002</v>
      </c>
      <c r="D6" s="53">
        <v>39.12491</v>
      </c>
      <c r="E6" s="53">
        <v>33.254600000000003</v>
      </c>
      <c r="F6" s="53">
        <v>29.726140000000001</v>
      </c>
      <c r="G6" s="53">
        <v>0</v>
      </c>
      <c r="H6" s="53">
        <v>59.467289999999998</v>
      </c>
    </row>
    <row r="7" spans="2:8" ht="15.5" x14ac:dyDescent="0.35">
      <c r="B7" s="54" t="s">
        <v>453</v>
      </c>
      <c r="C7" s="55">
        <v>59.991160000000001</v>
      </c>
      <c r="D7" s="55">
        <v>90.888440000000003</v>
      </c>
      <c r="E7" s="55">
        <v>76.171210000000002</v>
      </c>
      <c r="F7" s="55">
        <v>39.339849999999998</v>
      </c>
      <c r="G7" s="55">
        <v>59.467289999999998</v>
      </c>
      <c r="H7" s="55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2D74-95AF-4914-9D2B-EA680D59A6CF}">
  <dimension ref="A1:O117"/>
  <sheetViews>
    <sheetView zoomScale="94" workbookViewId="0">
      <selection activeCell="M13" sqref="M13"/>
    </sheetView>
  </sheetViews>
  <sheetFormatPr defaultRowHeight="14.5" x14ac:dyDescent="0.35"/>
  <cols>
    <col min="1" max="1" width="15.453125" customWidth="1"/>
    <col min="4" max="4" width="7.54296875" style="1" customWidth="1"/>
    <col min="5" max="5" width="6.1796875" customWidth="1"/>
    <col min="6" max="6" width="27.6328125" customWidth="1"/>
    <col min="7" max="8" width="11.7265625" customWidth="1"/>
    <col min="13" max="13" width="13.08984375" customWidth="1"/>
    <col min="15" max="15" width="11.36328125" bestFit="1" customWidth="1"/>
  </cols>
  <sheetData>
    <row r="1" spans="1:15" ht="16" thickBot="1" x14ac:dyDescent="0.4">
      <c r="A1" s="19" t="s">
        <v>270</v>
      </c>
      <c r="B1" s="20" t="s">
        <v>409</v>
      </c>
      <c r="C1" s="20" t="s">
        <v>410</v>
      </c>
      <c r="D1" s="16"/>
      <c r="F1" s="46" t="s">
        <v>439</v>
      </c>
      <c r="G1" s="37" t="s">
        <v>411</v>
      </c>
      <c r="H1" s="37" t="s">
        <v>412</v>
      </c>
      <c r="I1" s="37" t="s">
        <v>400</v>
      </c>
      <c r="J1" s="37" t="s">
        <v>413</v>
      </c>
      <c r="K1" s="37" t="s">
        <v>402</v>
      </c>
      <c r="L1" s="37" t="s">
        <v>403</v>
      </c>
      <c r="M1" s="38" t="s">
        <v>414</v>
      </c>
    </row>
    <row r="2" spans="1:15" ht="16" thickBot="1" x14ac:dyDescent="0.4">
      <c r="A2" s="21" t="s">
        <v>254</v>
      </c>
      <c r="B2" s="22">
        <v>1.42</v>
      </c>
      <c r="C2" s="22">
        <v>0.47</v>
      </c>
      <c r="D2" s="16"/>
      <c r="F2" s="33" t="s">
        <v>415</v>
      </c>
      <c r="G2" s="37">
        <v>0</v>
      </c>
      <c r="H2" s="39">
        <f>B2-2*C2</f>
        <v>0.48</v>
      </c>
      <c r="I2" s="37">
        <v>2</v>
      </c>
      <c r="J2" s="1">
        <f t="shared" ref="J2:J8" si="0">I2/I$11</f>
        <v>1.7857142857142856E-2</v>
      </c>
      <c r="K2" s="1">
        <f>LOG(J2,2)</f>
        <v>-5.8073549220576046</v>
      </c>
      <c r="L2" s="1">
        <f>K2*-1</f>
        <v>5.8073549220576046</v>
      </c>
      <c r="M2" s="1">
        <f>J2*L2</f>
        <v>0.10370276646531436</v>
      </c>
    </row>
    <row r="3" spans="1:15" ht="15.5" x14ac:dyDescent="0.35">
      <c r="D3" s="16"/>
      <c r="F3" s="33" t="s">
        <v>416</v>
      </c>
      <c r="G3" s="39"/>
      <c r="H3" s="39">
        <f>B2-1.5*C2</f>
        <v>0.71499999999999997</v>
      </c>
      <c r="I3" s="1">
        <v>5</v>
      </c>
      <c r="J3" s="1">
        <f t="shared" si="0"/>
        <v>4.4642857142857144E-2</v>
      </c>
      <c r="K3" s="1">
        <f t="shared" ref="K3:K10" si="1">LOG(J3,2)</f>
        <v>-4.485426827170242</v>
      </c>
      <c r="L3" s="1">
        <f t="shared" ref="L3:L9" si="2">K3*-1</f>
        <v>4.485426827170242</v>
      </c>
      <c r="M3" s="1">
        <f>J3*L3</f>
        <v>0.20024226907010009</v>
      </c>
    </row>
    <row r="4" spans="1:15" ht="15.5" x14ac:dyDescent="0.35">
      <c r="D4" s="16"/>
      <c r="F4" s="33" t="s">
        <v>417</v>
      </c>
      <c r="G4" s="39"/>
      <c r="H4" s="39">
        <f>B2-C2</f>
        <v>0.95</v>
      </c>
      <c r="I4" s="1">
        <v>10</v>
      </c>
      <c r="J4" s="1">
        <f t="shared" si="0"/>
        <v>8.9285714285714288E-2</v>
      </c>
      <c r="K4" s="1">
        <f t="shared" si="1"/>
        <v>-3.4854268271702415</v>
      </c>
      <c r="L4" s="1">
        <f t="shared" si="2"/>
        <v>3.4854268271702415</v>
      </c>
      <c r="M4" s="1">
        <f t="shared" ref="M4:M10" si="3">J4*L4</f>
        <v>0.31119882385448588</v>
      </c>
    </row>
    <row r="5" spans="1:15" ht="15.5" x14ac:dyDescent="0.35">
      <c r="D5" s="16"/>
      <c r="F5" s="33" t="s">
        <v>418</v>
      </c>
      <c r="G5" s="39"/>
      <c r="H5" s="39">
        <f>B2-0.5*C2</f>
        <v>1.1850000000000001</v>
      </c>
      <c r="I5" s="1">
        <v>16</v>
      </c>
      <c r="J5" s="1">
        <f t="shared" si="0"/>
        <v>0.14285714285714285</v>
      </c>
      <c r="K5" s="1">
        <f t="shared" si="1"/>
        <v>-2.8073549220576046</v>
      </c>
      <c r="L5" s="1">
        <f t="shared" si="2"/>
        <v>2.8073549220576046</v>
      </c>
      <c r="M5" s="1">
        <f t="shared" si="3"/>
        <v>0.40105070315108637</v>
      </c>
    </row>
    <row r="6" spans="1:15" ht="16" thickBot="1" x14ac:dyDescent="0.4">
      <c r="D6" s="16"/>
      <c r="F6" s="33" t="s">
        <v>419</v>
      </c>
      <c r="G6" s="43"/>
      <c r="H6" s="22">
        <f>B2</f>
        <v>1.42</v>
      </c>
      <c r="I6" s="1">
        <v>16</v>
      </c>
      <c r="J6" s="1">
        <f t="shared" si="0"/>
        <v>0.14285714285714285</v>
      </c>
      <c r="K6" s="1">
        <f t="shared" si="1"/>
        <v>-2.8073549220576046</v>
      </c>
      <c r="L6" s="1">
        <f t="shared" si="2"/>
        <v>2.8073549220576046</v>
      </c>
      <c r="M6" s="1">
        <f t="shared" si="3"/>
        <v>0.40105070315108637</v>
      </c>
    </row>
    <row r="7" spans="1:15" ht="16" thickBot="1" x14ac:dyDescent="0.4">
      <c r="D7" s="16"/>
      <c r="F7" s="33" t="s">
        <v>420</v>
      </c>
      <c r="G7" s="22"/>
      <c r="H7" s="39">
        <f>B2+0.5*C2</f>
        <v>1.6549999999999998</v>
      </c>
      <c r="I7" s="1">
        <v>33</v>
      </c>
      <c r="J7" s="1">
        <f t="shared" si="0"/>
        <v>0.29464285714285715</v>
      </c>
      <c r="K7" s="1">
        <f t="shared" si="1"/>
        <v>-1.7629608026991508</v>
      </c>
      <c r="L7" s="1">
        <f t="shared" si="2"/>
        <v>1.7629608026991508</v>
      </c>
      <c r="M7" s="1">
        <f t="shared" si="3"/>
        <v>0.51944380793814271</v>
      </c>
    </row>
    <row r="8" spans="1:15" ht="15.5" x14ac:dyDescent="0.35">
      <c r="D8" s="16"/>
      <c r="F8" s="33" t="s">
        <v>421</v>
      </c>
      <c r="G8" s="39"/>
      <c r="H8" s="39">
        <f>B2+C2</f>
        <v>1.89</v>
      </c>
      <c r="I8" s="1">
        <v>25</v>
      </c>
      <c r="J8" s="1">
        <f t="shared" si="0"/>
        <v>0.22321428571428573</v>
      </c>
      <c r="K8" s="1">
        <f t="shared" si="1"/>
        <v>-2.1634987322828794</v>
      </c>
      <c r="L8" s="1">
        <f t="shared" si="2"/>
        <v>2.1634987322828794</v>
      </c>
      <c r="M8" s="1">
        <f t="shared" si="3"/>
        <v>0.48292382417028562</v>
      </c>
    </row>
    <row r="9" spans="1:15" ht="15.5" x14ac:dyDescent="0.35">
      <c r="D9" s="16"/>
      <c r="F9" s="33" t="s">
        <v>422</v>
      </c>
      <c r="G9" s="39"/>
      <c r="H9" s="39">
        <f>B2+1.5*C2</f>
        <v>2.125</v>
      </c>
      <c r="I9" s="1">
        <v>3</v>
      </c>
      <c r="J9" s="1">
        <f t="shared" ref="J9:J10" si="4">I9/I$11</f>
        <v>2.6785714285714284E-2</v>
      </c>
      <c r="K9" s="1">
        <f t="shared" si="1"/>
        <v>-5.2223924213364485</v>
      </c>
      <c r="L9" s="1">
        <f t="shared" si="2"/>
        <v>5.2223924213364485</v>
      </c>
      <c r="M9" s="1">
        <f t="shared" si="3"/>
        <v>0.13988551128579771</v>
      </c>
    </row>
    <row r="10" spans="1:15" ht="15.5" x14ac:dyDescent="0.35">
      <c r="D10" s="16"/>
      <c r="F10" s="33" t="s">
        <v>423</v>
      </c>
      <c r="G10" s="39"/>
      <c r="H10" s="39">
        <f>B2+2*C2</f>
        <v>2.36</v>
      </c>
      <c r="I10" s="1">
        <v>2</v>
      </c>
      <c r="J10" s="1">
        <f t="shared" si="4"/>
        <v>1.7857142857142856E-2</v>
      </c>
      <c r="K10" s="1">
        <f t="shared" si="1"/>
        <v>-5.8073549220576046</v>
      </c>
      <c r="L10" s="1">
        <f>K10*-1</f>
        <v>5.8073549220576046</v>
      </c>
      <c r="M10" s="1">
        <f t="shared" si="3"/>
        <v>0.10370276646531436</v>
      </c>
    </row>
    <row r="11" spans="1:15" ht="15.5" x14ac:dyDescent="0.35">
      <c r="D11" s="16"/>
      <c r="F11" s="1"/>
      <c r="G11" s="39"/>
      <c r="H11" s="1"/>
      <c r="I11" s="1">
        <f>SUM(I2:I10)</f>
        <v>112</v>
      </c>
      <c r="J11" s="1"/>
      <c r="K11" s="1"/>
      <c r="L11" s="1"/>
      <c r="M11" s="1">
        <f>SUM(M2:M10)</f>
        <v>2.6632011755516136</v>
      </c>
    </row>
    <row r="12" spans="1:15" ht="15.5" x14ac:dyDescent="0.35">
      <c r="D12" s="16"/>
      <c r="F12" s="33" t="s">
        <v>405</v>
      </c>
      <c r="I12" s="40"/>
      <c r="J12" s="1"/>
      <c r="K12" s="1"/>
      <c r="L12" s="1"/>
    </row>
    <row r="13" spans="1:15" ht="15.5" x14ac:dyDescent="0.35">
      <c r="D13" s="16"/>
      <c r="F13" s="33" t="s">
        <v>406</v>
      </c>
      <c r="I13" s="1"/>
      <c r="J13" s="1"/>
      <c r="K13" s="1"/>
      <c r="L13" s="1"/>
      <c r="M13" s="1">
        <f>LOG(9,2)</f>
        <v>3.1699250014423126</v>
      </c>
      <c r="O13" s="42"/>
    </row>
    <row r="14" spans="1:15" ht="15.5" x14ac:dyDescent="0.35">
      <c r="D14" s="16"/>
      <c r="F14" s="33" t="s">
        <v>407</v>
      </c>
      <c r="I14" s="1"/>
      <c r="J14" s="1"/>
      <c r="K14" s="1"/>
      <c r="L14" s="1"/>
      <c r="M14" s="41">
        <f>M11/M13</f>
        <v>0.84014643070099759</v>
      </c>
    </row>
    <row r="15" spans="1:15" ht="15.5" x14ac:dyDescent="0.35">
      <c r="D15" s="16"/>
    </row>
    <row r="16" spans="1:15" ht="15.5" x14ac:dyDescent="0.35">
      <c r="D16" s="16"/>
      <c r="F16" s="45"/>
    </row>
    <row r="17" spans="4:7" ht="15.5" x14ac:dyDescent="0.35">
      <c r="D17" s="16"/>
      <c r="F17" s="45"/>
    </row>
    <row r="18" spans="4:7" ht="15.5" x14ac:dyDescent="0.35">
      <c r="D18" s="16"/>
      <c r="F18" s="45"/>
    </row>
    <row r="19" spans="4:7" ht="15.5" x14ac:dyDescent="0.35">
      <c r="D19" s="16"/>
      <c r="F19" s="45"/>
    </row>
    <row r="20" spans="4:7" ht="16" thickBot="1" x14ac:dyDescent="0.4">
      <c r="D20" s="16"/>
      <c r="F20" s="44"/>
      <c r="G20" s="42"/>
    </row>
    <row r="21" spans="4:7" ht="16" thickBot="1" x14ac:dyDescent="0.4">
      <c r="D21" s="16"/>
      <c r="F21" s="44"/>
    </row>
    <row r="22" spans="4:7" ht="16" thickBot="1" x14ac:dyDescent="0.4">
      <c r="D22" s="16"/>
      <c r="F22" s="44"/>
    </row>
    <row r="23" spans="4:7" ht="16" thickBot="1" x14ac:dyDescent="0.4">
      <c r="D23" s="16"/>
      <c r="F23" s="44"/>
    </row>
    <row r="24" spans="4:7" ht="16" thickBot="1" x14ac:dyDescent="0.4">
      <c r="D24" s="16"/>
      <c r="F24" s="44"/>
    </row>
    <row r="25" spans="4:7" ht="16" thickBot="1" x14ac:dyDescent="0.4">
      <c r="D25" s="16"/>
      <c r="F25" s="44"/>
    </row>
    <row r="26" spans="4:7" ht="16" thickBot="1" x14ac:dyDescent="0.4">
      <c r="D26" s="16"/>
      <c r="F26" s="44"/>
    </row>
    <row r="27" spans="4:7" ht="16" thickBot="1" x14ac:dyDescent="0.4">
      <c r="D27" s="16"/>
      <c r="F27" s="44"/>
    </row>
    <row r="28" spans="4:7" ht="16" thickBot="1" x14ac:dyDescent="0.4">
      <c r="D28" s="16"/>
      <c r="F28" s="44"/>
    </row>
    <row r="29" spans="4:7" ht="16" thickBot="1" x14ac:dyDescent="0.4">
      <c r="D29" s="16"/>
      <c r="F29" s="44"/>
    </row>
    <row r="30" spans="4:7" ht="16" thickBot="1" x14ac:dyDescent="0.4">
      <c r="D30" s="16"/>
      <c r="F30" s="44"/>
    </row>
    <row r="31" spans="4:7" ht="16" thickBot="1" x14ac:dyDescent="0.4">
      <c r="D31" s="16"/>
      <c r="F31" s="44"/>
    </row>
    <row r="32" spans="4:7" ht="16" thickBot="1" x14ac:dyDescent="0.4">
      <c r="D32" s="16"/>
      <c r="F32" s="44"/>
    </row>
    <row r="33" spans="4:6" ht="16" thickBot="1" x14ac:dyDescent="0.4">
      <c r="D33" s="16"/>
      <c r="F33" s="44"/>
    </row>
    <row r="34" spans="4:6" ht="15.5" x14ac:dyDescent="0.35">
      <c r="D34" s="16"/>
    </row>
    <row r="35" spans="4:6" ht="15.5" x14ac:dyDescent="0.35">
      <c r="D35" s="16"/>
    </row>
    <row r="36" spans="4:6" ht="15.5" x14ac:dyDescent="0.35">
      <c r="D36" s="16"/>
    </row>
    <row r="37" spans="4:6" ht="15.5" x14ac:dyDescent="0.35">
      <c r="D37" s="16"/>
    </row>
    <row r="38" spans="4:6" ht="15.5" x14ac:dyDescent="0.35">
      <c r="D38" s="16"/>
    </row>
    <row r="39" spans="4:6" ht="15.5" x14ac:dyDescent="0.35">
      <c r="D39" s="16"/>
    </row>
    <row r="40" spans="4:6" ht="15.5" x14ac:dyDescent="0.35">
      <c r="D40" s="16"/>
    </row>
    <row r="41" spans="4:6" ht="15.5" x14ac:dyDescent="0.35">
      <c r="D41" s="16"/>
    </row>
    <row r="42" spans="4:6" ht="15.5" x14ac:dyDescent="0.35">
      <c r="D42" s="16"/>
    </row>
    <row r="43" spans="4:6" ht="15.5" x14ac:dyDescent="0.35">
      <c r="D43" s="16"/>
    </row>
    <row r="44" spans="4:6" ht="15.5" x14ac:dyDescent="0.35">
      <c r="D44" s="16"/>
    </row>
    <row r="45" spans="4:6" ht="15.5" x14ac:dyDescent="0.35">
      <c r="D45" s="16"/>
    </row>
    <row r="46" spans="4:6" ht="15.5" x14ac:dyDescent="0.35">
      <c r="D46" s="16"/>
    </row>
    <row r="47" spans="4:6" ht="15.5" x14ac:dyDescent="0.35">
      <c r="D47" s="16"/>
    </row>
    <row r="48" spans="4:6" ht="15.5" x14ac:dyDescent="0.35">
      <c r="D48" s="16"/>
    </row>
    <row r="49" spans="4:4" ht="15.5" x14ac:dyDescent="0.35">
      <c r="D49" s="16"/>
    </row>
    <row r="50" spans="4:4" ht="15.5" x14ac:dyDescent="0.35">
      <c r="D50" s="16"/>
    </row>
    <row r="51" spans="4:4" ht="15.5" x14ac:dyDescent="0.35">
      <c r="D51" s="16"/>
    </row>
    <row r="52" spans="4:4" ht="15.5" x14ac:dyDescent="0.35">
      <c r="D52" s="16"/>
    </row>
    <row r="53" spans="4:4" ht="15.5" x14ac:dyDescent="0.35">
      <c r="D53" s="16"/>
    </row>
    <row r="54" spans="4:4" ht="15.5" x14ac:dyDescent="0.35">
      <c r="D54" s="16"/>
    </row>
    <row r="55" spans="4:4" ht="15.5" x14ac:dyDescent="0.35">
      <c r="D55" s="16"/>
    </row>
    <row r="56" spans="4:4" ht="15.5" x14ac:dyDescent="0.35">
      <c r="D56" s="16"/>
    </row>
    <row r="57" spans="4:4" ht="15.5" x14ac:dyDescent="0.35">
      <c r="D57" s="16"/>
    </row>
    <row r="58" spans="4:4" ht="15.5" x14ac:dyDescent="0.35">
      <c r="D58" s="16"/>
    </row>
    <row r="59" spans="4:4" ht="15.5" x14ac:dyDescent="0.35">
      <c r="D59" s="16"/>
    </row>
    <row r="60" spans="4:4" ht="15.5" x14ac:dyDescent="0.35">
      <c r="D60" s="16"/>
    </row>
    <row r="61" spans="4:4" ht="15.5" x14ac:dyDescent="0.35">
      <c r="D61" s="16"/>
    </row>
    <row r="62" spans="4:4" ht="15.5" x14ac:dyDescent="0.35">
      <c r="D62" s="16"/>
    </row>
    <row r="63" spans="4:4" ht="15.5" x14ac:dyDescent="0.35">
      <c r="D63" s="16"/>
    </row>
    <row r="64" spans="4:4" ht="15.5" x14ac:dyDescent="0.35">
      <c r="D64" s="16"/>
    </row>
    <row r="65" spans="4:4" ht="15.5" x14ac:dyDescent="0.35">
      <c r="D65" s="16"/>
    </row>
    <row r="66" spans="4:4" ht="15.5" x14ac:dyDescent="0.35">
      <c r="D66" s="16"/>
    </row>
    <row r="67" spans="4:4" ht="15.5" x14ac:dyDescent="0.35">
      <c r="D67" s="16"/>
    </row>
    <row r="68" spans="4:4" ht="15.5" x14ac:dyDescent="0.35">
      <c r="D68" s="16"/>
    </row>
    <row r="69" spans="4:4" ht="15.5" x14ac:dyDescent="0.35">
      <c r="D69" s="16"/>
    </row>
    <row r="70" spans="4:4" ht="15.5" x14ac:dyDescent="0.35">
      <c r="D70" s="16"/>
    </row>
    <row r="71" spans="4:4" ht="15.5" x14ac:dyDescent="0.35">
      <c r="D71" s="16"/>
    </row>
    <row r="72" spans="4:4" ht="15.5" x14ac:dyDescent="0.35">
      <c r="D72" s="16"/>
    </row>
    <row r="73" spans="4:4" ht="15.5" x14ac:dyDescent="0.35">
      <c r="D73" s="16"/>
    </row>
    <row r="74" spans="4:4" ht="15.5" x14ac:dyDescent="0.35">
      <c r="D74" s="16"/>
    </row>
    <row r="75" spans="4:4" ht="15.5" x14ac:dyDescent="0.35">
      <c r="D75" s="16"/>
    </row>
    <row r="76" spans="4:4" ht="15.5" x14ac:dyDescent="0.35">
      <c r="D76" s="16"/>
    </row>
    <row r="77" spans="4:4" ht="15.5" x14ac:dyDescent="0.35">
      <c r="D77" s="16"/>
    </row>
    <row r="78" spans="4:4" ht="15.5" x14ac:dyDescent="0.35">
      <c r="D78" s="16"/>
    </row>
    <row r="79" spans="4:4" ht="15.5" x14ac:dyDescent="0.35">
      <c r="D79" s="16"/>
    </row>
    <row r="80" spans="4:4" ht="15.5" x14ac:dyDescent="0.35">
      <c r="D80" s="16"/>
    </row>
    <row r="81" spans="4:4" ht="15.5" x14ac:dyDescent="0.35">
      <c r="D81" s="16"/>
    </row>
    <row r="82" spans="4:4" ht="15.5" x14ac:dyDescent="0.35">
      <c r="D82" s="16"/>
    </row>
    <row r="83" spans="4:4" ht="15.5" x14ac:dyDescent="0.35">
      <c r="D83" s="16"/>
    </row>
    <row r="84" spans="4:4" ht="15.5" x14ac:dyDescent="0.35">
      <c r="D84" s="16"/>
    </row>
    <row r="85" spans="4:4" ht="15.5" x14ac:dyDescent="0.35">
      <c r="D85" s="16"/>
    </row>
    <row r="86" spans="4:4" ht="15.5" x14ac:dyDescent="0.35">
      <c r="D86" s="16"/>
    </row>
    <row r="87" spans="4:4" ht="15.5" x14ac:dyDescent="0.35">
      <c r="D87" s="16"/>
    </row>
    <row r="88" spans="4:4" ht="15.5" x14ac:dyDescent="0.35">
      <c r="D88" s="16"/>
    </row>
    <row r="89" spans="4:4" ht="15.5" x14ac:dyDescent="0.35">
      <c r="D89" s="16"/>
    </row>
    <row r="90" spans="4:4" ht="15.5" x14ac:dyDescent="0.35">
      <c r="D90" s="16"/>
    </row>
    <row r="91" spans="4:4" ht="15.5" x14ac:dyDescent="0.35">
      <c r="D91" s="16"/>
    </row>
    <row r="92" spans="4:4" ht="15.5" x14ac:dyDescent="0.35">
      <c r="D92" s="16"/>
    </row>
    <row r="93" spans="4:4" ht="15.5" x14ac:dyDescent="0.35">
      <c r="D93" s="16"/>
    </row>
    <row r="94" spans="4:4" ht="15.5" x14ac:dyDescent="0.35">
      <c r="D94" s="16"/>
    </row>
    <row r="95" spans="4:4" ht="15.5" x14ac:dyDescent="0.35">
      <c r="D95" s="16"/>
    </row>
    <row r="96" spans="4:4" ht="15.5" x14ac:dyDescent="0.35">
      <c r="D96" s="16"/>
    </row>
    <row r="97" spans="4:4" ht="15.5" x14ac:dyDescent="0.35">
      <c r="D97" s="16"/>
    </row>
    <row r="98" spans="4:4" ht="15.5" x14ac:dyDescent="0.35">
      <c r="D98" s="16"/>
    </row>
    <row r="99" spans="4:4" ht="15.5" x14ac:dyDescent="0.35">
      <c r="D99" s="16"/>
    </row>
    <row r="100" spans="4:4" ht="15.5" x14ac:dyDescent="0.35">
      <c r="D100" s="16"/>
    </row>
    <row r="101" spans="4:4" ht="15.5" x14ac:dyDescent="0.35">
      <c r="D101" s="16"/>
    </row>
    <row r="102" spans="4:4" ht="15.5" x14ac:dyDescent="0.35">
      <c r="D102" s="16"/>
    </row>
    <row r="103" spans="4:4" ht="15.5" x14ac:dyDescent="0.35">
      <c r="D103" s="16"/>
    </row>
    <row r="104" spans="4:4" ht="15.5" x14ac:dyDescent="0.35">
      <c r="D104" s="16"/>
    </row>
    <row r="105" spans="4:4" ht="15.5" x14ac:dyDescent="0.35">
      <c r="D105" s="16"/>
    </row>
    <row r="106" spans="4:4" ht="15.5" x14ac:dyDescent="0.35">
      <c r="D106" s="16"/>
    </row>
    <row r="107" spans="4:4" ht="15.5" x14ac:dyDescent="0.35">
      <c r="D107" s="16"/>
    </row>
    <row r="108" spans="4:4" ht="15.5" x14ac:dyDescent="0.35">
      <c r="D108" s="16"/>
    </row>
    <row r="109" spans="4:4" ht="15.5" x14ac:dyDescent="0.35">
      <c r="D109" s="16"/>
    </row>
    <row r="110" spans="4:4" ht="15.5" x14ac:dyDescent="0.35">
      <c r="D110" s="16"/>
    </row>
    <row r="111" spans="4:4" ht="15.5" x14ac:dyDescent="0.35">
      <c r="D111" s="16"/>
    </row>
    <row r="112" spans="4:4" ht="15.5" x14ac:dyDescent="0.35">
      <c r="D112" s="16"/>
    </row>
    <row r="113" spans="4:4" ht="15.5" x14ac:dyDescent="0.35">
      <c r="D113" s="16"/>
    </row>
    <row r="114" spans="4:4" ht="15.5" x14ac:dyDescent="0.35">
      <c r="D114" s="16"/>
    </row>
    <row r="115" spans="4:4" ht="15.5" x14ac:dyDescent="0.35">
      <c r="D115" s="16"/>
    </row>
    <row r="116" spans="4:4" ht="15.5" x14ac:dyDescent="0.35">
      <c r="D116" s="16"/>
    </row>
    <row r="117" spans="4:4" ht="15.5" x14ac:dyDescent="0.35">
      <c r="D117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3340-D029-4FBB-AB82-ABB5E797EE70}">
  <dimension ref="A1:I15"/>
  <sheetViews>
    <sheetView workbookViewId="0">
      <selection activeCell="F2" sqref="F2:I15"/>
    </sheetView>
  </sheetViews>
  <sheetFormatPr defaultRowHeight="14.5" x14ac:dyDescent="0.35"/>
  <sheetData>
    <row r="1" spans="1:9" ht="15.5" x14ac:dyDescent="0.35">
      <c r="A1" s="16"/>
      <c r="B1" s="16" t="s">
        <v>441</v>
      </c>
      <c r="C1" s="16" t="s">
        <v>442</v>
      </c>
      <c r="D1" s="16" t="s">
        <v>443</v>
      </c>
      <c r="F1" s="1"/>
      <c r="G1" s="1"/>
      <c r="H1" s="1"/>
      <c r="I1" s="1"/>
    </row>
    <row r="2" spans="1:9" ht="15.5" x14ac:dyDescent="0.35">
      <c r="A2" s="16" t="s">
        <v>441</v>
      </c>
      <c r="B2" s="16">
        <v>0</v>
      </c>
      <c r="C2" s="16">
        <v>34.05791</v>
      </c>
      <c r="D2" s="16">
        <v>61.36421</v>
      </c>
      <c r="F2" s="16" t="s">
        <v>386</v>
      </c>
      <c r="G2" s="16">
        <v>1</v>
      </c>
      <c r="H2" s="16">
        <v>2</v>
      </c>
      <c r="I2" s="16">
        <v>3</v>
      </c>
    </row>
    <row r="3" spans="1:9" ht="15.5" x14ac:dyDescent="0.35">
      <c r="A3" s="16" t="s">
        <v>442</v>
      </c>
      <c r="B3" s="16">
        <v>34.05791</v>
      </c>
      <c r="C3" s="16">
        <v>0</v>
      </c>
      <c r="D3" s="16">
        <v>50.827939999999998</v>
      </c>
      <c r="F3" s="16" t="s">
        <v>387</v>
      </c>
      <c r="G3" s="16">
        <v>106</v>
      </c>
      <c r="H3" s="16">
        <v>8</v>
      </c>
      <c r="I3" s="16">
        <v>2</v>
      </c>
    </row>
    <row r="4" spans="1:9" ht="15.5" x14ac:dyDescent="0.35">
      <c r="A4" s="16" t="s">
        <v>443</v>
      </c>
      <c r="B4" s="16">
        <v>61.36421</v>
      </c>
      <c r="C4" s="16">
        <v>50.827939999999998</v>
      </c>
      <c r="D4" s="16">
        <v>0</v>
      </c>
      <c r="F4" s="16" t="s">
        <v>385</v>
      </c>
      <c r="G4" s="50">
        <v>106.66038</v>
      </c>
      <c r="H4" s="18">
        <v>124.125</v>
      </c>
      <c r="I4" s="18">
        <v>121</v>
      </c>
    </row>
    <row r="5" spans="1:9" ht="15.5" x14ac:dyDescent="0.35">
      <c r="F5" s="16" t="s">
        <v>262</v>
      </c>
      <c r="G5" s="50">
        <v>111.60377</v>
      </c>
      <c r="H5" s="18">
        <v>135.875</v>
      </c>
      <c r="I5" s="18">
        <v>131</v>
      </c>
    </row>
    <row r="6" spans="1:9" ht="15.5" x14ac:dyDescent="0.35">
      <c r="F6" s="16" t="s">
        <v>263</v>
      </c>
      <c r="G6" s="50">
        <v>143.33962</v>
      </c>
      <c r="H6" s="18">
        <v>157.5</v>
      </c>
      <c r="I6" s="18">
        <v>147</v>
      </c>
    </row>
    <row r="7" spans="1:9" ht="15.5" x14ac:dyDescent="0.35">
      <c r="F7" s="16" t="s">
        <v>264</v>
      </c>
      <c r="G7" s="18">
        <v>93.71172</v>
      </c>
      <c r="H7" s="50">
        <v>87.112499999999997</v>
      </c>
      <c r="I7" s="18">
        <v>39.799999999999997</v>
      </c>
    </row>
    <row r="8" spans="1:9" ht="15.5" x14ac:dyDescent="0.35">
      <c r="F8" s="16" t="s">
        <v>266</v>
      </c>
      <c r="G8" s="18">
        <v>9.1015099999999993</v>
      </c>
      <c r="H8" s="50">
        <v>9.7899999999999991</v>
      </c>
      <c r="I8" s="18">
        <v>6.4</v>
      </c>
    </row>
    <row r="9" spans="1:9" ht="15.5" x14ac:dyDescent="0.35">
      <c r="F9" s="16" t="s">
        <v>440</v>
      </c>
      <c r="G9" s="50">
        <v>8.3509399999999996</v>
      </c>
      <c r="H9" s="18">
        <v>7.7750000000000004</v>
      </c>
      <c r="I9" s="18">
        <v>6.9</v>
      </c>
    </row>
    <row r="10" spans="1:9" ht="15.5" x14ac:dyDescent="0.35">
      <c r="F10" s="16" t="s">
        <v>268</v>
      </c>
      <c r="G10" s="50">
        <v>9.5018899999999995</v>
      </c>
      <c r="H10" s="18">
        <v>8.9749999999999996</v>
      </c>
      <c r="I10" s="18">
        <v>8.3000000000000007</v>
      </c>
    </row>
    <row r="11" spans="1:9" ht="15.5" x14ac:dyDescent="0.35">
      <c r="F11" s="16" t="s">
        <v>269</v>
      </c>
      <c r="G11" s="50">
        <v>2.92075</v>
      </c>
      <c r="H11" s="18">
        <v>2.85</v>
      </c>
      <c r="I11" s="18">
        <v>2.6</v>
      </c>
    </row>
    <row r="12" spans="1:9" ht="15.5" x14ac:dyDescent="0.35">
      <c r="F12" s="16" t="s">
        <v>267</v>
      </c>
      <c r="G12" s="50">
        <v>41.305660000000003</v>
      </c>
      <c r="H12" s="18">
        <v>40.075000000000003</v>
      </c>
      <c r="I12" s="18">
        <v>26.4</v>
      </c>
    </row>
    <row r="13" spans="1:9" ht="15.5" x14ac:dyDescent="0.35">
      <c r="F13" s="16" t="s">
        <v>258</v>
      </c>
      <c r="G13" s="18">
        <v>5.9466400000000004</v>
      </c>
      <c r="H13" s="18">
        <v>6.11775</v>
      </c>
      <c r="I13" s="50">
        <v>6.2779999999999996</v>
      </c>
    </row>
    <row r="14" spans="1:9" ht="15.5" x14ac:dyDescent="0.35">
      <c r="F14" s="16" t="s">
        <v>255</v>
      </c>
      <c r="G14" s="50">
        <v>36.809060000000002</v>
      </c>
      <c r="H14" s="18">
        <v>32.4375</v>
      </c>
      <c r="I14" s="18">
        <v>31.3</v>
      </c>
    </row>
    <row r="15" spans="1:9" ht="15.5" x14ac:dyDescent="0.35">
      <c r="F15" s="16" t="s">
        <v>254</v>
      </c>
      <c r="G15" s="50">
        <v>1.4439599999999999</v>
      </c>
      <c r="H15" s="18">
        <v>1.2801400000000001</v>
      </c>
      <c r="I15" s="18">
        <v>0.92735000000000001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10B8-1B63-42C1-A831-735F38D29D3D}">
  <dimension ref="A1:EY117"/>
  <sheetViews>
    <sheetView topLeftCell="ES1" workbookViewId="0">
      <selection activeCell="EK14" sqref="EK14"/>
    </sheetView>
  </sheetViews>
  <sheetFormatPr defaultRowHeight="14.5" x14ac:dyDescent="0.35"/>
  <cols>
    <col min="1" max="1" width="8.08984375" style="1" customWidth="1"/>
    <col min="2" max="2" width="12.54296875" customWidth="1"/>
    <col min="3" max="3" width="13" customWidth="1"/>
    <col min="8" max="8" width="12.54296875" customWidth="1"/>
    <col min="9" max="9" width="7.36328125" style="1" customWidth="1"/>
    <col min="10" max="10" width="10.08984375" customWidth="1"/>
    <col min="11" max="11" width="10.26953125" customWidth="1"/>
    <col min="16" max="16" width="11.81640625" customWidth="1"/>
    <col min="17" max="17" width="7.54296875" style="1" customWidth="1"/>
    <col min="18" max="18" width="10.6328125" customWidth="1"/>
    <col min="19" max="19" width="10.7265625" customWidth="1"/>
    <col min="24" max="24" width="12.26953125" customWidth="1"/>
    <col min="25" max="25" width="7.81640625" style="1" customWidth="1"/>
    <col min="26" max="26" width="12.1796875" customWidth="1"/>
    <col min="31" max="31" width="7.1796875" customWidth="1"/>
    <col min="32" max="32" width="10.6328125" customWidth="1"/>
    <col min="33" max="33" width="9.453125" style="1" customWidth="1"/>
    <col min="34" max="34" width="10.54296875" customWidth="1"/>
    <col min="41" max="41" width="8.36328125" style="1" customWidth="1"/>
    <col min="42" max="42" width="11.6328125" customWidth="1"/>
    <col min="43" max="43" width="9.453125" customWidth="1"/>
    <col min="49" max="49" width="8.81640625" style="1" customWidth="1"/>
    <col min="50" max="50" width="10.6328125" customWidth="1"/>
    <col min="51" max="51" width="10.36328125" customWidth="1"/>
    <col min="57" max="57" width="7.7265625" style="1" customWidth="1"/>
    <col min="58" max="58" width="12.7265625" customWidth="1"/>
    <col min="66" max="66" width="7.90625" style="1" customWidth="1"/>
    <col min="67" max="67" width="10.90625" customWidth="1"/>
    <col min="75" max="75" width="7.54296875" style="1" customWidth="1"/>
    <col min="84" max="84" width="8.6328125" style="1" customWidth="1"/>
    <col min="93" max="93" width="7.7265625" style="1" customWidth="1"/>
    <col min="102" max="102" width="8" style="1" customWidth="1"/>
    <col min="111" max="111" width="8.54296875" style="1" customWidth="1"/>
    <col min="120" max="120" width="8.7265625" style="1"/>
    <col min="129" max="129" width="9" style="1" customWidth="1"/>
    <col min="138" max="138" width="8.36328125" style="1" customWidth="1"/>
    <col min="147" max="147" width="8.54296875" style="1" customWidth="1"/>
  </cols>
  <sheetData>
    <row r="1" spans="1:155" ht="15.5" x14ac:dyDescent="0.35">
      <c r="A1" s="16" t="s">
        <v>384</v>
      </c>
      <c r="B1" s="1" t="s">
        <v>425</v>
      </c>
      <c r="C1" s="1" t="s">
        <v>426</v>
      </c>
      <c r="D1" t="s">
        <v>400</v>
      </c>
      <c r="E1" s="37" t="s">
        <v>413</v>
      </c>
      <c r="F1" s="37" t="s">
        <v>402</v>
      </c>
      <c r="G1" s="37" t="s">
        <v>403</v>
      </c>
      <c r="H1" s="38" t="s">
        <v>414</v>
      </c>
      <c r="I1" s="16" t="s">
        <v>385</v>
      </c>
      <c r="J1" s="48" t="s">
        <v>411</v>
      </c>
      <c r="K1" s="48" t="s">
        <v>412</v>
      </c>
      <c r="L1" t="s">
        <v>400</v>
      </c>
      <c r="M1" s="37" t="s">
        <v>413</v>
      </c>
      <c r="N1" s="37" t="s">
        <v>402</v>
      </c>
      <c r="O1" s="37" t="s">
        <v>403</v>
      </c>
      <c r="P1" s="38" t="s">
        <v>414</v>
      </c>
      <c r="Q1" s="16" t="s">
        <v>262</v>
      </c>
      <c r="R1" s="37" t="s">
        <v>411</v>
      </c>
      <c r="S1" s="37" t="s">
        <v>412</v>
      </c>
      <c r="T1" s="37" t="s">
        <v>400</v>
      </c>
      <c r="U1" s="37" t="s">
        <v>413</v>
      </c>
      <c r="V1" s="37" t="s">
        <v>402</v>
      </c>
      <c r="W1" s="37" t="s">
        <v>403</v>
      </c>
      <c r="X1" s="38" t="s">
        <v>414</v>
      </c>
      <c r="Y1" s="16" t="s">
        <v>263</v>
      </c>
      <c r="Z1" s="37" t="s">
        <v>411</v>
      </c>
      <c r="AA1" s="37" t="s">
        <v>412</v>
      </c>
      <c r="AC1" s="37" t="s">
        <v>413</v>
      </c>
      <c r="AD1" s="37" t="s">
        <v>402</v>
      </c>
      <c r="AE1" s="37" t="s">
        <v>403</v>
      </c>
      <c r="AF1" s="38" t="s">
        <v>414</v>
      </c>
      <c r="AG1" s="16" t="s">
        <v>264</v>
      </c>
      <c r="AH1" s="48" t="s">
        <v>411</v>
      </c>
      <c r="AI1" s="48" t="s">
        <v>412</v>
      </c>
      <c r="AJ1" t="s">
        <v>400</v>
      </c>
      <c r="AK1" s="37" t="s">
        <v>413</v>
      </c>
      <c r="AL1" s="37" t="s">
        <v>402</v>
      </c>
      <c r="AM1" s="37" t="s">
        <v>403</v>
      </c>
      <c r="AN1" s="38" t="s">
        <v>414</v>
      </c>
      <c r="AO1" s="16" t="s">
        <v>265</v>
      </c>
      <c r="AP1" s="37" t="s">
        <v>411</v>
      </c>
      <c r="AQ1" s="37" t="s">
        <v>412</v>
      </c>
      <c r="AS1" s="37" t="s">
        <v>413</v>
      </c>
      <c r="AT1" s="37" t="s">
        <v>402</v>
      </c>
      <c r="AU1" s="37" t="s">
        <v>403</v>
      </c>
      <c r="AV1" s="38" t="s">
        <v>414</v>
      </c>
      <c r="AW1" s="16" t="s">
        <v>266</v>
      </c>
      <c r="AX1" s="37" t="s">
        <v>411</v>
      </c>
      <c r="AY1" s="37" t="s">
        <v>412</v>
      </c>
      <c r="BA1" s="37" t="s">
        <v>413</v>
      </c>
      <c r="BB1" s="37" t="s">
        <v>402</v>
      </c>
      <c r="BC1" s="37" t="s">
        <v>403</v>
      </c>
      <c r="BD1" s="38" t="s">
        <v>414</v>
      </c>
      <c r="BE1" s="16" t="s">
        <v>261</v>
      </c>
      <c r="BF1" s="36" t="s">
        <v>432</v>
      </c>
      <c r="BG1" s="37" t="s">
        <v>411</v>
      </c>
      <c r="BH1" s="37" t="s">
        <v>412</v>
      </c>
      <c r="BJ1" s="37" t="s">
        <v>413</v>
      </c>
      <c r="BK1" s="37" t="s">
        <v>402</v>
      </c>
      <c r="BL1" s="37" t="s">
        <v>403</v>
      </c>
      <c r="BM1" s="38" t="s">
        <v>414</v>
      </c>
      <c r="BN1" s="16" t="s">
        <v>260</v>
      </c>
      <c r="BO1" s="36" t="s">
        <v>433</v>
      </c>
      <c r="BP1" s="37" t="s">
        <v>411</v>
      </c>
      <c r="BQ1" s="37" t="s">
        <v>412</v>
      </c>
      <c r="BS1" s="37" t="s">
        <v>413</v>
      </c>
      <c r="BT1" s="37" t="s">
        <v>402</v>
      </c>
      <c r="BU1" s="37" t="s">
        <v>403</v>
      </c>
      <c r="BV1" s="38" t="s">
        <v>414</v>
      </c>
      <c r="BW1" s="16" t="s">
        <v>259</v>
      </c>
      <c r="BX1" s="36" t="s">
        <v>434</v>
      </c>
      <c r="BY1" s="37" t="s">
        <v>411</v>
      </c>
      <c r="BZ1" s="37" t="s">
        <v>412</v>
      </c>
      <c r="CB1" s="37" t="s">
        <v>413</v>
      </c>
      <c r="CC1" s="37" t="s">
        <v>402</v>
      </c>
      <c r="CD1" s="37" t="s">
        <v>403</v>
      </c>
      <c r="CE1" s="38" t="s">
        <v>414</v>
      </c>
      <c r="CF1" s="16" t="s">
        <v>268</v>
      </c>
      <c r="CG1" s="46" t="s">
        <v>253</v>
      </c>
      <c r="CH1" s="37" t="s">
        <v>411</v>
      </c>
      <c r="CI1" s="37" t="s">
        <v>412</v>
      </c>
      <c r="CK1" s="37" t="s">
        <v>413</v>
      </c>
      <c r="CL1" s="37" t="s">
        <v>402</v>
      </c>
      <c r="CM1" s="37" t="s">
        <v>403</v>
      </c>
      <c r="CN1" s="38" t="s">
        <v>414</v>
      </c>
      <c r="CO1" s="16" t="s">
        <v>269</v>
      </c>
      <c r="CP1" s="47" t="s">
        <v>20</v>
      </c>
      <c r="CQ1" s="37" t="s">
        <v>411</v>
      </c>
      <c r="CR1" s="37" t="s">
        <v>412</v>
      </c>
      <c r="CT1" s="37" t="s">
        <v>413</v>
      </c>
      <c r="CU1" s="37" t="s">
        <v>402</v>
      </c>
      <c r="CV1" s="37" t="s">
        <v>403</v>
      </c>
      <c r="CW1" s="38" t="s">
        <v>414</v>
      </c>
      <c r="CX1" s="16" t="s">
        <v>267</v>
      </c>
      <c r="CY1" s="46" t="s">
        <v>21</v>
      </c>
      <c r="CZ1" s="37" t="s">
        <v>411</v>
      </c>
      <c r="DA1" s="37" t="s">
        <v>412</v>
      </c>
      <c r="DC1" s="37" t="s">
        <v>413</v>
      </c>
      <c r="DD1" s="37" t="s">
        <v>402</v>
      </c>
      <c r="DE1" s="37" t="s">
        <v>403</v>
      </c>
      <c r="DF1" s="38" t="s">
        <v>414</v>
      </c>
      <c r="DG1" s="16" t="s">
        <v>258</v>
      </c>
      <c r="DH1" s="46" t="s">
        <v>435</v>
      </c>
      <c r="DI1" s="37" t="s">
        <v>411</v>
      </c>
      <c r="DJ1" s="37" t="s">
        <v>412</v>
      </c>
      <c r="DL1" s="37" t="s">
        <v>413</v>
      </c>
      <c r="DM1" s="37" t="s">
        <v>402</v>
      </c>
      <c r="DN1" s="37" t="s">
        <v>403</v>
      </c>
      <c r="DO1" s="38" t="s">
        <v>414</v>
      </c>
      <c r="DP1" s="16" t="s">
        <v>257</v>
      </c>
      <c r="DQ1" s="46" t="s">
        <v>436</v>
      </c>
      <c r="DR1" s="37" t="s">
        <v>411</v>
      </c>
      <c r="DS1" s="37" t="s">
        <v>412</v>
      </c>
      <c r="DU1" s="37" t="s">
        <v>413</v>
      </c>
      <c r="DV1" s="37" t="s">
        <v>402</v>
      </c>
      <c r="DW1" s="37" t="s">
        <v>403</v>
      </c>
      <c r="DX1" s="38" t="s">
        <v>414</v>
      </c>
      <c r="DY1" s="16" t="s">
        <v>256</v>
      </c>
      <c r="DZ1" s="46" t="s">
        <v>437</v>
      </c>
      <c r="EA1" s="37" t="s">
        <v>411</v>
      </c>
      <c r="EB1" s="37" t="s">
        <v>412</v>
      </c>
      <c r="ED1" s="37" t="s">
        <v>413</v>
      </c>
      <c r="EE1" s="37" t="s">
        <v>402</v>
      </c>
      <c r="EF1" s="37" t="s">
        <v>403</v>
      </c>
      <c r="EG1" s="38" t="s">
        <v>414</v>
      </c>
      <c r="EH1" s="16" t="s">
        <v>255</v>
      </c>
      <c r="EI1" s="46" t="s">
        <v>438</v>
      </c>
      <c r="EJ1" s="37" t="s">
        <v>411</v>
      </c>
      <c r="EK1" s="37" t="s">
        <v>412</v>
      </c>
      <c r="EM1" s="37" t="s">
        <v>413</v>
      </c>
      <c r="EN1" s="37" t="s">
        <v>402</v>
      </c>
      <c r="EO1" s="37" t="s">
        <v>403</v>
      </c>
      <c r="EP1" s="38" t="s">
        <v>414</v>
      </c>
      <c r="EQ1" s="16" t="s">
        <v>254</v>
      </c>
      <c r="ER1" s="46" t="s">
        <v>439</v>
      </c>
      <c r="ES1" s="37" t="s">
        <v>411</v>
      </c>
      <c r="ET1" s="37" t="s">
        <v>412</v>
      </c>
      <c r="EV1" s="37" t="s">
        <v>413</v>
      </c>
      <c r="EW1" s="37" t="s">
        <v>402</v>
      </c>
      <c r="EX1" s="37" t="s">
        <v>403</v>
      </c>
      <c r="EY1" s="38" t="s">
        <v>414</v>
      </c>
    </row>
    <row r="2" spans="1:155" ht="15.5" x14ac:dyDescent="0.35">
      <c r="A2" s="16">
        <v>15</v>
      </c>
      <c r="B2" s="37">
        <v>0</v>
      </c>
      <c r="C2" s="39">
        <v>10.129999999999999</v>
      </c>
      <c r="D2">
        <f>COUNTIFS($A$2:$A$117,"&gt;=0",$A$2:$A$117,"&lt;=10.1")</f>
        <v>0</v>
      </c>
      <c r="E2" s="1">
        <f>D2/D$11</f>
        <v>0</v>
      </c>
      <c r="F2" s="1" t="e">
        <f>LOG(E2,2)</f>
        <v>#NUM!</v>
      </c>
      <c r="G2" s="1" t="e">
        <f>F2*-1</f>
        <v>#NUM!</v>
      </c>
      <c r="H2" s="1"/>
      <c r="I2" s="16">
        <v>104</v>
      </c>
      <c r="J2" s="37">
        <v>0</v>
      </c>
      <c r="K2" s="39">
        <v>95.73</v>
      </c>
      <c r="L2">
        <f>COUNTIFS($I$2:$I$117,"&gt;=0",$I$2:$I$117,"&lt;=95.7")</f>
        <v>0</v>
      </c>
      <c r="M2" s="1">
        <f>L2/L$11</f>
        <v>0</v>
      </c>
      <c r="N2" s="1" t="e">
        <f>LOG(M2,2)</f>
        <v>#NUM!</v>
      </c>
      <c r="O2" s="1" t="e">
        <f>N2*-1</f>
        <v>#NUM!</v>
      </c>
      <c r="P2" s="1" t="e">
        <f>M2*O2</f>
        <v>#NUM!</v>
      </c>
      <c r="Q2" s="16">
        <v>111</v>
      </c>
      <c r="R2" s="37">
        <v>0</v>
      </c>
      <c r="S2" s="39">
        <v>98.57</v>
      </c>
      <c r="T2">
        <f>COUNTIFS($Q$2:$Q$117,"&gt;=0",$Q$2:$Q$117,"&lt;98.6")</f>
        <v>0</v>
      </c>
      <c r="U2" s="1">
        <f>T2/T$11</f>
        <v>0</v>
      </c>
      <c r="V2" s="1" t="e">
        <f>LOG(U2,2)</f>
        <v>#NUM!</v>
      </c>
      <c r="W2" s="1" t="e">
        <f>V2*-1</f>
        <v>#NUM!</v>
      </c>
      <c r="X2" s="1"/>
      <c r="Y2" s="16">
        <v>138</v>
      </c>
      <c r="Z2" s="37">
        <v>0</v>
      </c>
      <c r="AA2" s="39">
        <v>130.18</v>
      </c>
      <c r="AB2">
        <f>COUNTIFS($Y$2:$Y$117,"&gt;=0",$Y$2:$Y$117,"&lt;=130.2")</f>
        <v>0</v>
      </c>
      <c r="AC2" s="1">
        <f>AB2/AB$11</f>
        <v>0</v>
      </c>
      <c r="AD2" s="1" t="e">
        <f>LOG(AC2,2)</f>
        <v>#NUM!</v>
      </c>
      <c r="AE2" s="1" t="e">
        <f>AD2*-1</f>
        <v>#NUM!</v>
      </c>
      <c r="AF2" s="1"/>
      <c r="AG2" s="16">
        <v>97.8</v>
      </c>
      <c r="AH2">
        <v>0</v>
      </c>
      <c r="AI2">
        <v>62.31</v>
      </c>
      <c r="AJ2">
        <f>COUNTIFS($AG$2:$AG$117,"&gt;=0",$AG$2:$AG$117,"&lt;=62.31")</f>
        <v>2</v>
      </c>
      <c r="AK2" s="1">
        <f>AJ2/AJ$11</f>
        <v>1.7857142857142856E-2</v>
      </c>
      <c r="AL2" s="1">
        <f>LOG(AK2,2)</f>
        <v>-5.8073549220576046</v>
      </c>
      <c r="AM2" s="1">
        <f>AL2*-1</f>
        <v>5.8073549220576046</v>
      </c>
      <c r="AN2" s="1">
        <f>AK2*AM2</f>
        <v>0.10370276646531436</v>
      </c>
      <c r="AO2" s="16">
        <v>16.22</v>
      </c>
      <c r="AP2" s="37">
        <v>0</v>
      </c>
      <c r="AQ2" s="39">
        <v>4.16</v>
      </c>
      <c r="AR2">
        <f>COUNTIFS($AO$2:$AO$117,"&gt;=0",$AO$2:$AO$117,"&lt;=4.2")</f>
        <v>1</v>
      </c>
      <c r="AS2" s="1">
        <f>AR2/AR$11</f>
        <v>8.5470085470085479E-3</v>
      </c>
      <c r="AT2" s="1">
        <f>LOG(AS2,2)</f>
        <v>-6.8703647195834048</v>
      </c>
      <c r="AU2" s="1">
        <f>AT2*-1</f>
        <v>6.8703647195834048</v>
      </c>
      <c r="AV2" s="1">
        <f>AS2*AU2</f>
        <v>5.8721065979345344E-2</v>
      </c>
      <c r="AW2" s="16">
        <v>7.7200000000000006</v>
      </c>
      <c r="AX2" s="37">
        <v>0</v>
      </c>
      <c r="AY2" s="39">
        <v>6.0399999999999991</v>
      </c>
      <c r="AZ2">
        <f>COUNTIFS($AW$2:$AW$117,"&gt;=0",$AW$2:$AW$117,"&lt;=6")</f>
        <v>0</v>
      </c>
      <c r="BA2" s="1">
        <f>AZ2/AZ$11</f>
        <v>0</v>
      </c>
      <c r="BB2" s="1" t="e">
        <f>LOG(BA2,2)</f>
        <v>#NUM!</v>
      </c>
      <c r="BC2" s="1" t="e">
        <f>BB2*-1</f>
        <v>#NUM!</v>
      </c>
      <c r="BD2" s="1"/>
      <c r="BE2" s="16">
        <v>10.7</v>
      </c>
      <c r="BF2" s="33" t="s">
        <v>415</v>
      </c>
      <c r="BG2" s="37">
        <v>0</v>
      </c>
      <c r="BH2" s="39">
        <v>8.0300000000000011</v>
      </c>
      <c r="BI2">
        <f>COUNTIFS($BE$2:$BE$117,"&gt;=0",$BE$2:$BE$117,"&lt;=8")</f>
        <v>0</v>
      </c>
      <c r="BJ2" s="1">
        <f>BI2/BI$11</f>
        <v>0</v>
      </c>
      <c r="BK2" s="1" t="e">
        <f>LOG(BJ2,2)</f>
        <v>#NUM!</v>
      </c>
      <c r="BL2" s="1" t="e">
        <f>BK2*-1</f>
        <v>#NUM!</v>
      </c>
      <c r="BM2" s="1"/>
      <c r="BN2" s="16">
        <v>0.65999999999999992</v>
      </c>
      <c r="BO2" s="33" t="s">
        <v>415</v>
      </c>
      <c r="BP2" s="37">
        <v>0</v>
      </c>
      <c r="BQ2" s="39">
        <v>0.62000000000000011</v>
      </c>
      <c r="BR2">
        <f>COUNTIFS($BN$2:$BN$117,"&gt;=0",$BN$2:$BN$117,"&lt;=0.6")</f>
        <v>4</v>
      </c>
      <c r="BS2" s="1">
        <f>BR2/BR$11</f>
        <v>2.8985507246376812E-2</v>
      </c>
      <c r="BT2" s="1">
        <f>LOG(BS2,2)</f>
        <v>-5.1085244567781691</v>
      </c>
      <c r="BU2" s="1">
        <f>BT2*-1</f>
        <v>5.1085244567781691</v>
      </c>
      <c r="BV2" s="1">
        <f>BS2*BU2</f>
        <v>0.14807317266023678</v>
      </c>
      <c r="BW2" s="16">
        <v>9</v>
      </c>
      <c r="BX2" s="33" t="s">
        <v>415</v>
      </c>
      <c r="BY2" s="37">
        <v>0</v>
      </c>
      <c r="BZ2" s="39">
        <v>1.0499999999999989</v>
      </c>
      <c r="CA2">
        <f>COUNTIFS($BW$2:$BW$117,"&gt;=0",$BW$2:$BW$117,"&lt;=1.1")</f>
        <v>0</v>
      </c>
      <c r="CB2" s="1">
        <f>CA2/CA$11</f>
        <v>0</v>
      </c>
      <c r="CC2" s="1" t="e">
        <f>LOG(CB2,2)</f>
        <v>#NUM!</v>
      </c>
      <c r="CD2" s="1" t="e">
        <f>CC2*-1</f>
        <v>#NUM!</v>
      </c>
      <c r="CE2" s="1"/>
      <c r="CF2" s="16">
        <v>9</v>
      </c>
      <c r="CG2" s="33" t="s">
        <v>415</v>
      </c>
      <c r="CH2" s="37">
        <v>0</v>
      </c>
      <c r="CI2" s="39">
        <v>7.6199999999999992</v>
      </c>
      <c r="CJ2">
        <f>COUNTIFS($CF$2:$CF$117,"&gt;=0",$CF$2:$CF$117,"&lt;=7.6")</f>
        <v>3</v>
      </c>
      <c r="CK2" s="1">
        <f>CJ2/CJ$11</f>
        <v>2.0134228187919462E-2</v>
      </c>
      <c r="CL2" s="1">
        <f>LOG(CK2,2)</f>
        <v>-5.634206019741006</v>
      </c>
      <c r="CM2" s="1">
        <f>CL2*-1</f>
        <v>5.634206019741006</v>
      </c>
      <c r="CN2" s="1">
        <f>CK2*CM2</f>
        <v>0.11344038965921488</v>
      </c>
      <c r="CO2" s="16">
        <v>2</v>
      </c>
      <c r="CP2" s="33" t="s">
        <v>415</v>
      </c>
      <c r="CQ2" s="37">
        <v>0</v>
      </c>
      <c r="CR2" s="39">
        <v>2.13</v>
      </c>
      <c r="CS2">
        <f>COUNTIFS($CO$2:$CO$117,"&gt;=0",$CO$2:$CO$117,"&lt;=2.1")</f>
        <v>8</v>
      </c>
      <c r="CT2" s="1">
        <f>CS2/CS$11</f>
        <v>7.1428571428571425E-2</v>
      </c>
      <c r="CU2" s="1">
        <f>LOG(CT2,2)</f>
        <v>-3.8073549220576046</v>
      </c>
      <c r="CV2" s="1">
        <f>CU2*-1</f>
        <v>3.8073549220576046</v>
      </c>
      <c r="CW2" s="1">
        <f>CT2*CV2</f>
        <v>0.27195392300411458</v>
      </c>
      <c r="CX2" s="16">
        <v>34</v>
      </c>
      <c r="CY2" s="33" t="s">
        <v>415</v>
      </c>
      <c r="CZ2" s="37">
        <v>0</v>
      </c>
      <c r="DA2" s="39">
        <v>27.560000000000002</v>
      </c>
      <c r="DB2">
        <f>COUNTIFS($CX$2:$CX$117,"&gt;=0",$CX$2:$CX$117,"&lt;=27.6")</f>
        <v>3</v>
      </c>
      <c r="DC2" s="1">
        <f>DB2/DB$11</f>
        <v>2.564102564102564E-2</v>
      </c>
      <c r="DD2" s="1">
        <f>LOG(DC2,2)</f>
        <v>-5.2854022188622487</v>
      </c>
      <c r="DE2" s="1">
        <f>DD2*-1</f>
        <v>5.2854022188622487</v>
      </c>
      <c r="DF2" s="1">
        <f>DC2*DE2</f>
        <v>0.13552313381698072</v>
      </c>
      <c r="DG2" s="18">
        <v>5.5640000000000001</v>
      </c>
      <c r="DH2" s="33" t="s">
        <v>415</v>
      </c>
      <c r="DI2" s="37">
        <v>0</v>
      </c>
      <c r="DJ2" s="39">
        <v>5.0199999999999996</v>
      </c>
      <c r="DK2">
        <f>COUNTIFS($DG$2:$DG$117,"&gt;=0",$DG$2:$DG$117,"&lt;=5")</f>
        <v>0</v>
      </c>
      <c r="DL2" s="1">
        <f>DK2/DK$11</f>
        <v>0</v>
      </c>
      <c r="DM2" s="1" t="e">
        <f>LOG(DL2,2)</f>
        <v>#NUM!</v>
      </c>
      <c r="DN2" s="1" t="e">
        <f>DM2*-1</f>
        <v>#NUM!</v>
      </c>
      <c r="DO2" s="1"/>
      <c r="DP2" s="18">
        <v>3.1339999999999999</v>
      </c>
      <c r="DQ2" s="33" t="s">
        <v>415</v>
      </c>
      <c r="DR2" s="37">
        <v>0</v>
      </c>
      <c r="DS2" s="39">
        <v>2.63</v>
      </c>
      <c r="DT2">
        <f>COUNTIFS($DP$2:$DP$117,"&gt;=0",$DP$2:$DP$117,"&lt;=2.6")</f>
        <v>4</v>
      </c>
      <c r="DU2" s="1">
        <f>DT2/DT$11</f>
        <v>3.4482758620689655E-2</v>
      </c>
      <c r="DV2" s="1">
        <f>LOG(DU2,2)</f>
        <v>-4.8579809951275728</v>
      </c>
      <c r="DW2" s="1">
        <f>DV2*-1</f>
        <v>4.8579809951275728</v>
      </c>
      <c r="DX2" s="1">
        <f>DU2*DW2</f>
        <v>0.16751658603888181</v>
      </c>
      <c r="DY2" s="18">
        <v>2.6579999999999999</v>
      </c>
      <c r="DZ2" s="33" t="s">
        <v>415</v>
      </c>
      <c r="EA2" s="37">
        <v>0</v>
      </c>
      <c r="EB2" s="39">
        <v>2.19</v>
      </c>
      <c r="EC2">
        <f>COUNTIFS($DY$2:$DY$117,"&gt;=0",$DY$2:$DY$117,"&lt;=2.2")</f>
        <v>2</v>
      </c>
      <c r="ED2" s="1">
        <f>EC2/EC$11</f>
        <v>1.7699115044247787E-2</v>
      </c>
      <c r="EE2" s="1">
        <f>LOG(ED2,2)</f>
        <v>-5.8201789624151878</v>
      </c>
      <c r="EF2" s="1">
        <f>EE2*-1</f>
        <v>5.8201789624151878</v>
      </c>
      <c r="EG2" s="1">
        <f>ED2*EF2</f>
        <v>0.10301201703389713</v>
      </c>
      <c r="EH2" s="16">
        <v>34.700000000000003</v>
      </c>
      <c r="EI2" s="33" t="s">
        <v>415</v>
      </c>
      <c r="EJ2" s="37">
        <v>0</v>
      </c>
      <c r="EK2" s="39">
        <v>20.749999999999996</v>
      </c>
      <c r="EL2">
        <f>COUNTIFS($EH$2:$EH$117,"&gt;=0",$EH$2:$EH$117,"&lt;=20.8")</f>
        <v>1</v>
      </c>
      <c r="EM2" s="1">
        <f>EL2/EL$11</f>
        <v>9.6153846153846159E-3</v>
      </c>
      <c r="EN2" s="1">
        <f>LOG(EM2,2)</f>
        <v>-6.7004397181410917</v>
      </c>
      <c r="EO2" s="1">
        <f>EN2*-1</f>
        <v>6.7004397181410917</v>
      </c>
      <c r="EP2" s="1">
        <f>EM2*EO2</f>
        <v>6.4427304982125885E-2</v>
      </c>
      <c r="EQ2" s="18">
        <v>1.9906486833654462</v>
      </c>
      <c r="ER2" s="33" t="s">
        <v>415</v>
      </c>
      <c r="ES2" s="37">
        <v>0</v>
      </c>
      <c r="ET2" s="39">
        <v>0.48</v>
      </c>
      <c r="EU2">
        <f>COUNTIFS($EQ$2:$EQ$117,"&gt;=0",$EQ$2:$EQ$117,"&lt;=0.5")</f>
        <v>1</v>
      </c>
      <c r="EV2" s="1">
        <f>EU2/EU$11</f>
        <v>8.8495575221238937E-3</v>
      </c>
      <c r="EW2" s="1">
        <f>LOG(EV2,2)</f>
        <v>-6.8201789624151887</v>
      </c>
      <c r="EX2" s="1">
        <f>EW2*-1</f>
        <v>6.8201789624151887</v>
      </c>
      <c r="EY2" s="1">
        <f>EV2*EX2</f>
        <v>6.0355566039072467E-2</v>
      </c>
    </row>
    <row r="3" spans="1:155" ht="15.5" x14ac:dyDescent="0.35">
      <c r="A3" s="16">
        <v>18</v>
      </c>
      <c r="B3" s="39">
        <v>10.1</v>
      </c>
      <c r="C3" s="39">
        <v>12.25</v>
      </c>
      <c r="D3">
        <f>COUNTIFS($A$2:$A$117,"&gt;=10.1",$A$2:$A$117,"&lt;=12.3")</f>
        <v>0</v>
      </c>
      <c r="E3" s="1">
        <f t="shared" ref="E3:E10" si="0">D3/D$11</f>
        <v>0</v>
      </c>
      <c r="F3" s="1" t="e">
        <f t="shared" ref="F3:F10" si="1">LOG(E3,2)</f>
        <v>#NUM!</v>
      </c>
      <c r="G3" s="1" t="e">
        <f t="shared" ref="G3:G10" si="2">F3*-1</f>
        <v>#NUM!</v>
      </c>
      <c r="H3" s="1"/>
      <c r="I3" s="16">
        <v>132</v>
      </c>
      <c r="J3" s="39">
        <v>95.7</v>
      </c>
      <c r="K3" s="39">
        <v>98.825000000000003</v>
      </c>
      <c r="L3">
        <f>COUNTIFS($I$2:$I$117,"&gt;=95.7",$I$2:$I$117,"&lt;=98.8")</f>
        <v>0</v>
      </c>
      <c r="M3" s="1">
        <f t="shared" ref="M3:M10" si="3">L3/L$11</f>
        <v>0</v>
      </c>
      <c r="N3" s="1" t="e">
        <f t="shared" ref="N3:N10" si="4">LOG(M3,2)</f>
        <v>#NUM!</v>
      </c>
      <c r="O3" s="1" t="e">
        <f t="shared" ref="O3:O10" si="5">N3*-1</f>
        <v>#NUM!</v>
      </c>
      <c r="P3" s="1" t="e">
        <f t="shared" ref="P3:P10" si="6">M3*O3</f>
        <v>#NUM!</v>
      </c>
      <c r="Q3" s="16">
        <v>145</v>
      </c>
      <c r="R3" s="39">
        <v>98.6</v>
      </c>
      <c r="S3" s="39">
        <v>102.33</v>
      </c>
      <c r="T3">
        <f>COUNTIFS($Q$2:$Q$117,"&gt;=98.6",$Q$2:$Q$117,"&lt;102.3")</f>
        <v>1</v>
      </c>
      <c r="U3" s="1">
        <f t="shared" ref="U3:U10" si="7">T3/T$11</f>
        <v>9.3457943925233638E-3</v>
      </c>
      <c r="V3" s="1">
        <f t="shared" ref="V3:V10" si="8">LOG(U3,2)</f>
        <v>-6.7414669864011483</v>
      </c>
      <c r="W3" s="1">
        <f t="shared" ref="W3:W10" si="9">V3*-1</f>
        <v>6.7414669864011483</v>
      </c>
      <c r="X3" s="1">
        <f t="shared" ref="X3:X10" si="10">W3*U3</f>
        <v>6.3004364358889231E-2</v>
      </c>
      <c r="Y3" s="16">
        <v>171</v>
      </c>
      <c r="Z3" s="39">
        <v>130.19999999999999</v>
      </c>
      <c r="AA3" s="39">
        <v>133.72999999999999</v>
      </c>
      <c r="AB3">
        <f>COUNTIFS($Y$2:$Y$117,"&gt;=130.2",$Y$2:$Y$117,"&lt;=133.7")</f>
        <v>2</v>
      </c>
      <c r="AC3" s="1">
        <f t="shared" ref="AC3:AC10" si="11">AB3/AB$11</f>
        <v>1.8867924528301886E-2</v>
      </c>
      <c r="AD3" s="1">
        <f t="shared" ref="AD3:AD10" si="12">LOG(AC3,2)</f>
        <v>-5.7279204545631996</v>
      </c>
      <c r="AE3" s="1">
        <f t="shared" ref="AE3:AE10" si="13">AD3*-1</f>
        <v>5.7279204545631996</v>
      </c>
      <c r="AF3" s="1">
        <f t="shared" ref="AF3:AF8" si="14">AC3*AE3</f>
        <v>0.10807397084081509</v>
      </c>
      <c r="AG3" s="16">
        <v>78.8</v>
      </c>
      <c r="AH3">
        <v>62.31</v>
      </c>
      <c r="AI3">
        <v>69.814999999999998</v>
      </c>
      <c r="AJ3">
        <f>COUNTIFS($AG$2:$AG$117,"&gt;=62.31",$AG$2:$AG$117,"&lt;=69.815")</f>
        <v>5</v>
      </c>
      <c r="AK3" s="1">
        <f t="shared" ref="AK3:AK10" si="15">AJ3/AJ$11</f>
        <v>4.4642857142857144E-2</v>
      </c>
      <c r="AL3" s="1">
        <f t="shared" ref="AL3:AL10" si="16">LOG(AK3,2)</f>
        <v>-4.485426827170242</v>
      </c>
      <c r="AM3" s="1">
        <f t="shared" ref="AM3:AM10" si="17">AL3*-1</f>
        <v>4.485426827170242</v>
      </c>
      <c r="AN3" s="1">
        <f t="shared" ref="AN3:AN10" si="18">AK3*AM3</f>
        <v>0.20024226907010009</v>
      </c>
      <c r="AO3" s="16">
        <v>21.7</v>
      </c>
      <c r="AP3" s="39">
        <v>4.2</v>
      </c>
      <c r="AQ3" s="39">
        <v>6.92</v>
      </c>
      <c r="AR3">
        <f>COUNTIFS($AO$2:$AO$117,"&gt;=4.2",$AO$2:$AO$117,"&lt;=6.9")</f>
        <v>7</v>
      </c>
      <c r="AS3" s="1">
        <f t="shared" ref="AS3:AS10" si="19">AR3/AR$11</f>
        <v>5.9829059829059832E-2</v>
      </c>
      <c r="AT3" s="1">
        <f t="shared" ref="AT3:AT10" si="20">LOG(AS3,2)</f>
        <v>-4.0630097975258002</v>
      </c>
      <c r="AU3" s="1">
        <f t="shared" ref="AU3:AU10" si="21">AT3*-1</f>
        <v>4.0630097975258002</v>
      </c>
      <c r="AV3" s="1">
        <f t="shared" ref="AV3:AV10" si="22">AS3*AU3</f>
        <v>0.24308605626222737</v>
      </c>
      <c r="AW3" s="16">
        <v>7.7200000000000006</v>
      </c>
      <c r="AX3" s="39">
        <v>6</v>
      </c>
      <c r="AY3" s="39">
        <v>6.8049999999999997</v>
      </c>
      <c r="AZ3">
        <f>COUNTIFS($AW$2:$AW$117,"&gt;=6",$AW$2:$AW$117,"&lt;=6.8")</f>
        <v>4</v>
      </c>
      <c r="BA3" s="1">
        <f t="shared" ref="BA3:BA10" si="23">AZ3/AZ$11</f>
        <v>3.2520325203252036E-2</v>
      </c>
      <c r="BB3" s="1">
        <f t="shared" ref="BB3:BB10" si="24">LOG(BA3,2)</f>
        <v>-4.9425145053392399</v>
      </c>
      <c r="BC3" s="1">
        <f t="shared" ref="BC3:BC10" si="25">BB3*-1</f>
        <v>4.9425145053392399</v>
      </c>
      <c r="BD3" s="1">
        <f t="shared" ref="BD3:BD10" si="26">BA3*BC3</f>
        <v>0.16073217903542245</v>
      </c>
      <c r="BE3" s="16">
        <v>19.18</v>
      </c>
      <c r="BF3" s="33" t="s">
        <v>416</v>
      </c>
      <c r="BG3" s="39">
        <v>8</v>
      </c>
      <c r="BH3" s="39">
        <v>9.1000000000000014</v>
      </c>
      <c r="BI3">
        <f>COUNTIFS($BE$2:$BE$117,"&gt;=8",$BE$2:$BE$117,"&lt;=9.1")</f>
        <v>4</v>
      </c>
      <c r="BJ3" s="1">
        <f t="shared" ref="BJ3:BJ10" si="27">BI3/BI$11</f>
        <v>3.4782608695652174E-2</v>
      </c>
      <c r="BK3" s="1">
        <f t="shared" ref="BK3:BK10" si="28">LOG(BJ3,2)</f>
        <v>-4.8454900509443757</v>
      </c>
      <c r="BL3" s="1">
        <f t="shared" ref="BL3:BL10" si="29">BK3*-1</f>
        <v>4.8454900509443757</v>
      </c>
      <c r="BM3" s="1">
        <f t="shared" ref="BM3:BM10" si="30">BJ3*BL3</f>
        <v>0.16853878438067393</v>
      </c>
      <c r="BN3" s="16">
        <v>0.60000000000000009</v>
      </c>
      <c r="BO3" s="33" t="s">
        <v>416</v>
      </c>
      <c r="BP3" s="39">
        <v>0.6</v>
      </c>
      <c r="BQ3" s="39">
        <v>0.72500000000000009</v>
      </c>
      <c r="BR3">
        <f>COUNTIFS($BN$2:$BN$117,"&gt;=0.6",$BN$2:$BN$117,"&lt;=0.7")</f>
        <v>4</v>
      </c>
      <c r="BS3" s="1">
        <f t="shared" ref="BS3:BS10" si="31">BR3/BR$11</f>
        <v>2.8985507246376812E-2</v>
      </c>
      <c r="BT3" s="1">
        <f t="shared" ref="BT3:BT10" si="32">LOG(BS3,2)</f>
        <v>-5.1085244567781691</v>
      </c>
      <c r="BU3" s="1">
        <f t="shared" ref="BU3:BU10" si="33">BT3*-1</f>
        <v>5.1085244567781691</v>
      </c>
      <c r="BV3" s="1">
        <f t="shared" ref="BV3:BV10" si="34">BS3*BU3</f>
        <v>0.14807317266023678</v>
      </c>
      <c r="BW3" s="16">
        <v>10</v>
      </c>
      <c r="BX3" s="33" t="s">
        <v>416</v>
      </c>
      <c r="BY3" s="39">
        <v>1.1000000000000001</v>
      </c>
      <c r="BZ3" s="39">
        <v>2.8599999999999994</v>
      </c>
      <c r="CA3">
        <f>COUNTIFS($BW$2:$BW$117,"&gt;=1.1",$BW$2:$BW$117,"&lt;=2.9")</f>
        <v>0</v>
      </c>
      <c r="CB3" s="1">
        <f t="shared" ref="CB3:CB10" si="35">CA3/CA$11</f>
        <v>0</v>
      </c>
      <c r="CC3" s="1" t="e">
        <f t="shared" ref="CC3:CC10" si="36">LOG(CB3,2)</f>
        <v>#NUM!</v>
      </c>
      <c r="CD3" s="1" t="e">
        <f t="shared" ref="CD3:CD10" si="37">CC3*-1</f>
        <v>#NUM!</v>
      </c>
      <c r="CE3" s="1"/>
      <c r="CF3" s="16">
        <v>8</v>
      </c>
      <c r="CG3" s="33" t="s">
        <v>416</v>
      </c>
      <c r="CH3" s="39">
        <v>7.6</v>
      </c>
      <c r="CI3" s="39">
        <v>8.0749999999999993</v>
      </c>
      <c r="CJ3">
        <f>COUNTIFS($CF$2:$CF$117,"&gt;=7.6",$CF$2:$CF$117,"&lt;=8.1")</f>
        <v>9</v>
      </c>
      <c r="CK3" s="1">
        <f t="shared" ref="CK3:CK10" si="38">CJ3/CJ$11</f>
        <v>6.0402684563758392E-2</v>
      </c>
      <c r="CL3" s="1">
        <f t="shared" ref="CL3:CL10" si="39">LOG(CK3,2)</f>
        <v>-4.049243519019849</v>
      </c>
      <c r="CM3" s="1">
        <f t="shared" ref="CM3:CM10" si="40">CL3*-1</f>
        <v>4.049243519019849</v>
      </c>
      <c r="CN3" s="1">
        <f t="shared" ref="CN3:CN10" si="41">CK3*CM3</f>
        <v>0.24458517900119894</v>
      </c>
      <c r="CO3" s="16">
        <v>2</v>
      </c>
      <c r="CP3" s="33" t="s">
        <v>416</v>
      </c>
      <c r="CQ3" s="39">
        <v>2.1</v>
      </c>
      <c r="CR3" s="39">
        <v>2.3250000000000002</v>
      </c>
      <c r="CS3">
        <f>COUNTIFS($CO$2:$CO$117,"&gt;=2.1",$CO$2:$CO$117,"&lt;=2.3")</f>
        <v>5</v>
      </c>
      <c r="CT3" s="1">
        <f t="shared" ref="CT3:CT10" si="42">CS3/CS$11</f>
        <v>4.4642857142857144E-2</v>
      </c>
      <c r="CU3" s="1">
        <f t="shared" ref="CU3:CU10" si="43">LOG(CT3,2)</f>
        <v>-4.485426827170242</v>
      </c>
      <c r="CV3" s="1">
        <f t="shared" ref="CV3:CV10" si="44">CU3*-1</f>
        <v>4.485426827170242</v>
      </c>
      <c r="CW3" s="1">
        <f t="shared" ref="CW3:CW9" si="45">CT3*CV3</f>
        <v>0.20024226907010009</v>
      </c>
      <c r="CX3" s="16">
        <v>33</v>
      </c>
      <c r="CY3" s="33" t="s">
        <v>416</v>
      </c>
      <c r="CZ3" s="39">
        <v>27.6</v>
      </c>
      <c r="DA3" s="39">
        <v>30.91</v>
      </c>
      <c r="DB3">
        <f>COUNTIFS($CX$2:$CX$117,"&gt;=27.6",$CX$2:$CX$117,"&lt;=30.9")</f>
        <v>0</v>
      </c>
      <c r="DC3" s="1">
        <f t="shared" ref="DC3:DC10" si="46">DB3/DB$11</f>
        <v>0</v>
      </c>
      <c r="DD3" s="1" t="e">
        <f t="shared" ref="DD3:DD10" si="47">LOG(DC3,2)</f>
        <v>#NUM!</v>
      </c>
      <c r="DE3" s="1" t="e">
        <f t="shared" ref="DE3:DE10" si="48">DD3*-1</f>
        <v>#NUM!</v>
      </c>
      <c r="DF3" s="1"/>
      <c r="DG3" s="18">
        <v>6.3819999999999997</v>
      </c>
      <c r="DH3" s="33" t="s">
        <v>416</v>
      </c>
      <c r="DI3" s="39">
        <v>5</v>
      </c>
      <c r="DJ3" s="39">
        <v>5.2549999999999999</v>
      </c>
      <c r="DK3">
        <f>COUNTIFS($DG$2:$DG$117,"&gt;=5",$DG$2:$DG$117,"&lt;=5.3")</f>
        <v>9</v>
      </c>
      <c r="DL3" s="1">
        <f t="shared" ref="DL3:DL10" si="49">DK3/DK$11</f>
        <v>7.8947368421052627E-2</v>
      </c>
      <c r="DM3" s="1">
        <f t="shared" ref="DM3:DM10" si="50">LOG(DL3,2)</f>
        <v>-3.6629650127224296</v>
      </c>
      <c r="DN3" s="1">
        <f t="shared" ref="DN3:DN10" si="51">DM3*-1</f>
        <v>3.6629650127224296</v>
      </c>
      <c r="DO3" s="1">
        <f t="shared" ref="DO3:DO10" si="52">DL3*DN3</f>
        <v>0.28918144837282339</v>
      </c>
      <c r="DP3" s="18">
        <v>2.5819999999999999</v>
      </c>
      <c r="DQ3" s="33" t="s">
        <v>416</v>
      </c>
      <c r="DR3" s="39">
        <v>2.6</v>
      </c>
      <c r="DS3" s="39">
        <v>2.7800000000000002</v>
      </c>
      <c r="DT3">
        <f>COUNTIFS($DP$2:$DP$117,"&gt;=2.6",$DP$2:$DP$117,"&lt;=2.8")</f>
        <v>6</v>
      </c>
      <c r="DU3" s="1">
        <f t="shared" ref="DU3:DU10" si="53">DT3/DT$11</f>
        <v>5.1724137931034482E-2</v>
      </c>
      <c r="DV3" s="1">
        <f t="shared" ref="DV3:DV10" si="54">LOG(DU3,2)</f>
        <v>-4.2730184944064158</v>
      </c>
      <c r="DW3" s="1">
        <f t="shared" ref="DW3:DW10" si="55">DV3*-1</f>
        <v>4.2730184944064158</v>
      </c>
      <c r="DX3" s="1">
        <f t="shared" ref="DX3:DX10" si="56">DU3*DW3</f>
        <v>0.22101819798653874</v>
      </c>
      <c r="DY3" s="18">
        <v>2.3959999999999999</v>
      </c>
      <c r="DZ3" s="33" t="s">
        <v>416</v>
      </c>
      <c r="EA3" s="39">
        <v>2.2000000000000002</v>
      </c>
      <c r="EB3" s="39">
        <v>2.3199999999999998</v>
      </c>
      <c r="EC3">
        <f>COUNTIFS($DY$2:$DY$117,"&gt;=2.2",$DY$2:$DY$117,"&lt;=2.3")</f>
        <v>6</v>
      </c>
      <c r="ED3" s="1">
        <f t="shared" ref="ED3:ED10" si="57">EC3/EC$11</f>
        <v>5.3097345132743362E-2</v>
      </c>
      <c r="EE3" s="1">
        <f t="shared" ref="EE3:EE10" si="58">LOG(ED3,2)</f>
        <v>-4.2352164616940318</v>
      </c>
      <c r="EF3" s="1">
        <f t="shared" ref="EF3:EF10" si="59">EE3*-1</f>
        <v>4.2352164616940318</v>
      </c>
      <c r="EG3" s="1">
        <f t="shared" ref="EG3:EG10" si="60">ED3*EF3</f>
        <v>0.22487875017844416</v>
      </c>
      <c r="EH3" s="16">
        <v>25.7</v>
      </c>
      <c r="EI3" s="33" t="s">
        <v>416</v>
      </c>
      <c r="EJ3" s="39">
        <v>20.8</v>
      </c>
      <c r="EK3" s="39">
        <v>24.664999999999996</v>
      </c>
      <c r="EL3">
        <f>COUNTIFS($EH$2:$EH$117,"&gt;=20.8",$EH$2:$EH$117,"&lt;=24.7")</f>
        <v>7</v>
      </c>
      <c r="EM3" s="1">
        <f t="shared" ref="EM3:EM10" si="61">EL3/EL$11</f>
        <v>6.7307692307692304E-2</v>
      </c>
      <c r="EN3" s="1">
        <f t="shared" ref="EN3:EN10" si="62">LOG(EM3,2)</f>
        <v>-3.8930847960834885</v>
      </c>
      <c r="EO3" s="1">
        <f t="shared" ref="EO3:EO10" si="63">EN3*-1</f>
        <v>3.8930847960834885</v>
      </c>
      <c r="EP3" s="1">
        <f t="shared" ref="EP3:EP10" si="64">EM3*EO3</f>
        <v>0.26203455358254246</v>
      </c>
      <c r="EQ3" s="18">
        <v>2.4670520231213877</v>
      </c>
      <c r="ER3" s="33" t="s">
        <v>416</v>
      </c>
      <c r="ES3" s="39">
        <v>0.5</v>
      </c>
      <c r="ET3" s="39">
        <v>0.71499999999999997</v>
      </c>
      <c r="EU3">
        <f>COUNTIFS($EQ$2:$EQ$117,"&gt;=0.5",$EQ$2:$EQ$117,"&lt;=0.7")</f>
        <v>5</v>
      </c>
      <c r="EV3" s="1">
        <f t="shared" ref="EV3:EV10" si="65">EU3/EU$11</f>
        <v>4.4247787610619468E-2</v>
      </c>
      <c r="EW3" s="1">
        <f t="shared" ref="EW3:EW10" si="66">LOG(EV3,2)</f>
        <v>-4.4982508675278261</v>
      </c>
      <c r="EX3" s="1">
        <f t="shared" ref="EX3:EX10" si="67">EW3*-1</f>
        <v>4.4982508675278261</v>
      </c>
      <c r="EY3" s="1">
        <f t="shared" ref="EY3:EY10" si="68">EV3*EX3</f>
        <v>0.19903764900565601</v>
      </c>
    </row>
    <row r="4" spans="1:155" ht="15.5" x14ac:dyDescent="0.35">
      <c r="A4" s="16">
        <v>15</v>
      </c>
      <c r="B4" s="39">
        <v>12.3</v>
      </c>
      <c r="C4" s="39">
        <v>14.37</v>
      </c>
      <c r="D4">
        <f>COUNTIFS($A$2:$A$117,"&gt;=12.3",$A$2:$A$117,"&lt;=14.4")</f>
        <v>2</v>
      </c>
      <c r="E4" s="1">
        <f t="shared" si="0"/>
        <v>1.7241379310344827E-2</v>
      </c>
      <c r="F4" s="1">
        <f t="shared" si="1"/>
        <v>-5.8579809951275719</v>
      </c>
      <c r="G4" s="1">
        <f t="shared" si="2"/>
        <v>5.8579809951275719</v>
      </c>
      <c r="H4" s="1">
        <f t="shared" ref="H4:H10" si="69">E4*G4</f>
        <v>0.10099967232978573</v>
      </c>
      <c r="I4" s="16">
        <v>102</v>
      </c>
      <c r="J4" s="39">
        <v>98.8</v>
      </c>
      <c r="K4" s="39">
        <v>101.92</v>
      </c>
      <c r="L4">
        <f>COUNTIFS($I$2:$I$117,"&gt;=98.8",$I$2:$I$117,"&lt;=101.9")</f>
        <v>2</v>
      </c>
      <c r="M4" s="1">
        <f t="shared" si="3"/>
        <v>9.9009900990099011E-3</v>
      </c>
      <c r="N4" s="1">
        <f t="shared" si="4"/>
        <v>-6.6582114827517955</v>
      </c>
      <c r="O4" s="1">
        <f t="shared" si="5"/>
        <v>6.6582114827517955</v>
      </c>
      <c r="P4" s="1">
        <f t="shared" si="6"/>
        <v>6.5922885967839559E-2</v>
      </c>
      <c r="Q4" s="16">
        <v>108</v>
      </c>
      <c r="R4" s="39">
        <v>102.3</v>
      </c>
      <c r="S4" s="39">
        <v>106.09</v>
      </c>
      <c r="T4">
        <f>COUNTIFS($Q$2:$Q$117,"&gt;=102.3",$Q$2:$Q$117,"&lt;106.1")</f>
        <v>1</v>
      </c>
      <c r="U4" s="1">
        <f t="shared" si="7"/>
        <v>9.3457943925233638E-3</v>
      </c>
      <c r="V4" s="1">
        <f t="shared" si="8"/>
        <v>-6.7414669864011483</v>
      </c>
      <c r="W4" s="1">
        <f t="shared" si="9"/>
        <v>6.7414669864011483</v>
      </c>
      <c r="X4" s="1">
        <f t="shared" si="10"/>
        <v>6.3004364358889231E-2</v>
      </c>
      <c r="Y4" s="16">
        <v>134</v>
      </c>
      <c r="Z4" s="39">
        <v>133.69999999999999</v>
      </c>
      <c r="AA4" s="39">
        <v>137.28</v>
      </c>
      <c r="AB4">
        <f>COUNTIFS($Y$2:$Y$117,"&gt;=133.7",$Y$2:$Y$117,"&lt;=137.3")</f>
        <v>11</v>
      </c>
      <c r="AC4" s="1">
        <f t="shared" si="11"/>
        <v>0.10377358490566038</v>
      </c>
      <c r="AD4" s="1">
        <f t="shared" si="12"/>
        <v>-3.2684888359259023</v>
      </c>
      <c r="AE4" s="1">
        <f t="shared" si="13"/>
        <v>3.2684888359259023</v>
      </c>
      <c r="AF4" s="1">
        <f t="shared" si="14"/>
        <v>0.33918280372815968</v>
      </c>
      <c r="AG4" s="16">
        <v>103.4</v>
      </c>
      <c r="AH4">
        <v>69.81</v>
      </c>
      <c r="AI4">
        <v>77.319999999999993</v>
      </c>
      <c r="AJ4">
        <f t="array" ref="AJ4">COUNTIFS($AG$2:$AG$117,"&gt;=69.81",$AG$2:$AG$117,"&lt;=77.32")</f>
        <v>10</v>
      </c>
      <c r="AK4" s="1">
        <f t="shared" si="15"/>
        <v>8.9285714285714288E-2</v>
      </c>
      <c r="AL4" s="1">
        <f t="shared" si="16"/>
        <v>-3.4854268271702415</v>
      </c>
      <c r="AM4" s="1">
        <f t="shared" si="17"/>
        <v>3.4854268271702415</v>
      </c>
      <c r="AN4" s="1">
        <f t="shared" si="18"/>
        <v>0.31119882385448588</v>
      </c>
      <c r="AO4" s="16">
        <v>18.54</v>
      </c>
      <c r="AP4" s="39">
        <v>6.9</v>
      </c>
      <c r="AQ4" s="39">
        <v>9.68</v>
      </c>
      <c r="AR4">
        <f>COUNTIFS($AO$2:$AO$117,"&gt;=6.9",$AO$2:$AO$117,"&lt;=9.7")</f>
        <v>17</v>
      </c>
      <c r="AS4" s="1">
        <f t="shared" si="19"/>
        <v>0.14529914529914531</v>
      </c>
      <c r="AT4" s="1">
        <f t="shared" si="20"/>
        <v>-2.7829018783330652</v>
      </c>
      <c r="AU4" s="1">
        <f t="shared" si="21"/>
        <v>2.7829018783330652</v>
      </c>
      <c r="AV4" s="1">
        <f t="shared" si="22"/>
        <v>0.40435326437318048</v>
      </c>
      <c r="AW4" s="16">
        <v>7.44</v>
      </c>
      <c r="AX4" s="39">
        <v>6.8</v>
      </c>
      <c r="AY4" s="39">
        <v>7.5699999999999994</v>
      </c>
      <c r="AZ4">
        <f>COUNTIFS($AW$2:$AW$117,"&gt;=6.8",$AW$2:$AW$117,"&lt;=7.6")</f>
        <v>15</v>
      </c>
      <c r="BA4" s="1">
        <f t="shared" si="23"/>
        <v>0.12195121951219512</v>
      </c>
      <c r="BB4" s="1">
        <f t="shared" si="24"/>
        <v>-3.0356239097307216</v>
      </c>
      <c r="BC4" s="1">
        <f t="shared" si="25"/>
        <v>3.0356239097307216</v>
      </c>
      <c r="BD4" s="1">
        <f t="shared" si="26"/>
        <v>0.37019803777203919</v>
      </c>
      <c r="BE4" s="16">
        <v>10.639999999999999</v>
      </c>
      <c r="BF4" s="33" t="s">
        <v>417</v>
      </c>
      <c r="BG4" s="39">
        <v>9.1</v>
      </c>
      <c r="BH4" s="39">
        <v>10.17</v>
      </c>
      <c r="BI4">
        <f>COUNTIFS($BE$2:$BE$117,"&gt;=9.1",$BE$2:$BE$117,"&lt;=10.2")</f>
        <v>13</v>
      </c>
      <c r="BJ4" s="1">
        <f t="shared" si="27"/>
        <v>0.11304347826086956</v>
      </c>
      <c r="BK4" s="1">
        <f t="shared" si="28"/>
        <v>-3.1450503328032835</v>
      </c>
      <c r="BL4" s="1">
        <f t="shared" si="29"/>
        <v>3.1450503328032835</v>
      </c>
      <c r="BM4" s="1">
        <f t="shared" si="30"/>
        <v>0.35552742892558858</v>
      </c>
      <c r="BN4" s="16">
        <v>0.56000000000000005</v>
      </c>
      <c r="BO4" s="33" t="s">
        <v>417</v>
      </c>
      <c r="BP4" s="39">
        <v>0.7</v>
      </c>
      <c r="BQ4" s="39">
        <v>0.83000000000000007</v>
      </c>
      <c r="BR4">
        <f>COUNTIFS($BN$2:$BN$117,"&gt;=0.7",$BN$2:$BN$117,"&lt;=0.8")</f>
        <v>9</v>
      </c>
      <c r="BS4" s="1">
        <f t="shared" si="31"/>
        <v>6.5217391304347824E-2</v>
      </c>
      <c r="BT4" s="1">
        <f t="shared" si="32"/>
        <v>-3.938599455335857</v>
      </c>
      <c r="BU4" s="1">
        <f t="shared" si="33"/>
        <v>3.938599455335857</v>
      </c>
      <c r="BV4" s="1">
        <f t="shared" si="34"/>
        <v>0.25686518186972979</v>
      </c>
      <c r="BW4" s="16">
        <v>8</v>
      </c>
      <c r="BX4" s="33" t="s">
        <v>417</v>
      </c>
      <c r="BY4" s="39">
        <v>2.9</v>
      </c>
      <c r="BZ4" s="39">
        <v>4.669999999999999</v>
      </c>
      <c r="CA4">
        <f>COUNTIFS($BW$2:$BW$117,"&gt;=2.9",$BW$2:$BW$117,"&lt;=4.7")</f>
        <v>10</v>
      </c>
      <c r="CB4" s="1">
        <f t="shared" si="35"/>
        <v>9.1743119266055051E-2</v>
      </c>
      <c r="CC4" s="1">
        <f t="shared" si="36"/>
        <v>-3.4462562298895643</v>
      </c>
      <c r="CD4" s="1">
        <f t="shared" si="37"/>
        <v>3.4462562298895643</v>
      </c>
      <c r="CE4" s="1">
        <f t="shared" ref="CE4:CE10" si="70">CB4*CD4</f>
        <v>0.31617029632014354</v>
      </c>
      <c r="CF4" s="16">
        <v>11</v>
      </c>
      <c r="CG4" s="33" t="s">
        <v>417</v>
      </c>
      <c r="CH4" s="39">
        <v>8.1</v>
      </c>
      <c r="CI4" s="39">
        <v>8.5299999999999994</v>
      </c>
      <c r="CJ4">
        <f>COUNTIFS($CF$2:$CF$117,"&gt;=8.1",$CF$2:$CF$117,"&lt;=8.5")</f>
        <v>4</v>
      </c>
      <c r="CK4" s="1">
        <f t="shared" si="38"/>
        <v>2.6845637583892617E-2</v>
      </c>
      <c r="CL4" s="1">
        <f t="shared" si="39"/>
        <v>-5.2191685204621612</v>
      </c>
      <c r="CM4" s="1">
        <f t="shared" si="40"/>
        <v>5.2191685204621612</v>
      </c>
      <c r="CN4" s="1">
        <f t="shared" si="41"/>
        <v>0.14011190658958822</v>
      </c>
      <c r="CO4" s="16">
        <v>3</v>
      </c>
      <c r="CP4" s="33" t="s">
        <v>417</v>
      </c>
      <c r="CQ4" s="39">
        <v>2.2999999999999998</v>
      </c>
      <c r="CR4" s="39">
        <v>2.52</v>
      </c>
      <c r="CS4">
        <f>COUNTIFS($CO$2:$CO$117,"&gt;=2.3",$CO$2:$CO$117,"&lt;=2.5")</f>
        <v>3</v>
      </c>
      <c r="CT4" s="1">
        <f t="shared" si="42"/>
        <v>2.6785714285714284E-2</v>
      </c>
      <c r="CU4" s="1">
        <f t="shared" si="43"/>
        <v>-5.2223924213364485</v>
      </c>
      <c r="CV4" s="1">
        <f t="shared" si="44"/>
        <v>5.2223924213364485</v>
      </c>
      <c r="CW4" s="1">
        <f t="shared" si="45"/>
        <v>0.13988551128579771</v>
      </c>
      <c r="CX4" s="16">
        <v>45</v>
      </c>
      <c r="CY4" s="33" t="s">
        <v>417</v>
      </c>
      <c r="CZ4" s="39">
        <v>30.9</v>
      </c>
      <c r="DA4" s="39">
        <v>34.26</v>
      </c>
      <c r="DB4">
        <f>COUNTIFS($CX$2:$CX$117,"&gt;=30.9",$CX$2:$CX$117,"&lt;=34.3")</f>
        <v>13</v>
      </c>
      <c r="DC4" s="1">
        <f t="shared" si="46"/>
        <v>0.1111111111111111</v>
      </c>
      <c r="DD4" s="1">
        <f t="shared" si="47"/>
        <v>-3.1699250014423126</v>
      </c>
      <c r="DE4" s="1">
        <f t="shared" si="48"/>
        <v>3.1699250014423126</v>
      </c>
      <c r="DF4" s="1">
        <f t="shared" ref="DF4:DF10" si="71">DC4*DE4</f>
        <v>0.3522138890491458</v>
      </c>
      <c r="DG4" s="18">
        <v>5.2380000000000004</v>
      </c>
      <c r="DH4" s="33" t="s">
        <v>417</v>
      </c>
      <c r="DI4" s="39">
        <v>5.3</v>
      </c>
      <c r="DJ4" s="39">
        <v>5.49</v>
      </c>
      <c r="DK4">
        <f>COUNTIFS($DG$2:$DG$117,"&gt;=5.3",$DG$2:$DG$117,"&lt;=5.5")</f>
        <v>14</v>
      </c>
      <c r="DL4" s="1">
        <f t="shared" si="49"/>
        <v>0.12280701754385964</v>
      </c>
      <c r="DM4" s="1">
        <f t="shared" si="50"/>
        <v>-3.0255350921071376</v>
      </c>
      <c r="DN4" s="1">
        <f t="shared" si="51"/>
        <v>3.0255350921071376</v>
      </c>
      <c r="DO4" s="1">
        <f t="shared" si="52"/>
        <v>0.37155694113596421</v>
      </c>
      <c r="DP4" s="18">
        <v>3.0140000000000002</v>
      </c>
      <c r="DQ4" s="33" t="s">
        <v>417</v>
      </c>
      <c r="DR4" s="39">
        <v>2.8</v>
      </c>
      <c r="DS4" s="39">
        <v>2.93</v>
      </c>
      <c r="DT4">
        <f>COUNTIFS($DP$2:$DP$117,"&gt;=2.8",$DP$2:$DP$117,"&lt;=2.9")</f>
        <v>4</v>
      </c>
      <c r="DU4" s="1">
        <f t="shared" si="53"/>
        <v>3.4482758620689655E-2</v>
      </c>
      <c r="DV4" s="1">
        <f t="shared" si="54"/>
        <v>-4.8579809951275728</v>
      </c>
      <c r="DW4" s="1">
        <f t="shared" si="55"/>
        <v>4.8579809951275728</v>
      </c>
      <c r="DX4" s="1">
        <f t="shared" si="56"/>
        <v>0.16751658603888181</v>
      </c>
      <c r="DY4" s="18">
        <v>2.5219999999999998</v>
      </c>
      <c r="DZ4" s="33" t="s">
        <v>417</v>
      </c>
      <c r="EA4" s="39">
        <v>2.2999999999999998</v>
      </c>
      <c r="EB4" s="39">
        <v>2.4500000000000002</v>
      </c>
      <c r="EC4">
        <f>COUNTIFS($DY$2:$DY$117,"&gt;=2.3",$DY$2:$DY$117,"&lt;=2.5")</f>
        <v>18</v>
      </c>
      <c r="ED4" s="1">
        <f t="shared" si="57"/>
        <v>0.15929203539823009</v>
      </c>
      <c r="EE4" s="1">
        <f t="shared" si="58"/>
        <v>-2.6502539609728752</v>
      </c>
      <c r="EF4" s="1">
        <f t="shared" si="59"/>
        <v>2.6502539609728752</v>
      </c>
      <c r="EG4" s="1">
        <f t="shared" si="60"/>
        <v>0.42216434776559075</v>
      </c>
      <c r="EH4" s="16">
        <v>32.799999999999997</v>
      </c>
      <c r="EI4" s="33" t="s">
        <v>417</v>
      </c>
      <c r="EJ4" s="39">
        <v>24.7</v>
      </c>
      <c r="EK4" s="39">
        <v>28.58</v>
      </c>
      <c r="EL4">
        <f>COUNTIFS($EH$2:$EH$117,"&gt;=24.7",$EH$2:$EH$117,"&lt;=28.6")</f>
        <v>10</v>
      </c>
      <c r="EM4" s="1">
        <f t="shared" si="61"/>
        <v>9.6153846153846159E-2</v>
      </c>
      <c r="EN4" s="1">
        <f t="shared" si="62"/>
        <v>-3.37851162325373</v>
      </c>
      <c r="EO4" s="1">
        <f t="shared" si="63"/>
        <v>3.37851162325373</v>
      </c>
      <c r="EP4" s="1">
        <f t="shared" si="64"/>
        <v>0.32485688685132019</v>
      </c>
      <c r="EQ4" s="18">
        <v>2.3699421965317917</v>
      </c>
      <c r="ER4" s="33" t="s">
        <v>417</v>
      </c>
      <c r="ES4" s="39">
        <v>0.7</v>
      </c>
      <c r="ET4" s="39">
        <v>0.95</v>
      </c>
      <c r="EU4">
        <f>COUNTIFS($EQ$2:$EQ$117,"&gt;=0.7",$EQ$2:$EQ$117,"&lt;=1")</f>
        <v>15</v>
      </c>
      <c r="EV4" s="1">
        <f t="shared" si="65"/>
        <v>0.13274336283185842</v>
      </c>
      <c r="EW4" s="1">
        <f t="shared" si="66"/>
        <v>-2.9132883668066691</v>
      </c>
      <c r="EX4" s="1">
        <f t="shared" si="67"/>
        <v>2.9132883668066691</v>
      </c>
      <c r="EY4" s="1">
        <f t="shared" si="68"/>
        <v>0.38671969470884993</v>
      </c>
    </row>
    <row r="5" spans="1:155" ht="15.5" x14ac:dyDescent="0.35">
      <c r="A5" s="16">
        <v>15</v>
      </c>
      <c r="B5" s="39">
        <v>14.4</v>
      </c>
      <c r="C5" s="39">
        <v>16.489999999999998</v>
      </c>
      <c r="D5">
        <f>COUNTIFS($A$2:$A$117,"&gt;=14.4",$A$2:$A$117,"&lt;=16.5")</f>
        <v>52</v>
      </c>
      <c r="E5" s="1">
        <f t="shared" si="0"/>
        <v>0.44827586206896552</v>
      </c>
      <c r="F5" s="1">
        <f t="shared" si="1"/>
        <v>-1.1575412769864799</v>
      </c>
      <c r="G5" s="1">
        <f t="shared" si="2"/>
        <v>1.1575412769864799</v>
      </c>
      <c r="H5" s="1">
        <f t="shared" si="69"/>
        <v>0.51889781382152544</v>
      </c>
      <c r="I5" s="16">
        <v>102</v>
      </c>
      <c r="J5" s="39">
        <v>101.9</v>
      </c>
      <c r="K5" s="39">
        <v>105.015</v>
      </c>
      <c r="L5">
        <f>COUNTIFS($I$2:$I$117,"&gt;=101.9",$I$2:$I$117,"&lt;=105")</f>
        <v>35</v>
      </c>
      <c r="M5" s="1">
        <f t="shared" si="3"/>
        <v>0.17326732673267325</v>
      </c>
      <c r="N5" s="1">
        <f t="shared" si="4"/>
        <v>-2.5289284658068283</v>
      </c>
      <c r="O5" s="1">
        <f t="shared" si="5"/>
        <v>2.5289284658068283</v>
      </c>
      <c r="P5" s="1">
        <f t="shared" si="6"/>
        <v>0.4381806747685098</v>
      </c>
      <c r="Q5" s="16">
        <v>108</v>
      </c>
      <c r="R5" s="39">
        <v>106.1</v>
      </c>
      <c r="S5" s="39">
        <v>109.85</v>
      </c>
      <c r="T5">
        <f>COUNTIFS($Q$2:$Q$117,"&gt;=106.1",$Q$2:$Q$117,"&lt;109.9")</f>
        <v>23</v>
      </c>
      <c r="U5" s="1">
        <f t="shared" si="7"/>
        <v>0.21495327102803738</v>
      </c>
      <c r="V5" s="1">
        <f t="shared" si="8"/>
        <v>-2.2179050303441343</v>
      </c>
      <c r="W5" s="1">
        <f t="shared" si="9"/>
        <v>2.2179050303441343</v>
      </c>
      <c r="X5" s="1">
        <f t="shared" si="10"/>
        <v>0.47674594110201018</v>
      </c>
      <c r="Y5" s="16">
        <v>134</v>
      </c>
      <c r="Z5" s="39">
        <v>137.30000000000001</v>
      </c>
      <c r="AA5" s="39">
        <v>140.82999999999998</v>
      </c>
      <c r="AB5">
        <f>COUNTIFS($Y$2:$Y$117,"&gt;=137.3",$Y$2:$Y$117,"&lt;=140.8")</f>
        <v>22</v>
      </c>
      <c r="AC5" s="1">
        <f t="shared" si="11"/>
        <v>0.20754716981132076</v>
      </c>
      <c r="AD5" s="1">
        <f t="shared" si="12"/>
        <v>-2.2684888359259019</v>
      </c>
      <c r="AE5" s="1">
        <f t="shared" si="13"/>
        <v>2.2684888359259019</v>
      </c>
      <c r="AF5" s="1">
        <f t="shared" si="14"/>
        <v>0.47081843764499853</v>
      </c>
      <c r="AG5" s="16">
        <v>64.47999999999999</v>
      </c>
      <c r="AH5">
        <v>77.319999999999993</v>
      </c>
      <c r="AI5">
        <v>84.825000000000003</v>
      </c>
      <c r="AJ5">
        <f>COUNTIFS($AG$2:$AG$117,"&gt;=77.32",$AG$2:$AG$117,"&lt;=84.82")</f>
        <v>16</v>
      </c>
      <c r="AK5" s="1">
        <f t="shared" si="15"/>
        <v>0.14285714285714285</v>
      </c>
      <c r="AL5" s="1">
        <f t="shared" si="16"/>
        <v>-2.8073549220576046</v>
      </c>
      <c r="AM5" s="1">
        <f t="shared" si="17"/>
        <v>2.8073549220576046</v>
      </c>
      <c r="AN5" s="1">
        <f t="shared" si="18"/>
        <v>0.40105070315108637</v>
      </c>
      <c r="AO5" s="16">
        <v>22.16</v>
      </c>
      <c r="AP5" s="39">
        <v>9.6999999999999993</v>
      </c>
      <c r="AQ5" s="39">
        <v>12.44</v>
      </c>
      <c r="AR5">
        <f>COUNTIFS($AO$2:$AO$117,"&gt;=9.7",$AO$2:$AO$117,"&lt;=12.4")</f>
        <v>13</v>
      </c>
      <c r="AS5" s="1">
        <f t="shared" si="19"/>
        <v>0.1111111111111111</v>
      </c>
      <c r="AT5" s="1">
        <f t="shared" si="20"/>
        <v>-3.1699250014423126</v>
      </c>
      <c r="AU5" s="1">
        <f t="shared" si="21"/>
        <v>3.1699250014423126</v>
      </c>
      <c r="AV5" s="1">
        <f t="shared" si="22"/>
        <v>0.3522138890491458</v>
      </c>
      <c r="AW5" s="16">
        <v>8.8000000000000007</v>
      </c>
      <c r="AX5" s="39">
        <v>7.6</v>
      </c>
      <c r="AY5" s="39">
        <v>8.3349999999999991</v>
      </c>
      <c r="AZ5">
        <f>COUNTIFS($AW$2:$AW$117,"&gt;=7.6",$AW$2:$AW$117,"&lt;=8.3")</f>
        <v>24</v>
      </c>
      <c r="BA5" s="1">
        <f t="shared" si="23"/>
        <v>0.1951219512195122</v>
      </c>
      <c r="BB5" s="1">
        <f t="shared" si="24"/>
        <v>-2.3575520046180838</v>
      </c>
      <c r="BC5" s="1">
        <f t="shared" si="25"/>
        <v>2.3575520046180838</v>
      </c>
      <c r="BD5" s="1">
        <f t="shared" si="26"/>
        <v>0.46001014724255296</v>
      </c>
      <c r="BE5" s="16">
        <v>10.78</v>
      </c>
      <c r="BF5" s="33" t="s">
        <v>418</v>
      </c>
      <c r="BG5" s="39">
        <v>10.199999999999999</v>
      </c>
      <c r="BH5" s="39">
        <v>11.24</v>
      </c>
      <c r="BI5">
        <f>COUNTIFS($BE$2:$BE$117,"&gt;=10.2",$BE$2:$BE$117,"&lt;=11.2")</f>
        <v>21</v>
      </c>
      <c r="BJ5" s="1">
        <f t="shared" si="27"/>
        <v>0.18260869565217391</v>
      </c>
      <c r="BK5" s="1">
        <f t="shared" si="28"/>
        <v>-2.453172628165615</v>
      </c>
      <c r="BL5" s="1">
        <f t="shared" si="29"/>
        <v>2.453172628165615</v>
      </c>
      <c r="BM5" s="1">
        <f t="shared" si="30"/>
        <v>0.44797065383893842</v>
      </c>
      <c r="BN5" s="16">
        <v>0.55999999999999994</v>
      </c>
      <c r="BO5" s="33" t="s">
        <v>418</v>
      </c>
      <c r="BP5" s="39">
        <v>0.8</v>
      </c>
      <c r="BQ5" s="39">
        <v>0.93500000000000005</v>
      </c>
      <c r="BR5">
        <f>COUNTIFS($BN$2:$BN$117,"&gt;=0.8",$BN$2:$BN$117,"&lt;=0.9")</f>
        <v>19</v>
      </c>
      <c r="BS5" s="1">
        <f t="shared" si="31"/>
        <v>0.13768115942028986</v>
      </c>
      <c r="BT5" s="1">
        <f t="shared" si="32"/>
        <v>-2.8605969433345835</v>
      </c>
      <c r="BU5" s="1">
        <f t="shared" si="33"/>
        <v>2.8605969433345835</v>
      </c>
      <c r="BV5" s="1">
        <f t="shared" si="34"/>
        <v>0.39385030379244268</v>
      </c>
      <c r="BW5" s="16">
        <v>7</v>
      </c>
      <c r="BX5" s="33" t="s">
        <v>418</v>
      </c>
      <c r="BY5" s="39">
        <v>4.7</v>
      </c>
      <c r="BZ5" s="39">
        <v>6.4799999999999986</v>
      </c>
      <c r="CA5">
        <f>COUNTIFS($BW$2:$BW$117,"&gt;=4.7",$BW$2:$BW$117,"&lt;=6.5")</f>
        <v>27</v>
      </c>
      <c r="CB5" s="1">
        <f t="shared" si="35"/>
        <v>0.24770642201834864</v>
      </c>
      <c r="CC5" s="1">
        <f t="shared" si="36"/>
        <v>-2.0132968226134578</v>
      </c>
      <c r="CD5" s="1">
        <f t="shared" si="37"/>
        <v>2.0132968226134578</v>
      </c>
      <c r="CE5" s="1">
        <f t="shared" si="70"/>
        <v>0.49870655239048955</v>
      </c>
      <c r="CF5" s="16">
        <v>10</v>
      </c>
      <c r="CG5" s="33" t="s">
        <v>418</v>
      </c>
      <c r="CH5" s="39">
        <v>8.5</v>
      </c>
      <c r="CI5" s="39">
        <v>8.9849999999999994</v>
      </c>
      <c r="CJ5">
        <f>COUNTIFS($CF$2:$CF$117,"&gt;=8.5",$CF$2:$CF$117,"&lt;=9")</f>
        <v>40</v>
      </c>
      <c r="CK5" s="1">
        <f t="shared" si="38"/>
        <v>0.26845637583892618</v>
      </c>
      <c r="CL5" s="1">
        <f t="shared" si="39"/>
        <v>-1.8972404255747994</v>
      </c>
      <c r="CM5" s="1">
        <f t="shared" si="40"/>
        <v>1.8972404255747994</v>
      </c>
      <c r="CN5" s="1">
        <f t="shared" si="41"/>
        <v>0.50932628874491259</v>
      </c>
      <c r="CO5" s="16">
        <v>3</v>
      </c>
      <c r="CP5" s="33" t="s">
        <v>418</v>
      </c>
      <c r="CQ5" s="39">
        <v>2.5</v>
      </c>
      <c r="CR5" s="39">
        <v>2.7150000000000003</v>
      </c>
      <c r="CS5">
        <f>COUNTIFS($CO$2:$CO$117,"&gt;=2.5",$CO$2:$CO$117,"&lt;=2.7")</f>
        <v>4</v>
      </c>
      <c r="CT5" s="1">
        <f t="shared" si="42"/>
        <v>3.5714285714285712E-2</v>
      </c>
      <c r="CU5" s="1">
        <f t="shared" si="43"/>
        <v>-4.8073549220576037</v>
      </c>
      <c r="CV5" s="1">
        <f t="shared" si="44"/>
        <v>4.8073549220576037</v>
      </c>
      <c r="CW5" s="1">
        <f t="shared" si="45"/>
        <v>0.17169124721634299</v>
      </c>
      <c r="CX5" s="16">
        <v>41</v>
      </c>
      <c r="CY5" s="33" t="s">
        <v>418</v>
      </c>
      <c r="CZ5" s="39">
        <v>34.299999999999997</v>
      </c>
      <c r="DA5" s="39">
        <v>37.61</v>
      </c>
      <c r="DB5">
        <f>COUNTIFS($CX$2:$CX$117,"&gt;=34.3",$CX$2:$CX$117,"&lt;=37.6")</f>
        <v>20</v>
      </c>
      <c r="DC5" s="1">
        <f t="shared" si="46"/>
        <v>0.17094017094017094</v>
      </c>
      <c r="DD5" s="1">
        <f t="shared" si="47"/>
        <v>-2.5484366246960422</v>
      </c>
      <c r="DE5" s="1">
        <f t="shared" si="48"/>
        <v>2.5484366246960422</v>
      </c>
      <c r="DF5" s="1">
        <f t="shared" si="71"/>
        <v>0.43563019225573368</v>
      </c>
      <c r="DG5" s="18">
        <v>5.8360000000000003</v>
      </c>
      <c r="DH5" s="33" t="s">
        <v>418</v>
      </c>
      <c r="DI5" s="39">
        <v>5.5</v>
      </c>
      <c r="DJ5" s="39">
        <v>5.7249999999999996</v>
      </c>
      <c r="DK5">
        <f>COUNTIFS($DG$2:$DG$117,"&gt;=5.5",$DG$2:$DG$117,"&lt;=5.7")</f>
        <v>14</v>
      </c>
      <c r="DL5" s="1">
        <f t="shared" si="49"/>
        <v>0.12280701754385964</v>
      </c>
      <c r="DM5" s="1">
        <f t="shared" si="50"/>
        <v>-3.0255350921071376</v>
      </c>
      <c r="DN5" s="1">
        <f t="shared" si="51"/>
        <v>3.0255350921071376</v>
      </c>
      <c r="DO5" s="1">
        <f t="shared" si="52"/>
        <v>0.37155694113596421</v>
      </c>
      <c r="DP5" s="18">
        <v>3.1760000000000002</v>
      </c>
      <c r="DQ5" s="33" t="s">
        <v>418</v>
      </c>
      <c r="DR5" s="39">
        <v>2.9</v>
      </c>
      <c r="DS5" s="39">
        <v>3.08</v>
      </c>
      <c r="DT5">
        <f>COUNTIFS($DP$2:$DP$117,"&gt;=2.9",$DP$2:$DP$117,"&lt;=3.1")</f>
        <v>27</v>
      </c>
      <c r="DU5" s="1">
        <f t="shared" si="53"/>
        <v>0.23275862068965517</v>
      </c>
      <c r="DV5" s="1">
        <f t="shared" si="54"/>
        <v>-2.1030934929641036</v>
      </c>
      <c r="DW5" s="1">
        <f t="shared" si="55"/>
        <v>2.1030934929641036</v>
      </c>
      <c r="DX5" s="1">
        <f t="shared" si="56"/>
        <v>0.48951314060371376</v>
      </c>
      <c r="DY5" s="18">
        <v>2.722</v>
      </c>
      <c r="DZ5" s="33" t="s">
        <v>418</v>
      </c>
      <c r="EA5" s="39">
        <v>2.5</v>
      </c>
      <c r="EB5" s="39">
        <v>2.58</v>
      </c>
      <c r="EC5">
        <f>COUNTIFS($DY$2:$DY$117,"&gt;=2.5",$DY$2:$DY$117,"&lt;=2.6")</f>
        <v>16</v>
      </c>
      <c r="ED5" s="1">
        <f t="shared" si="57"/>
        <v>0.1415929203539823</v>
      </c>
      <c r="EE5" s="1">
        <f t="shared" si="58"/>
        <v>-2.8201789624151878</v>
      </c>
      <c r="EF5" s="1">
        <f t="shared" si="59"/>
        <v>2.8201789624151878</v>
      </c>
      <c r="EG5" s="1">
        <f t="shared" si="60"/>
        <v>0.39931737520923011</v>
      </c>
      <c r="EH5" s="16">
        <v>33.049999999999997</v>
      </c>
      <c r="EI5" s="33" t="s">
        <v>418</v>
      </c>
      <c r="EJ5" s="39">
        <v>28.6</v>
      </c>
      <c r="EK5" s="39">
        <v>32.494999999999997</v>
      </c>
      <c r="EL5">
        <f>COUNTIFS($EH$2:$EH$117,"&gt;=28.6",$EH$2:$EH$117,"&lt;=32.5")</f>
        <v>20</v>
      </c>
      <c r="EM5" s="1">
        <f t="shared" si="61"/>
        <v>0.19230769230769232</v>
      </c>
      <c r="EN5" s="1">
        <f t="shared" si="62"/>
        <v>-2.37851162325373</v>
      </c>
      <c r="EO5" s="1">
        <f t="shared" si="63"/>
        <v>2.37851162325373</v>
      </c>
      <c r="EP5" s="1">
        <f t="shared" si="64"/>
        <v>0.45740608139494809</v>
      </c>
      <c r="EQ5" s="18">
        <v>2.543660886319846</v>
      </c>
      <c r="ER5" s="33" t="s">
        <v>418</v>
      </c>
      <c r="ES5" s="39">
        <v>1</v>
      </c>
      <c r="ET5" s="39">
        <v>1.1850000000000001</v>
      </c>
      <c r="EU5">
        <f>COUNTIFS($EQ$2:$EQ$117,"&gt;=1",$EQ$2:$EQ$117,"&lt;=1.2")</f>
        <v>16</v>
      </c>
      <c r="EV5" s="1">
        <f t="shared" si="65"/>
        <v>0.1415929203539823</v>
      </c>
      <c r="EW5" s="1">
        <f t="shared" si="66"/>
        <v>-2.8201789624151878</v>
      </c>
      <c r="EX5" s="1">
        <f t="shared" si="67"/>
        <v>2.8201789624151878</v>
      </c>
      <c r="EY5" s="1">
        <f t="shared" si="68"/>
        <v>0.39931737520923011</v>
      </c>
    </row>
    <row r="6" spans="1:155" ht="16" thickBot="1" x14ac:dyDescent="0.4">
      <c r="A6" s="16">
        <v>15</v>
      </c>
      <c r="B6" s="43">
        <v>16.5</v>
      </c>
      <c r="C6" s="22">
        <v>18.61</v>
      </c>
      <c r="D6">
        <f>COUNTIFS($A$2:$A$117,"&gt;=16.5",$A$2:$A$117,"&lt;=18.61")</f>
        <v>14</v>
      </c>
      <c r="E6" s="1">
        <f t="shared" si="0"/>
        <v>0.1206896551724138</v>
      </c>
      <c r="F6" s="1">
        <f t="shared" si="1"/>
        <v>-3.0506260730699681</v>
      </c>
      <c r="G6" s="1">
        <f t="shared" si="2"/>
        <v>3.0506260730699681</v>
      </c>
      <c r="H6" s="1">
        <f t="shared" si="69"/>
        <v>0.36817900881878929</v>
      </c>
      <c r="I6" s="16">
        <v>102</v>
      </c>
      <c r="J6" s="43">
        <v>105</v>
      </c>
      <c r="K6" s="22">
        <v>108.11</v>
      </c>
      <c r="L6">
        <f>COUNTIFS($I$2:$I$117,"&gt;=105",$I$2:$I$117,"&lt;=108.11")</f>
        <v>41</v>
      </c>
      <c r="M6" s="1">
        <f t="shared" si="3"/>
        <v>0.20297029702970298</v>
      </c>
      <c r="N6" s="1">
        <f t="shared" si="4"/>
        <v>-2.3006594781337109</v>
      </c>
      <c r="O6" s="1">
        <f t="shared" si="5"/>
        <v>2.3006594781337109</v>
      </c>
      <c r="P6" s="1">
        <f t="shared" si="6"/>
        <v>0.46696553764100074</v>
      </c>
      <c r="Q6" s="16">
        <v>108</v>
      </c>
      <c r="R6" s="43">
        <v>109.9</v>
      </c>
      <c r="S6" s="22">
        <v>113.61</v>
      </c>
      <c r="T6">
        <f>COUNTIFS($Q$2:$Q$117,"&gt;=109.9",$Q$2:$Q$117,"&lt;113.61")</f>
        <v>59</v>
      </c>
      <c r="U6" s="1">
        <f t="shared" si="7"/>
        <v>0.55140186915887845</v>
      </c>
      <c r="V6" s="1">
        <f t="shared" si="8"/>
        <v>-0.85882393703930593</v>
      </c>
      <c r="W6" s="1">
        <f t="shared" si="9"/>
        <v>0.85882393703930593</v>
      </c>
      <c r="X6" s="1">
        <f t="shared" si="10"/>
        <v>0.47355712416186024</v>
      </c>
      <c r="Y6" s="16">
        <v>140</v>
      </c>
      <c r="Z6" s="43">
        <v>140.38</v>
      </c>
      <c r="AA6" s="22">
        <v>144.38</v>
      </c>
      <c r="AB6">
        <f>COUNTIFS($Y$2:$Y$117,"&gt;=140.4",$Y$2:$Y$117,"&lt;=144.38")</f>
        <v>25</v>
      </c>
      <c r="AC6" s="1">
        <f t="shared" si="11"/>
        <v>0.23584905660377359</v>
      </c>
      <c r="AD6" s="1">
        <f t="shared" si="12"/>
        <v>-2.0840642647884744</v>
      </c>
      <c r="AE6" s="1">
        <f t="shared" si="13"/>
        <v>2.0840642647884744</v>
      </c>
      <c r="AF6" s="1">
        <f t="shared" si="14"/>
        <v>0.49152459075199867</v>
      </c>
      <c r="AG6" s="16">
        <v>104.74000000000001</v>
      </c>
      <c r="AH6">
        <v>84.82</v>
      </c>
      <c r="AI6">
        <v>92.33</v>
      </c>
      <c r="AJ6">
        <f>COUNTIFS($AG$2:$AG$117,"&gt;=84.82",$AG$2:$AG$117,"&lt;=92.33")</f>
        <v>16</v>
      </c>
      <c r="AK6" s="1">
        <f t="shared" si="15"/>
        <v>0.14285714285714285</v>
      </c>
      <c r="AL6" s="1">
        <f t="shared" si="16"/>
        <v>-2.8073549220576046</v>
      </c>
      <c r="AM6" s="1">
        <f t="shared" si="17"/>
        <v>2.8073549220576046</v>
      </c>
      <c r="AN6" s="1">
        <f t="shared" si="18"/>
        <v>0.40105070315108637</v>
      </c>
      <c r="AO6" s="16">
        <v>20.6</v>
      </c>
      <c r="AP6" s="43">
        <v>12.4</v>
      </c>
      <c r="AQ6" s="22">
        <v>15.2</v>
      </c>
      <c r="AR6">
        <f>COUNTIFS($AO$2:$AO$117,"&gt;=12.4",$AO$2:$AO$117,"&lt;=15.2")</f>
        <v>17</v>
      </c>
      <c r="AS6" s="1">
        <f t="shared" si="19"/>
        <v>0.14529914529914531</v>
      </c>
      <c r="AT6" s="1">
        <f t="shared" si="20"/>
        <v>-2.7829018783330652</v>
      </c>
      <c r="AU6" s="1">
        <f t="shared" si="21"/>
        <v>2.7829018783330652</v>
      </c>
      <c r="AV6" s="1">
        <f t="shared" si="22"/>
        <v>0.40435326437318048</v>
      </c>
      <c r="AW6" s="16">
        <v>8.6</v>
      </c>
      <c r="AX6" s="43">
        <v>8.3000000000000007</v>
      </c>
      <c r="AY6" s="22">
        <v>9.1</v>
      </c>
      <c r="AZ6">
        <f>COUNTIFS($AW$2:$AW$117,"&gt;=8.3",$AW$2:$AW$117,"&lt;=9.1")</f>
        <v>31</v>
      </c>
      <c r="BA6" s="1">
        <f t="shared" si="23"/>
        <v>0.25203252032520324</v>
      </c>
      <c r="BB6" s="1">
        <f t="shared" si="24"/>
        <v>-1.9883181949523647</v>
      </c>
      <c r="BC6" s="1">
        <f t="shared" si="25"/>
        <v>1.9883181949523647</v>
      </c>
      <c r="BD6" s="1">
        <f t="shared" si="26"/>
        <v>0.50112084588230332</v>
      </c>
      <c r="BE6" s="16">
        <v>9.9</v>
      </c>
      <c r="BF6" s="33" t="s">
        <v>419</v>
      </c>
      <c r="BG6" s="43">
        <v>11.2</v>
      </c>
      <c r="BH6" s="22">
        <v>12.31</v>
      </c>
      <c r="BI6">
        <f>COUNTIFS($BE$2:$BE$117,"&gt;=11.2",$BE$2:$BE$117,"&lt;=12.31")</f>
        <v>29</v>
      </c>
      <c r="BJ6" s="1">
        <f t="shared" si="27"/>
        <v>0.25217391304347825</v>
      </c>
      <c r="BK6" s="1">
        <f t="shared" si="28"/>
        <v>-1.9875090558168031</v>
      </c>
      <c r="BL6" s="1">
        <f t="shared" si="29"/>
        <v>1.9875090558168031</v>
      </c>
      <c r="BM6" s="1">
        <f t="shared" si="30"/>
        <v>0.50119793581467209</v>
      </c>
      <c r="BN6" s="16">
        <v>0.88000000000000012</v>
      </c>
      <c r="BO6" s="33" t="s">
        <v>419</v>
      </c>
      <c r="BP6" s="43">
        <v>0.9</v>
      </c>
      <c r="BQ6" s="22">
        <v>1.04</v>
      </c>
      <c r="BR6">
        <f>COUNTIFS($BN$2:$BN$117,"&gt;=0.9",$BN$2:$BN$117,"&lt;=1.04")</f>
        <v>45</v>
      </c>
      <c r="BS6" s="1">
        <f t="shared" si="31"/>
        <v>0.32608695652173914</v>
      </c>
      <c r="BT6" s="1">
        <f t="shared" si="32"/>
        <v>-1.6166713604484946</v>
      </c>
      <c r="BU6" s="1">
        <f t="shared" si="33"/>
        <v>1.6166713604484946</v>
      </c>
      <c r="BV6" s="1">
        <f t="shared" si="34"/>
        <v>0.52717544362450908</v>
      </c>
      <c r="BW6" s="16">
        <v>13</v>
      </c>
      <c r="BX6" s="33" t="s">
        <v>419</v>
      </c>
      <c r="BY6" s="43">
        <v>6.5</v>
      </c>
      <c r="BZ6" s="22">
        <v>8.2899999999999991</v>
      </c>
      <c r="CA6">
        <f>COUNTIFS($BW$2:$BW$117,"&gt;=6.5",$BW$2:$BW$117,"&lt;=8.29")</f>
        <v>40</v>
      </c>
      <c r="CB6" s="1">
        <f t="shared" si="35"/>
        <v>0.3669724770642202</v>
      </c>
      <c r="CC6" s="1">
        <f t="shared" si="36"/>
        <v>-1.446256229889564</v>
      </c>
      <c r="CD6" s="1">
        <f t="shared" si="37"/>
        <v>1.446256229889564</v>
      </c>
      <c r="CE6" s="1">
        <f t="shared" si="70"/>
        <v>0.53073623115213364</v>
      </c>
      <c r="CF6" s="16">
        <v>9</v>
      </c>
      <c r="CG6" s="33" t="s">
        <v>419</v>
      </c>
      <c r="CH6" s="43">
        <v>9</v>
      </c>
      <c r="CI6" s="22">
        <v>9.44</v>
      </c>
      <c r="CJ6">
        <f>COUNTIFS($CF$2:$CF$117,"&gt;=9",$CF$2:$CF$117,"&lt;=9.44")</f>
        <v>35</v>
      </c>
      <c r="CK6" s="1">
        <f t="shared" si="38"/>
        <v>0.2348993288590604</v>
      </c>
      <c r="CL6" s="1">
        <f t="shared" si="39"/>
        <v>-2.0898855035171953</v>
      </c>
      <c r="CM6" s="1">
        <f t="shared" si="40"/>
        <v>2.0898855035171953</v>
      </c>
      <c r="CN6" s="1">
        <f t="shared" si="41"/>
        <v>0.49091270216846866</v>
      </c>
      <c r="CO6" s="16">
        <v>3</v>
      </c>
      <c r="CP6" s="33" t="s">
        <v>419</v>
      </c>
      <c r="CQ6" s="43">
        <v>2.7</v>
      </c>
      <c r="CR6" s="22">
        <v>2.91</v>
      </c>
      <c r="CS6">
        <f>COUNTIFS($CO$2:$CO$117,"&gt;=2.7",$CO$2:$CO$117,"&lt;=2.91")</f>
        <v>12</v>
      </c>
      <c r="CT6" s="1">
        <f t="shared" si="42"/>
        <v>0.10714285714285714</v>
      </c>
      <c r="CU6" s="1">
        <f t="shared" si="43"/>
        <v>-3.2223924213364481</v>
      </c>
      <c r="CV6" s="1">
        <f t="shared" si="44"/>
        <v>3.2223924213364481</v>
      </c>
      <c r="CW6" s="1">
        <f t="shared" si="45"/>
        <v>0.34525633085747659</v>
      </c>
      <c r="CX6" s="16">
        <v>49</v>
      </c>
      <c r="CY6" s="33" t="s">
        <v>419</v>
      </c>
      <c r="CZ6" s="43">
        <v>37.6</v>
      </c>
      <c r="DA6" s="22">
        <v>40.96</v>
      </c>
      <c r="DB6">
        <f>COUNTIFS($CX$2:$CX$117,"&gt;=37.6",$CX$2:$CX$117,"&lt;=40.96")</f>
        <v>24</v>
      </c>
      <c r="DC6" s="1">
        <f t="shared" si="46"/>
        <v>0.20512820512820512</v>
      </c>
      <c r="DD6" s="1">
        <f t="shared" si="47"/>
        <v>-2.2854022188622487</v>
      </c>
      <c r="DE6" s="1">
        <f t="shared" si="48"/>
        <v>2.2854022188622487</v>
      </c>
      <c r="DF6" s="1">
        <f t="shared" si="71"/>
        <v>0.46880045515123048</v>
      </c>
      <c r="DG6" s="18">
        <v>5.5579999999999998</v>
      </c>
      <c r="DH6" s="33" t="s">
        <v>419</v>
      </c>
      <c r="DI6" s="43">
        <v>5.7</v>
      </c>
      <c r="DJ6" s="22">
        <v>5.96</v>
      </c>
      <c r="DK6">
        <f>COUNTIFS($DG$2:$DG$117,"&gt;=5.7",$DG$2:$DG$117,"&lt;=5.96")</f>
        <v>28</v>
      </c>
      <c r="DL6" s="1">
        <f t="shared" si="49"/>
        <v>0.24561403508771928</v>
      </c>
      <c r="DM6" s="1">
        <f t="shared" si="50"/>
        <v>-2.025535092107138</v>
      </c>
      <c r="DN6" s="1">
        <f t="shared" si="51"/>
        <v>2.025535092107138</v>
      </c>
      <c r="DO6" s="1">
        <f t="shared" si="52"/>
        <v>0.49749984718420931</v>
      </c>
      <c r="DP6" s="18">
        <v>3.4560000000000004</v>
      </c>
      <c r="DQ6" s="33" t="s">
        <v>419</v>
      </c>
      <c r="DR6" s="43">
        <v>3.1</v>
      </c>
      <c r="DS6" s="22">
        <v>3.23</v>
      </c>
      <c r="DT6">
        <f>COUNTIFS($DP$2:$DP$117,"&gt;=3.1",$DP$2:$DP$117,"&lt;=3.23")</f>
        <v>11</v>
      </c>
      <c r="DU6" s="1">
        <f t="shared" si="53"/>
        <v>9.4827586206896547E-2</v>
      </c>
      <c r="DV6" s="1">
        <f t="shared" si="54"/>
        <v>-3.398549376490275</v>
      </c>
      <c r="DW6" s="1">
        <f t="shared" si="55"/>
        <v>3.398549376490275</v>
      </c>
      <c r="DX6" s="1">
        <f t="shared" si="56"/>
        <v>0.32227623397752608</v>
      </c>
      <c r="DY6" s="18">
        <v>2.5960000000000001</v>
      </c>
      <c r="DZ6" s="33" t="s">
        <v>419</v>
      </c>
      <c r="EA6" s="43">
        <v>2.6</v>
      </c>
      <c r="EB6" s="22">
        <v>2.71</v>
      </c>
      <c r="EC6">
        <f>COUNTIFS($DY$2:$DY$117,"&gt;=2.6",$DY$2:$DY$117,"&lt;=2.71")</f>
        <v>16</v>
      </c>
      <c r="ED6" s="1">
        <f t="shared" si="57"/>
        <v>0.1415929203539823</v>
      </c>
      <c r="EE6" s="1">
        <f t="shared" si="58"/>
        <v>-2.8201789624151878</v>
      </c>
      <c r="EF6" s="1">
        <f t="shared" si="59"/>
        <v>2.8201789624151878</v>
      </c>
      <c r="EG6" s="1">
        <f t="shared" si="60"/>
        <v>0.39931737520923011</v>
      </c>
      <c r="EH6" s="16">
        <v>34.6</v>
      </c>
      <c r="EI6" s="33" t="s">
        <v>419</v>
      </c>
      <c r="EJ6" s="43">
        <v>32.5</v>
      </c>
      <c r="EK6" s="22">
        <v>36.409999999999997</v>
      </c>
      <c r="EL6">
        <f>COUNTIFS($EH$2:$EH$117,"&gt;=32.5",$EH$2:$EH$117,"&lt;=36.41")</f>
        <v>23</v>
      </c>
      <c r="EM6" s="1">
        <f t="shared" si="61"/>
        <v>0.22115384615384615</v>
      </c>
      <c r="EN6" s="1">
        <f t="shared" si="62"/>
        <v>-2.1768777620840796</v>
      </c>
      <c r="EO6" s="1">
        <f t="shared" si="63"/>
        <v>2.1768777620840796</v>
      </c>
      <c r="EP6" s="1">
        <f t="shared" si="64"/>
        <v>0.48142488969167141</v>
      </c>
      <c r="EQ6" s="18">
        <v>1.8497109826589597</v>
      </c>
      <c r="ER6" s="33" t="s">
        <v>419</v>
      </c>
      <c r="ES6" s="43">
        <v>1.2</v>
      </c>
      <c r="ET6" s="22">
        <v>1.42</v>
      </c>
      <c r="EU6">
        <f>COUNTIFS($EQ$2:$EQ$117,"&gt;=1.2",$EQ$2:$EQ$117,"&lt;=1.42")</f>
        <v>26</v>
      </c>
      <c r="EV6" s="1">
        <f t="shared" si="65"/>
        <v>0.23008849557522124</v>
      </c>
      <c r="EW6" s="1">
        <f t="shared" si="66"/>
        <v>-2.1197392442740957</v>
      </c>
      <c r="EX6" s="1">
        <f t="shared" si="67"/>
        <v>2.1197392442740957</v>
      </c>
      <c r="EY6" s="1">
        <f t="shared" si="68"/>
        <v>0.48772761372678308</v>
      </c>
    </row>
    <row r="7" spans="1:155" ht="16" thickBot="1" x14ac:dyDescent="0.4">
      <c r="A7" s="16">
        <v>14</v>
      </c>
      <c r="B7" s="22">
        <v>18.61</v>
      </c>
      <c r="C7" s="39">
        <v>20.73</v>
      </c>
      <c r="D7">
        <f>COUNTIFS($A$2:$A$117,"&gt;=18.61",$A$2:$A$117,"&lt;=20.7")</f>
        <v>19</v>
      </c>
      <c r="E7" s="1">
        <f t="shared" si="0"/>
        <v>0.16379310344827586</v>
      </c>
      <c r="F7" s="1">
        <f t="shared" si="1"/>
        <v>-2.6100534816839867</v>
      </c>
      <c r="G7" s="1">
        <f t="shared" si="2"/>
        <v>2.6100534816839867</v>
      </c>
      <c r="H7" s="1">
        <f t="shared" si="69"/>
        <v>0.42750875993099779</v>
      </c>
      <c r="I7" s="16">
        <v>102</v>
      </c>
      <c r="J7" s="22">
        <v>108.11</v>
      </c>
      <c r="K7" s="39">
        <v>111.205</v>
      </c>
      <c r="L7">
        <f>COUNTIFS($I$2:$I$117,"&gt;=108.11",$I$2:$I$117,"&lt;=111.2")</f>
        <v>16</v>
      </c>
      <c r="M7" s="1">
        <f t="shared" si="3"/>
        <v>7.9207920792079209E-2</v>
      </c>
      <c r="N7" s="1">
        <f t="shared" si="4"/>
        <v>-3.6582114827517946</v>
      </c>
      <c r="O7" s="1">
        <f t="shared" si="5"/>
        <v>3.6582114827517946</v>
      </c>
      <c r="P7" s="1">
        <f t="shared" si="6"/>
        <v>0.2897593253664788</v>
      </c>
      <c r="Q7" s="16">
        <v>108</v>
      </c>
      <c r="R7" s="22">
        <v>113.61</v>
      </c>
      <c r="S7" s="39">
        <v>117.37</v>
      </c>
      <c r="T7">
        <f>COUNTIFS($Q$2:$Q$117,"&gt;=113.61",$Q$2:$Q$117,"&lt;117.4")</f>
        <v>21</v>
      </c>
      <c r="U7" s="1">
        <f t="shared" si="7"/>
        <v>0.19626168224299065</v>
      </c>
      <c r="V7" s="1">
        <f t="shared" si="8"/>
        <v>-2.3491495636223867</v>
      </c>
      <c r="W7" s="1">
        <f t="shared" si="9"/>
        <v>2.3491495636223867</v>
      </c>
      <c r="X7" s="1">
        <f t="shared" si="10"/>
        <v>0.461048045196917</v>
      </c>
      <c r="Y7" s="16">
        <v>136</v>
      </c>
      <c r="Z7" s="22">
        <v>144.38</v>
      </c>
      <c r="AA7" s="39">
        <v>147.93</v>
      </c>
      <c r="AB7">
        <f>COUNTIFS($Y$2:$Y$117,"&gt;=144.38",$Y$2:$Y$117,"&lt;=147.9")</f>
        <v>37</v>
      </c>
      <c r="AC7" s="1">
        <f t="shared" si="11"/>
        <v>0.34905660377358488</v>
      </c>
      <c r="AD7" s="1">
        <f t="shared" si="12"/>
        <v>-1.5184670889342495</v>
      </c>
      <c r="AE7" s="1">
        <f t="shared" si="13"/>
        <v>1.5184670889342495</v>
      </c>
      <c r="AF7" s="1">
        <f t="shared" si="14"/>
        <v>0.53003096500535118</v>
      </c>
      <c r="AG7" s="16">
        <v>102.25999999999999</v>
      </c>
      <c r="AH7">
        <v>92.33</v>
      </c>
      <c r="AI7">
        <v>99.834999999999994</v>
      </c>
      <c r="AJ7">
        <f>COUNTIFS($AG$2:$AG$117,"&gt;=92.33",$AG$2:$AG$117,"&lt;=99.835")</f>
        <v>33</v>
      </c>
      <c r="AK7" s="1">
        <f t="shared" si="15"/>
        <v>0.29464285714285715</v>
      </c>
      <c r="AL7" s="1">
        <f t="shared" si="16"/>
        <v>-1.7629608026991508</v>
      </c>
      <c r="AM7" s="1">
        <f t="shared" si="17"/>
        <v>1.7629608026991508</v>
      </c>
      <c r="AN7" s="1">
        <f t="shared" si="18"/>
        <v>0.51944380793814271</v>
      </c>
      <c r="AO7" s="16">
        <v>20.5</v>
      </c>
      <c r="AP7" s="22">
        <v>15.2</v>
      </c>
      <c r="AQ7" s="39">
        <v>17.96</v>
      </c>
      <c r="AR7">
        <f>COUNTIFS($AO$2:$AO$117,"&gt;=15.2",$AO$2:$AO$117,"&lt;=18")</f>
        <v>26</v>
      </c>
      <c r="AS7" s="1">
        <f t="shared" si="19"/>
        <v>0.22222222222222221</v>
      </c>
      <c r="AT7" s="1">
        <f t="shared" si="20"/>
        <v>-2.1699250014423126</v>
      </c>
      <c r="AU7" s="1">
        <f t="shared" si="21"/>
        <v>2.1699250014423126</v>
      </c>
      <c r="AV7" s="1">
        <f t="shared" si="22"/>
        <v>0.48220555587606945</v>
      </c>
      <c r="AW7" s="16">
        <v>8.66</v>
      </c>
      <c r="AX7" s="22">
        <v>9.1</v>
      </c>
      <c r="AY7" s="39">
        <v>9.8650000000000002</v>
      </c>
      <c r="AZ7">
        <f>COUNTIFS($AW$2:$AW$117,"&gt;=9.1",$AW$2:$AW$117,"&lt;=9.9")</f>
        <v>15</v>
      </c>
      <c r="BA7" s="1">
        <f t="shared" si="23"/>
        <v>0.12195121951219512</v>
      </c>
      <c r="BB7" s="1">
        <f t="shared" si="24"/>
        <v>-3.0356239097307216</v>
      </c>
      <c r="BC7" s="1">
        <f t="shared" si="25"/>
        <v>3.0356239097307216</v>
      </c>
      <c r="BD7" s="1">
        <f t="shared" si="26"/>
        <v>0.37019803777203919</v>
      </c>
      <c r="BE7" s="16">
        <v>11.620000000000001</v>
      </c>
      <c r="BF7" s="33" t="s">
        <v>420</v>
      </c>
      <c r="BG7" s="22">
        <v>12.31</v>
      </c>
      <c r="BH7" s="39">
        <v>13.38</v>
      </c>
      <c r="BI7">
        <f>COUNTIFS($BE$2:$BE$117,"&gt;=12.31",$BE$2:$BE$117,"&lt;=13.4")</f>
        <v>22</v>
      </c>
      <c r="BJ7" s="1">
        <f t="shared" si="27"/>
        <v>0.19130434782608696</v>
      </c>
      <c r="BK7" s="1">
        <f t="shared" si="28"/>
        <v>-2.3860584323070779</v>
      </c>
      <c r="BL7" s="1">
        <f t="shared" si="29"/>
        <v>2.3860584323070779</v>
      </c>
      <c r="BM7" s="1">
        <f t="shared" si="30"/>
        <v>0.456463352267441</v>
      </c>
      <c r="BN7" s="16">
        <v>0.6</v>
      </c>
      <c r="BO7" s="33" t="s">
        <v>420</v>
      </c>
      <c r="BP7" s="22">
        <v>1.04</v>
      </c>
      <c r="BQ7" s="39">
        <v>1.145</v>
      </c>
      <c r="BR7">
        <f>COUNTIFS($BN$2:$BN$117,"&gt;=1.04",$BN$2:$BN$117,"&lt;=1.1")</f>
        <v>19</v>
      </c>
      <c r="BS7" s="1">
        <f t="shared" si="31"/>
        <v>0.13768115942028986</v>
      </c>
      <c r="BT7" s="1">
        <f t="shared" si="32"/>
        <v>-2.8605969433345835</v>
      </c>
      <c r="BU7" s="1">
        <f t="shared" si="33"/>
        <v>2.8605969433345835</v>
      </c>
      <c r="BV7" s="1">
        <f t="shared" si="34"/>
        <v>0.39385030379244268</v>
      </c>
      <c r="BW7" s="16">
        <v>11</v>
      </c>
      <c r="BX7" s="33" t="s">
        <v>420</v>
      </c>
      <c r="BY7" s="22">
        <v>8.2899999999999991</v>
      </c>
      <c r="BZ7" s="39">
        <v>10.1</v>
      </c>
      <c r="CA7">
        <f>COUNTIFS($BW$2:$BW$117,"&gt;=8.29",$BW$2:$BW$117,"&lt;=10.1")</f>
        <v>15</v>
      </c>
      <c r="CB7" s="1">
        <f t="shared" si="35"/>
        <v>0.13761467889908258</v>
      </c>
      <c r="CC7" s="1">
        <f t="shared" si="36"/>
        <v>-2.8612937291684077</v>
      </c>
      <c r="CD7" s="1">
        <f t="shared" si="37"/>
        <v>2.8612937291684077</v>
      </c>
      <c r="CE7" s="1">
        <f t="shared" si="70"/>
        <v>0.39375601777546898</v>
      </c>
      <c r="CF7" s="16">
        <v>10</v>
      </c>
      <c r="CG7" s="33" t="s">
        <v>420</v>
      </c>
      <c r="CH7" s="22">
        <v>9.44</v>
      </c>
      <c r="CI7" s="39">
        <v>9.8949999999999996</v>
      </c>
      <c r="CJ7">
        <f>COUNTIFS($CF$2:$CF$117,"&gt;=9.44",$CF$2:$CF$117,"&lt;=9.9")</f>
        <v>9</v>
      </c>
      <c r="CK7" s="1">
        <f t="shared" si="38"/>
        <v>6.0402684563758392E-2</v>
      </c>
      <c r="CL7" s="1">
        <f t="shared" si="39"/>
        <v>-4.049243519019849</v>
      </c>
      <c r="CM7" s="1">
        <f t="shared" si="40"/>
        <v>4.049243519019849</v>
      </c>
      <c r="CN7" s="1">
        <f t="shared" si="41"/>
        <v>0.24458517900119894</v>
      </c>
      <c r="CO7" s="16">
        <v>3</v>
      </c>
      <c r="CP7" s="33" t="s">
        <v>420</v>
      </c>
      <c r="CQ7" s="22">
        <v>2.91</v>
      </c>
      <c r="CR7" s="39">
        <v>3.105</v>
      </c>
      <c r="CS7">
        <f>COUNTIFS($CO$2:$CO$117,"&gt;=2.91",$CO$2:$CO$117,"&lt;=3.1")</f>
        <v>67</v>
      </c>
      <c r="CT7" s="1">
        <f t="shared" si="42"/>
        <v>0.5982142857142857</v>
      </c>
      <c r="CU7" s="1">
        <f t="shared" si="43"/>
        <v>-0.74126573159983178</v>
      </c>
      <c r="CV7" s="1">
        <f t="shared" si="44"/>
        <v>0.74126573159983178</v>
      </c>
      <c r="CW7" s="1">
        <f t="shared" si="45"/>
        <v>0.44343575015347081</v>
      </c>
      <c r="CX7" s="16">
        <v>39</v>
      </c>
      <c r="CY7" s="33" t="s">
        <v>420</v>
      </c>
      <c r="CZ7" s="22">
        <v>40.96</v>
      </c>
      <c r="DA7" s="39">
        <v>44.31</v>
      </c>
      <c r="DB7">
        <f>COUNTIFS($CX$2:$CX$117,"&gt;=40.96",$CX$2:$CX$117,"&lt;=44.3")</f>
        <v>25</v>
      </c>
      <c r="DC7" s="1">
        <f t="shared" si="46"/>
        <v>0.21367521367521367</v>
      </c>
      <c r="DD7" s="1">
        <f t="shared" si="47"/>
        <v>-2.22650852980868</v>
      </c>
      <c r="DE7" s="1">
        <f t="shared" si="48"/>
        <v>2.22650852980868</v>
      </c>
      <c r="DF7" s="1">
        <f t="shared" si="71"/>
        <v>0.47574968585655553</v>
      </c>
      <c r="DG7" s="18">
        <v>5.7179999999999991</v>
      </c>
      <c r="DH7" s="33" t="s">
        <v>420</v>
      </c>
      <c r="DI7" s="22">
        <v>5.96</v>
      </c>
      <c r="DJ7" s="39">
        <v>6.1950000000000003</v>
      </c>
      <c r="DK7">
        <f>COUNTIFS($DG$2:$DG$117,"&gt;=5.96",$DG$2:$DG$117,"&lt;=6.2")</f>
        <v>17</v>
      </c>
      <c r="DL7" s="1">
        <f t="shared" si="49"/>
        <v>0.14912280701754385</v>
      </c>
      <c r="DM7" s="1">
        <f t="shared" si="50"/>
        <v>-2.7454271729144026</v>
      </c>
      <c r="DN7" s="1">
        <f t="shared" si="51"/>
        <v>2.7454271729144026</v>
      </c>
      <c r="DO7" s="1">
        <f t="shared" si="52"/>
        <v>0.40940580648723546</v>
      </c>
      <c r="DP7" s="18">
        <v>3.2619999999999996</v>
      </c>
      <c r="DQ7" s="33" t="s">
        <v>420</v>
      </c>
      <c r="DR7" s="22">
        <v>3.23</v>
      </c>
      <c r="DS7" s="39">
        <v>3.38</v>
      </c>
      <c r="DT7">
        <f>COUNTIFS($DP$2:$DP$117,"&gt;=3.23",$DP$2:$DP$117,"&lt;=3.4")</f>
        <v>25</v>
      </c>
      <c r="DU7" s="1">
        <f t="shared" si="53"/>
        <v>0.21551724137931033</v>
      </c>
      <c r="DV7" s="1">
        <f t="shared" si="54"/>
        <v>-2.2141248053528475</v>
      </c>
      <c r="DW7" s="1">
        <f t="shared" si="55"/>
        <v>2.2141248053528475</v>
      </c>
      <c r="DX7" s="1">
        <f t="shared" si="56"/>
        <v>0.47718207011914815</v>
      </c>
      <c r="DY7" s="18">
        <v>2.6700000000000004</v>
      </c>
      <c r="DZ7" s="33" t="s">
        <v>420</v>
      </c>
      <c r="EA7" s="22">
        <v>2.71</v>
      </c>
      <c r="EB7" s="39">
        <v>2.84</v>
      </c>
      <c r="EC7">
        <f>COUNTIFS($DY$2:$DY$117,"&gt;=2.71",$DY$2:$DY$117,"&lt;=2.8")</f>
        <v>13</v>
      </c>
      <c r="ED7" s="1">
        <f t="shared" si="57"/>
        <v>0.11504424778761062</v>
      </c>
      <c r="EE7" s="1">
        <f t="shared" si="58"/>
        <v>-3.1197392442740952</v>
      </c>
      <c r="EF7" s="1">
        <f t="shared" si="59"/>
        <v>3.1197392442740952</v>
      </c>
      <c r="EG7" s="1">
        <f t="shared" si="60"/>
        <v>0.35890805465100212</v>
      </c>
      <c r="EH7" s="16">
        <v>33.5</v>
      </c>
      <c r="EI7" s="33" t="s">
        <v>420</v>
      </c>
      <c r="EJ7" s="22">
        <v>36.409999999999997</v>
      </c>
      <c r="EK7" s="39">
        <v>40.324999999999996</v>
      </c>
      <c r="EL7">
        <f>COUNTIFS($EH$2:$EH$117,"&gt;=36.41",$EH$2:$EH$117,"&lt;=40.3")</f>
        <v>21</v>
      </c>
      <c r="EM7" s="1">
        <f t="shared" si="61"/>
        <v>0.20192307692307693</v>
      </c>
      <c r="EN7" s="1">
        <f t="shared" si="62"/>
        <v>-2.3081222953623319</v>
      </c>
      <c r="EO7" s="1">
        <f t="shared" si="63"/>
        <v>2.3081222953623319</v>
      </c>
      <c r="EP7" s="1">
        <f t="shared" si="64"/>
        <v>0.46606315579431701</v>
      </c>
      <c r="EQ7" s="18">
        <v>1.883442517662171</v>
      </c>
      <c r="ER7" s="33" t="s">
        <v>420</v>
      </c>
      <c r="ES7" s="22">
        <v>1.42</v>
      </c>
      <c r="ET7" s="39">
        <v>1.6549999999999998</v>
      </c>
      <c r="EU7">
        <f>COUNTIFS($EQ$2:$EQ$117,"&gt;=1.42",$EQ$2:$EQ$117,"&lt;=1.7")</f>
        <v>22</v>
      </c>
      <c r="EV7" s="1">
        <f t="shared" si="65"/>
        <v>0.19469026548672566</v>
      </c>
      <c r="EW7" s="1">
        <f t="shared" si="66"/>
        <v>-2.3607473437778905</v>
      </c>
      <c r="EX7" s="1">
        <f t="shared" si="67"/>
        <v>2.3607473437778905</v>
      </c>
      <c r="EY7" s="1">
        <f t="shared" si="68"/>
        <v>0.45961452710719991</v>
      </c>
    </row>
    <row r="8" spans="1:155" ht="15.5" x14ac:dyDescent="0.35">
      <c r="A8" s="16">
        <v>15</v>
      </c>
      <c r="B8" s="39">
        <v>20.7</v>
      </c>
      <c r="C8" s="39">
        <v>22.85</v>
      </c>
      <c r="D8">
        <f>COUNTIFS($A$2:$A$117,"&gt;=20.7",$A$2:$A$117,"&lt;=22.9")</f>
        <v>6</v>
      </c>
      <c r="E8" s="1">
        <f t="shared" si="0"/>
        <v>5.1724137931034482E-2</v>
      </c>
      <c r="F8" s="1">
        <f t="shared" si="1"/>
        <v>-4.2730184944064158</v>
      </c>
      <c r="G8" s="1">
        <f t="shared" si="2"/>
        <v>4.2730184944064158</v>
      </c>
      <c r="H8" s="1">
        <f t="shared" si="69"/>
        <v>0.22101819798653874</v>
      </c>
      <c r="I8" s="16">
        <v>111</v>
      </c>
      <c r="J8" s="39">
        <v>11.2</v>
      </c>
      <c r="K8" s="39">
        <v>114.3</v>
      </c>
      <c r="L8">
        <f>COUNTIFS($I$2:$I$117,"&gt;=11.2",$I$2:$I$117,"&lt;=114.3")</f>
        <v>103</v>
      </c>
      <c r="M8" s="1">
        <f t="shared" si="3"/>
        <v>0.50990099009900991</v>
      </c>
      <c r="N8" s="1">
        <f t="shared" si="4"/>
        <v>-0.97171095556857645</v>
      </c>
      <c r="O8" s="1">
        <f t="shared" si="5"/>
        <v>0.97171095556857645</v>
      </c>
      <c r="P8" s="1">
        <f t="shared" si="6"/>
        <v>0.49547637833447217</v>
      </c>
      <c r="Q8" s="16">
        <v>117</v>
      </c>
      <c r="R8" s="39">
        <v>117.4</v>
      </c>
      <c r="S8" s="39">
        <v>121.13</v>
      </c>
      <c r="T8">
        <f>COUNTIFS($Q$2:$Q$117,"&gt;=117.4",$Q$2:$Q$117,"&lt;121.1")</f>
        <v>0</v>
      </c>
      <c r="U8" s="1">
        <f t="shared" si="7"/>
        <v>0</v>
      </c>
      <c r="V8" s="1" t="e">
        <f t="shared" si="8"/>
        <v>#NUM!</v>
      </c>
      <c r="W8" s="1" t="e">
        <f t="shared" si="9"/>
        <v>#NUM!</v>
      </c>
      <c r="X8" s="1"/>
      <c r="Y8" s="16">
        <v>146</v>
      </c>
      <c r="Z8" s="39">
        <v>147.9</v>
      </c>
      <c r="AA8" s="39">
        <v>151.47999999999999</v>
      </c>
      <c r="AB8">
        <f>COUNTIFS($Y$2:$Y$117,"&gt;=147.9",$Y$2:$Y$117,"&lt;=151.5")</f>
        <v>9</v>
      </c>
      <c r="AC8" s="1">
        <f t="shared" si="11"/>
        <v>8.4905660377358486E-2</v>
      </c>
      <c r="AD8" s="1">
        <f t="shared" si="12"/>
        <v>-3.5579954531208871</v>
      </c>
      <c r="AE8" s="1">
        <f t="shared" si="13"/>
        <v>3.5579954531208871</v>
      </c>
      <c r="AF8" s="1">
        <f t="shared" si="14"/>
        <v>0.30209395356686775</v>
      </c>
      <c r="AG8" s="16">
        <v>119.51999999999998</v>
      </c>
      <c r="AH8">
        <v>99.83</v>
      </c>
      <c r="AI8">
        <v>107.34</v>
      </c>
      <c r="AJ8">
        <f>COUNTIFS($AG$2:$AG$117,"&gt;=99.83",$AG$2:$AG$117,"&lt;=107.34")</f>
        <v>25</v>
      </c>
      <c r="AK8" s="1">
        <f t="shared" si="15"/>
        <v>0.22321428571428573</v>
      </c>
      <c r="AL8" s="1">
        <f t="shared" si="16"/>
        <v>-2.1634987322828794</v>
      </c>
      <c r="AM8" s="1">
        <f t="shared" si="17"/>
        <v>2.1634987322828794</v>
      </c>
      <c r="AN8" s="1">
        <f t="shared" si="18"/>
        <v>0.48292382417028562</v>
      </c>
      <c r="AO8" s="16">
        <v>17.3</v>
      </c>
      <c r="AP8" s="39">
        <v>18</v>
      </c>
      <c r="AQ8" s="39">
        <v>20.72</v>
      </c>
      <c r="AR8">
        <f>COUNTIFS($AO$2:$AO$117,"&gt;=18",$AO$2:$AO$117,"&lt;=20.7")</f>
        <v>23</v>
      </c>
      <c r="AS8" s="1">
        <f t="shared" si="19"/>
        <v>0.19658119658119658</v>
      </c>
      <c r="AT8" s="1">
        <f t="shared" si="20"/>
        <v>-2.3468027635263917</v>
      </c>
      <c r="AU8" s="1">
        <f t="shared" si="21"/>
        <v>2.3468027635263917</v>
      </c>
      <c r="AV8" s="1">
        <f t="shared" si="22"/>
        <v>0.46133729539407697</v>
      </c>
      <c r="AW8" s="16">
        <v>7.9</v>
      </c>
      <c r="AX8" s="39">
        <v>9.9</v>
      </c>
      <c r="AY8" s="39">
        <v>10.629999999999999</v>
      </c>
      <c r="AZ8">
        <f>COUNTIFS($AW$2:$AW$117,"&gt;=9.9",$AW$2:$AW$117,"&lt;=10.6")</f>
        <v>16</v>
      </c>
      <c r="BA8" s="1">
        <f t="shared" si="23"/>
        <v>0.13008130081300814</v>
      </c>
      <c r="BB8" s="1">
        <f t="shared" si="24"/>
        <v>-2.9425145053392403</v>
      </c>
      <c r="BC8" s="1">
        <f t="shared" si="25"/>
        <v>2.9425145053392403</v>
      </c>
      <c r="BD8" s="1">
        <f t="shared" si="26"/>
        <v>0.38276611451567355</v>
      </c>
      <c r="BE8" s="16">
        <v>11.6</v>
      </c>
      <c r="BF8" s="33" t="s">
        <v>421</v>
      </c>
      <c r="BG8" s="39">
        <v>13.4</v>
      </c>
      <c r="BH8" s="39">
        <v>14.450000000000001</v>
      </c>
      <c r="BI8">
        <f>COUNTIFS($BE$2:$BE$117,"&gt;=13.4",$BE$2:$BE$117,"&lt;=14.5")</f>
        <v>14</v>
      </c>
      <c r="BJ8" s="1">
        <f t="shared" si="27"/>
        <v>0.12173913043478261</v>
      </c>
      <c r="BK8" s="1">
        <f t="shared" si="28"/>
        <v>-3.0381351288867711</v>
      </c>
      <c r="BL8" s="1">
        <f t="shared" si="29"/>
        <v>3.0381351288867711</v>
      </c>
      <c r="BM8" s="1">
        <f t="shared" si="30"/>
        <v>0.36985992873404172</v>
      </c>
      <c r="BN8" s="16">
        <v>0.7</v>
      </c>
      <c r="BO8" s="33" t="s">
        <v>421</v>
      </c>
      <c r="BP8" s="39">
        <v>1.1000000000000001</v>
      </c>
      <c r="BQ8" s="39">
        <v>1.25</v>
      </c>
      <c r="BR8">
        <f>COUNTIFS($BN$2:$BN$117,"&gt;=1.1",$BN$2:$BN$117,"&lt;=1.3")</f>
        <v>24</v>
      </c>
      <c r="BS8" s="1">
        <f t="shared" si="31"/>
        <v>0.17391304347826086</v>
      </c>
      <c r="BT8" s="1">
        <f t="shared" si="32"/>
        <v>-2.5235619560570131</v>
      </c>
      <c r="BU8" s="1">
        <f t="shared" si="33"/>
        <v>2.5235619560570131</v>
      </c>
      <c r="BV8" s="1">
        <f t="shared" si="34"/>
        <v>0.43888034018382832</v>
      </c>
      <c r="BW8" s="16">
        <v>8</v>
      </c>
      <c r="BX8" s="33" t="s">
        <v>421</v>
      </c>
      <c r="BY8" s="39">
        <v>10.1</v>
      </c>
      <c r="BZ8" s="39">
        <v>11.91</v>
      </c>
      <c r="CA8">
        <f>COUNTIFS($BW$2:$BW$117,"&gt;=10.1",$BW$2:$BW$117,"&lt;=11.9")</f>
        <v>7</v>
      </c>
      <c r="CB8" s="1">
        <f t="shared" si="35"/>
        <v>6.4220183486238536E-2</v>
      </c>
      <c r="CC8" s="1">
        <f t="shared" si="36"/>
        <v>-3.9608294027193223</v>
      </c>
      <c r="CD8" s="1">
        <f t="shared" si="37"/>
        <v>3.9608294027193223</v>
      </c>
      <c r="CE8" s="1">
        <f t="shared" si="70"/>
        <v>0.25436519100032345</v>
      </c>
      <c r="CF8" s="16">
        <v>10</v>
      </c>
      <c r="CG8" s="33" t="s">
        <v>421</v>
      </c>
      <c r="CH8" s="39">
        <v>9.9</v>
      </c>
      <c r="CI8" s="39">
        <v>10.35</v>
      </c>
      <c r="CJ8">
        <f>COUNTIFS($CF$2:$CF$117,"&gt;=9.9",$CF$2:$CF$117,"&lt;=10.4")</f>
        <v>35</v>
      </c>
      <c r="CK8" s="1">
        <f t="shared" si="38"/>
        <v>0.2348993288590604</v>
      </c>
      <c r="CL8" s="1">
        <f t="shared" si="39"/>
        <v>-2.0898855035171953</v>
      </c>
      <c r="CM8" s="1">
        <f t="shared" si="40"/>
        <v>2.0898855035171953</v>
      </c>
      <c r="CN8" s="1">
        <f t="shared" si="41"/>
        <v>0.49091270216846866</v>
      </c>
      <c r="CO8" s="16">
        <v>3</v>
      </c>
      <c r="CP8" s="33" t="s">
        <v>421</v>
      </c>
      <c r="CQ8" s="39">
        <v>3.1</v>
      </c>
      <c r="CR8" s="39">
        <v>3.3000000000000003</v>
      </c>
      <c r="CS8">
        <f>COUNTIFS($CO$2:$CO$117,"&gt;=3.1",$CO$2:$CO$117,"&lt;=3.3")</f>
        <v>9</v>
      </c>
      <c r="CT8" s="1">
        <f t="shared" si="42"/>
        <v>8.0357142857142863E-2</v>
      </c>
      <c r="CU8" s="1">
        <f t="shared" si="43"/>
        <v>-3.6374299206152916</v>
      </c>
      <c r="CV8" s="1">
        <f t="shared" si="44"/>
        <v>3.6374299206152916</v>
      </c>
      <c r="CW8" s="1">
        <f t="shared" si="45"/>
        <v>0.29229347576372883</v>
      </c>
      <c r="CX8" s="16">
        <v>55</v>
      </c>
      <c r="CY8" s="33" t="s">
        <v>421</v>
      </c>
      <c r="CZ8" s="39">
        <v>44.3</v>
      </c>
      <c r="DA8" s="39">
        <v>47.660000000000004</v>
      </c>
      <c r="DB8">
        <f>COUNTIFS($CX$2:$CX$117,"&gt;=44.3",$CX$2:$CX$117,"&lt;=47.7")</f>
        <v>16</v>
      </c>
      <c r="DC8" s="1">
        <f t="shared" si="46"/>
        <v>0.13675213675213677</v>
      </c>
      <c r="DD8" s="1">
        <f t="shared" si="47"/>
        <v>-2.8703647195834043</v>
      </c>
      <c r="DE8" s="1">
        <f t="shared" si="48"/>
        <v>2.8703647195834043</v>
      </c>
      <c r="DF8" s="1">
        <f t="shared" si="71"/>
        <v>0.39252850866097844</v>
      </c>
      <c r="DG8" s="18">
        <v>5.59</v>
      </c>
      <c r="DH8" s="33" t="s">
        <v>421</v>
      </c>
      <c r="DI8" s="39">
        <v>6.2</v>
      </c>
      <c r="DJ8" s="39">
        <v>6.43</v>
      </c>
      <c r="DK8">
        <f>COUNTIFS($DG$2:$DG$117,"&gt;=6.2",$DG$2:$DG$117,"&lt;=6.4")</f>
        <v>14</v>
      </c>
      <c r="DL8" s="1">
        <f t="shared" si="49"/>
        <v>0.12280701754385964</v>
      </c>
      <c r="DM8" s="1">
        <f t="shared" si="50"/>
        <v>-3.0255350921071376</v>
      </c>
      <c r="DN8" s="1">
        <f t="shared" si="51"/>
        <v>3.0255350921071376</v>
      </c>
      <c r="DO8" s="1">
        <f t="shared" si="52"/>
        <v>0.37155694113596421</v>
      </c>
      <c r="DP8" s="18">
        <v>3.2380000000000004</v>
      </c>
      <c r="DQ8" s="33" t="s">
        <v>421</v>
      </c>
      <c r="DR8" s="39">
        <v>3.4</v>
      </c>
      <c r="DS8" s="39">
        <v>3.53</v>
      </c>
      <c r="DT8">
        <f>COUNTIFS($DP$2:$DP$117,"&gt;=3.4",$DP$2:$DP$117,"&lt;=3.5")</f>
        <v>18</v>
      </c>
      <c r="DU8" s="1">
        <f t="shared" si="53"/>
        <v>0.15517241379310345</v>
      </c>
      <c r="DV8" s="1">
        <f t="shared" si="54"/>
        <v>-2.6880559936852597</v>
      </c>
      <c r="DW8" s="1">
        <f t="shared" si="55"/>
        <v>2.6880559936852597</v>
      </c>
      <c r="DX8" s="1">
        <f t="shared" si="56"/>
        <v>0.41711213695116101</v>
      </c>
      <c r="DY8" s="18">
        <v>2.8860000000000001</v>
      </c>
      <c r="DZ8" s="33" t="s">
        <v>421</v>
      </c>
      <c r="EA8" s="39">
        <v>2.8</v>
      </c>
      <c r="EB8" s="39">
        <v>2.9699999999999998</v>
      </c>
      <c r="EC8">
        <f>COUNTIFS($DY$2:$DY$117,"&gt;=2.8",$DY$2:$DY$117,"&lt;=3")</f>
        <v>28</v>
      </c>
      <c r="ED8" s="1">
        <f t="shared" si="57"/>
        <v>0.24778761061946902</v>
      </c>
      <c r="EE8" s="1">
        <f t="shared" si="58"/>
        <v>-2.0128240403575837</v>
      </c>
      <c r="EF8" s="1">
        <f t="shared" si="59"/>
        <v>2.0128240403575837</v>
      </c>
      <c r="EG8" s="1">
        <f t="shared" si="60"/>
        <v>0.49875285955763132</v>
      </c>
      <c r="EH8" s="16">
        <v>37.1</v>
      </c>
      <c r="EI8" s="33" t="s">
        <v>421</v>
      </c>
      <c r="EJ8" s="39">
        <v>40.299999999999997</v>
      </c>
      <c r="EK8" s="39">
        <v>44.239999999999995</v>
      </c>
      <c r="EL8">
        <f>COUNTIFS($EH$2:$EH$117,"&gt;=43.3",$EH$2:$EH$117,"&lt;=44.2")</f>
        <v>2</v>
      </c>
      <c r="EM8" s="1">
        <f t="shared" si="61"/>
        <v>1.9230769230769232E-2</v>
      </c>
      <c r="EN8" s="1">
        <f t="shared" si="62"/>
        <v>-5.7004397181410917</v>
      </c>
      <c r="EO8" s="1">
        <f t="shared" si="63"/>
        <v>5.7004397181410917</v>
      </c>
      <c r="EP8" s="1">
        <f t="shared" si="64"/>
        <v>0.10962384073348254</v>
      </c>
      <c r="EQ8" s="18">
        <v>1.2732562620423895</v>
      </c>
      <c r="ER8" s="33" t="s">
        <v>421</v>
      </c>
      <c r="ES8" s="39">
        <v>1.7</v>
      </c>
      <c r="ET8" s="39">
        <v>1.89</v>
      </c>
      <c r="EU8">
        <f>COUNTIFS($EQ$2:$EQ$117,"&gt;=1.7",$EQ$2:$EQ$117,"&lt;=1.9")</f>
        <v>12</v>
      </c>
      <c r="EV8" s="1">
        <f t="shared" si="65"/>
        <v>0.10619469026548672</v>
      </c>
      <c r="EW8" s="1">
        <f t="shared" si="66"/>
        <v>-3.2352164616940318</v>
      </c>
      <c r="EX8" s="1">
        <f t="shared" si="67"/>
        <v>3.2352164616940318</v>
      </c>
      <c r="EY8" s="1">
        <f t="shared" si="68"/>
        <v>0.3435628100914016</v>
      </c>
    </row>
    <row r="9" spans="1:155" ht="15.5" x14ac:dyDescent="0.35">
      <c r="A9" s="16">
        <v>14</v>
      </c>
      <c r="B9" s="39">
        <v>22.9</v>
      </c>
      <c r="C9" s="39">
        <v>24.97</v>
      </c>
      <c r="D9">
        <f>COUNTIFS($A$2:$A$117,"&gt;=22.9",$A$2:$A$117,"&lt;=25")</f>
        <v>0</v>
      </c>
      <c r="E9" s="1">
        <f t="shared" si="0"/>
        <v>0</v>
      </c>
      <c r="F9" s="1" t="e">
        <f t="shared" si="1"/>
        <v>#NUM!</v>
      </c>
      <c r="G9" s="1" t="e">
        <f t="shared" si="2"/>
        <v>#NUM!</v>
      </c>
      <c r="H9" s="1"/>
      <c r="I9" s="16">
        <v>102</v>
      </c>
      <c r="J9" s="39">
        <v>114.3</v>
      </c>
      <c r="K9" s="39">
        <v>117.395</v>
      </c>
      <c r="L9">
        <f>COUNTIFS($I$2:$I$117,"&gt;=114.3",$I$2:$I$117,"&lt;=117.4")</f>
        <v>2</v>
      </c>
      <c r="M9" s="1">
        <f t="shared" si="3"/>
        <v>9.9009900990099011E-3</v>
      </c>
      <c r="N9" s="1">
        <f t="shared" si="4"/>
        <v>-6.6582114827517955</v>
      </c>
      <c r="O9" s="1">
        <f t="shared" si="5"/>
        <v>6.6582114827517955</v>
      </c>
      <c r="P9" s="1">
        <f t="shared" si="6"/>
        <v>6.5922885967839559E-2</v>
      </c>
      <c r="Q9" s="16">
        <v>109</v>
      </c>
      <c r="R9" s="39">
        <v>121.1</v>
      </c>
      <c r="S9" s="39">
        <v>124.89</v>
      </c>
      <c r="T9">
        <f>COUNTIFS($Q$2:$Q$117,"&gt;=121.1",$Q$2:$Q$117,"&lt;124.9")</f>
        <v>1</v>
      </c>
      <c r="U9" s="1">
        <f t="shared" si="7"/>
        <v>9.3457943925233638E-3</v>
      </c>
      <c r="V9" s="1">
        <f t="shared" si="8"/>
        <v>-6.7414669864011483</v>
      </c>
      <c r="W9" s="1">
        <f t="shared" si="9"/>
        <v>6.7414669864011483</v>
      </c>
      <c r="X9" s="1">
        <f t="shared" si="10"/>
        <v>6.3004364358889231E-2</v>
      </c>
      <c r="Y9" s="16">
        <v>132</v>
      </c>
      <c r="Z9" s="39">
        <v>151.5</v>
      </c>
      <c r="AA9" s="39">
        <v>155.03</v>
      </c>
      <c r="AB9">
        <f>COUNTIFS($Y$2:$Y$117,"&gt;=151.5",$Y$2:$Y$117,"&lt;=155")</f>
        <v>0</v>
      </c>
      <c r="AC9" s="1">
        <f t="shared" si="11"/>
        <v>0</v>
      </c>
      <c r="AD9" s="1" t="e">
        <f t="shared" si="12"/>
        <v>#NUM!</v>
      </c>
      <c r="AE9" s="1" t="e">
        <f t="shared" si="13"/>
        <v>#NUM!</v>
      </c>
      <c r="AF9" s="1"/>
      <c r="AG9" s="16">
        <v>100.7</v>
      </c>
      <c r="AH9">
        <v>107.34</v>
      </c>
      <c r="AI9">
        <v>114.845</v>
      </c>
      <c r="AJ9">
        <f>COUNTIFS($AG$2:$AG$117,"&gt;=107.34",$AG$2:$AG$117,"&lt;=114.845")</f>
        <v>3</v>
      </c>
      <c r="AK9" s="1">
        <f t="shared" si="15"/>
        <v>2.6785714285714284E-2</v>
      </c>
      <c r="AL9" s="1">
        <f t="shared" si="16"/>
        <v>-5.2223924213364485</v>
      </c>
      <c r="AM9" s="1">
        <f t="shared" si="17"/>
        <v>5.2223924213364485</v>
      </c>
      <c r="AN9" s="1">
        <f t="shared" si="18"/>
        <v>0.13988551128579771</v>
      </c>
      <c r="AO9" s="16">
        <v>16.600000000000001</v>
      </c>
      <c r="AP9" s="39">
        <v>20.7</v>
      </c>
      <c r="AQ9" s="39">
        <v>23.479999999999997</v>
      </c>
      <c r="AR9">
        <f>COUNTIFS($AO$2:$AO$117,"&gt;=20.7",$AO$2:$AO$117,"&lt;=23.5")</f>
        <v>8</v>
      </c>
      <c r="AS9" s="1">
        <f t="shared" si="19"/>
        <v>6.8376068376068383E-2</v>
      </c>
      <c r="AT9" s="1">
        <f t="shared" si="20"/>
        <v>-3.8703647195834043</v>
      </c>
      <c r="AU9" s="1">
        <f t="shared" si="21"/>
        <v>3.8703647195834043</v>
      </c>
      <c r="AV9" s="1">
        <f t="shared" si="22"/>
        <v>0.26464032270655757</v>
      </c>
      <c r="AW9" s="16">
        <v>9.6999999999999993</v>
      </c>
      <c r="AX9" s="39">
        <v>10.6</v>
      </c>
      <c r="AY9" s="39">
        <v>11.395</v>
      </c>
      <c r="AZ9">
        <f>COUNTIFS($AW$2:$AW$117,"&gt;=10.6",$AW$2:$AW$117,"&lt;=11.4")</f>
        <v>10</v>
      </c>
      <c r="BA9" s="1">
        <f t="shared" si="23"/>
        <v>8.1300813008130079E-2</v>
      </c>
      <c r="BB9" s="1">
        <f t="shared" si="24"/>
        <v>-3.6205864104518781</v>
      </c>
      <c r="BC9" s="1">
        <f t="shared" si="25"/>
        <v>3.6205864104518781</v>
      </c>
      <c r="BD9" s="1">
        <f t="shared" si="26"/>
        <v>0.29435661873592506</v>
      </c>
      <c r="BE9" s="16">
        <v>12.120000000000001</v>
      </c>
      <c r="BF9" s="33" t="s">
        <v>422</v>
      </c>
      <c r="BG9" s="39">
        <v>14.5</v>
      </c>
      <c r="BH9" s="39">
        <v>15.52</v>
      </c>
      <c r="BI9">
        <f>COUNTIFS($BE$2:$BE$117,"&gt;=14.5",$BE$2:$BE$117,"&lt;=15.5")</f>
        <v>8</v>
      </c>
      <c r="BJ9" s="1">
        <f t="shared" si="27"/>
        <v>6.9565217391304349E-2</v>
      </c>
      <c r="BK9" s="1">
        <f t="shared" si="28"/>
        <v>-3.8454900509443752</v>
      </c>
      <c r="BL9" s="1">
        <f t="shared" si="29"/>
        <v>3.8454900509443752</v>
      </c>
      <c r="BM9" s="1">
        <f t="shared" si="30"/>
        <v>0.26751235137004348</v>
      </c>
      <c r="BN9" s="16">
        <v>1.1400000000000001</v>
      </c>
      <c r="BO9" s="33" t="s">
        <v>422</v>
      </c>
      <c r="BP9" s="39">
        <v>1.3</v>
      </c>
      <c r="BQ9" s="39">
        <v>1.355</v>
      </c>
      <c r="BR9">
        <f>COUNTIFS($BN$2:$BN$117,"&gt;=1.3",$BN$2:$BN$117,"&lt;=1.4")</f>
        <v>12</v>
      </c>
      <c r="BS9" s="1">
        <f t="shared" si="31"/>
        <v>8.6956521739130432E-2</v>
      </c>
      <c r="BT9" s="1">
        <f t="shared" si="32"/>
        <v>-3.5235619560570131</v>
      </c>
      <c r="BU9" s="1">
        <f t="shared" si="33"/>
        <v>3.5235619560570131</v>
      </c>
      <c r="BV9" s="1">
        <f t="shared" si="34"/>
        <v>0.30639669183104462</v>
      </c>
      <c r="BW9" s="16">
        <v>14</v>
      </c>
      <c r="BX9" s="33" t="s">
        <v>422</v>
      </c>
      <c r="BY9" s="39">
        <v>11.9</v>
      </c>
      <c r="BZ9" s="39">
        <v>13.719999999999999</v>
      </c>
      <c r="CA9">
        <f>COUNTIFS($BW$2:$BW$117,"&gt;=11.9",$BW$2:$BW$117,"&lt;=13.7")</f>
        <v>5</v>
      </c>
      <c r="CB9" s="1">
        <f t="shared" si="35"/>
        <v>4.5871559633027525E-2</v>
      </c>
      <c r="CC9" s="1">
        <f t="shared" si="36"/>
        <v>-4.4462562298895643</v>
      </c>
      <c r="CD9" s="1">
        <f t="shared" si="37"/>
        <v>4.4462562298895643</v>
      </c>
      <c r="CE9" s="1">
        <f t="shared" si="70"/>
        <v>0.2039567077930993</v>
      </c>
      <c r="CF9" s="16">
        <v>10</v>
      </c>
      <c r="CG9" s="33" t="s">
        <v>422</v>
      </c>
      <c r="CH9" s="39">
        <v>10.4</v>
      </c>
      <c r="CI9" s="39">
        <v>10.805</v>
      </c>
      <c r="CJ9">
        <f>COUNTIFS($CF$2:$CF$117,"&gt;=10.4",$CF$2:$CF$117,"&lt;=10.8")</f>
        <v>5</v>
      </c>
      <c r="CK9" s="1">
        <f t="shared" si="38"/>
        <v>3.3557046979865772E-2</v>
      </c>
      <c r="CL9" s="1">
        <f t="shared" si="39"/>
        <v>-4.8972404255747994</v>
      </c>
      <c r="CM9" s="1">
        <f t="shared" si="40"/>
        <v>4.8972404255747994</v>
      </c>
      <c r="CN9" s="1">
        <f t="shared" si="41"/>
        <v>0.16433692703271138</v>
      </c>
      <c r="CO9" s="16">
        <v>3</v>
      </c>
      <c r="CP9" s="33" t="s">
        <v>422</v>
      </c>
      <c r="CQ9" s="39">
        <v>3.3</v>
      </c>
      <c r="CR9" s="39">
        <v>3.4950000000000001</v>
      </c>
      <c r="CS9">
        <f>COUNTIFS($CO$2:$CO$117,"&gt;=3.3",$CO$2:$CO$117,"&lt;=3.5")</f>
        <v>4</v>
      </c>
      <c r="CT9" s="1">
        <f t="shared" si="42"/>
        <v>3.5714285714285712E-2</v>
      </c>
      <c r="CU9" s="1">
        <f t="shared" si="43"/>
        <v>-4.8073549220576037</v>
      </c>
      <c r="CV9" s="1">
        <f t="shared" si="44"/>
        <v>4.8073549220576037</v>
      </c>
      <c r="CW9" s="1">
        <f t="shared" si="45"/>
        <v>0.17169124721634299</v>
      </c>
      <c r="CX9" s="16">
        <v>46</v>
      </c>
      <c r="CY9" s="33" t="s">
        <v>422</v>
      </c>
      <c r="CZ9" s="39">
        <v>47.7</v>
      </c>
      <c r="DA9" s="39">
        <v>51.010000000000005</v>
      </c>
      <c r="DB9">
        <f>COUNTIFS($CX$2:$CX$117,"&gt;=47.7",$CX$2:$CX$117,"&lt;=51")</f>
        <v>11</v>
      </c>
      <c r="DC9" s="1">
        <f t="shared" si="46"/>
        <v>9.4017094017094016E-2</v>
      </c>
      <c r="DD9" s="1">
        <f t="shared" si="47"/>
        <v>-3.4109331009461075</v>
      </c>
      <c r="DE9" s="1">
        <f t="shared" si="48"/>
        <v>3.4109331009461075</v>
      </c>
      <c r="DF9" s="1">
        <f t="shared" si="71"/>
        <v>0.32068601803766822</v>
      </c>
      <c r="DG9" s="18">
        <v>5.76</v>
      </c>
      <c r="DH9" s="33" t="s">
        <v>422</v>
      </c>
      <c r="DI9" s="39">
        <v>6.4</v>
      </c>
      <c r="DJ9" s="39">
        <v>6.665</v>
      </c>
      <c r="DK9">
        <f>COUNTIFS($DG$2:$DG$117,"&gt;=6.4",$DG$2:$DG$117,"&lt;=6.7")</f>
        <v>11</v>
      </c>
      <c r="DL9" s="1">
        <f t="shared" si="49"/>
        <v>9.6491228070175433E-2</v>
      </c>
      <c r="DM9" s="1">
        <f t="shared" si="50"/>
        <v>-3.3734583955274449</v>
      </c>
      <c r="DN9" s="1">
        <f t="shared" si="51"/>
        <v>3.3734583955274449</v>
      </c>
      <c r="DO9" s="1">
        <f t="shared" si="52"/>
        <v>0.32550914342808679</v>
      </c>
      <c r="DP9" s="18">
        <v>3.3359999999999999</v>
      </c>
      <c r="DQ9" s="33" t="s">
        <v>422</v>
      </c>
      <c r="DR9" s="39">
        <v>3.5</v>
      </c>
      <c r="DS9" s="39">
        <v>3.6799999999999997</v>
      </c>
      <c r="DT9">
        <f>COUNTIFS($DP$2:$DP$117,"&gt;=3.5",$DP$2:$DP$117,"&lt;=3.7")</f>
        <v>20</v>
      </c>
      <c r="DU9" s="1">
        <f t="shared" si="53"/>
        <v>0.17241379310344829</v>
      </c>
      <c r="DV9" s="1">
        <f t="shared" si="54"/>
        <v>-2.5360529002402097</v>
      </c>
      <c r="DW9" s="1">
        <f t="shared" si="55"/>
        <v>2.5360529002402097</v>
      </c>
      <c r="DX9" s="1">
        <f t="shared" si="56"/>
        <v>0.43725050004141547</v>
      </c>
      <c r="DY9" s="18">
        <v>2.9400000000000004</v>
      </c>
      <c r="DZ9" s="33" t="s">
        <v>422</v>
      </c>
      <c r="EA9" s="39">
        <v>3</v>
      </c>
      <c r="EB9" s="39">
        <v>3.1</v>
      </c>
      <c r="EC9">
        <f>COUNTIFS($DY$2:$DY$117,"&gt;=3",$DY$2:$DY$117,"&lt;=3.1")</f>
        <v>7</v>
      </c>
      <c r="ED9" s="1">
        <f t="shared" si="57"/>
        <v>6.1946902654867256E-2</v>
      </c>
      <c r="EE9" s="1">
        <f t="shared" si="58"/>
        <v>-4.0128240403575841</v>
      </c>
      <c r="EF9" s="1">
        <f t="shared" si="59"/>
        <v>4.0128240403575841</v>
      </c>
      <c r="EG9" s="1">
        <f t="shared" si="60"/>
        <v>0.24858202019914238</v>
      </c>
      <c r="EH9" s="16">
        <v>39.299999999999997</v>
      </c>
      <c r="EI9" s="33" t="s">
        <v>422</v>
      </c>
      <c r="EJ9" s="39">
        <v>44.2</v>
      </c>
      <c r="EK9" s="39">
        <v>48.155000000000001</v>
      </c>
      <c r="EL9">
        <f>COUNTIFS($EH$2:$EH$117,"&gt;=44.2",$EH$2:$EH$117,"&lt;=48.2")</f>
        <v>13</v>
      </c>
      <c r="EM9" s="1">
        <f t="shared" si="61"/>
        <v>0.125</v>
      </c>
      <c r="EN9" s="1">
        <f t="shared" si="62"/>
        <v>-3</v>
      </c>
      <c r="EO9" s="1">
        <f t="shared" si="63"/>
        <v>3</v>
      </c>
      <c r="EP9" s="1">
        <f t="shared" si="64"/>
        <v>0.375</v>
      </c>
      <c r="EQ9" s="18">
        <v>1.9075144508670518</v>
      </c>
      <c r="ER9" s="33" t="s">
        <v>422</v>
      </c>
      <c r="ES9" s="39">
        <v>1.9</v>
      </c>
      <c r="ET9" s="39">
        <v>2.125</v>
      </c>
      <c r="EU9">
        <f>COUNTIFS($EQ$2:$EQ$117,"&gt;=1.9",$EQ$2:$EQ$117,"&lt;=2.1")</f>
        <v>8</v>
      </c>
      <c r="EV9" s="1">
        <f t="shared" si="65"/>
        <v>7.0796460176991149E-2</v>
      </c>
      <c r="EW9" s="1">
        <f t="shared" si="66"/>
        <v>-3.8201789624151878</v>
      </c>
      <c r="EX9" s="1">
        <f t="shared" si="67"/>
        <v>3.8201789624151878</v>
      </c>
      <c r="EY9" s="1">
        <f t="shared" si="68"/>
        <v>0.27045514778160623</v>
      </c>
    </row>
    <row r="10" spans="1:155" ht="15.5" x14ac:dyDescent="0.35">
      <c r="A10" s="16">
        <v>15</v>
      </c>
      <c r="B10" s="39">
        <v>25</v>
      </c>
      <c r="C10" s="39">
        <v>27.09</v>
      </c>
      <c r="D10">
        <f>COUNTIFS($A$2:$A$117,"&gt;=25",$A$2:$A$117,"&lt;=27.1")</f>
        <v>23</v>
      </c>
      <c r="E10" s="1">
        <f t="shared" si="0"/>
        <v>0.19827586206896552</v>
      </c>
      <c r="F10" s="1">
        <f t="shared" si="1"/>
        <v>-2.3344190390705593</v>
      </c>
      <c r="G10" s="1">
        <f t="shared" si="2"/>
        <v>2.3344190390705593</v>
      </c>
      <c r="H10" s="1">
        <f t="shared" si="69"/>
        <v>0.46285894740192124</v>
      </c>
      <c r="I10" s="16">
        <v>106</v>
      </c>
      <c r="J10" s="39">
        <v>117.4</v>
      </c>
      <c r="K10" s="39">
        <v>120.49</v>
      </c>
      <c r="L10">
        <f>COUNTIFS($I$2:$I$117,"&gt;=117.4",$I$2:$I$117,"&lt;=120.5")</f>
        <v>3</v>
      </c>
      <c r="M10" s="1">
        <f t="shared" si="3"/>
        <v>1.4851485148514851E-2</v>
      </c>
      <c r="N10" s="1">
        <f t="shared" si="4"/>
        <v>-6.0732489820306386</v>
      </c>
      <c r="O10" s="1">
        <f t="shared" si="5"/>
        <v>6.0732489820306386</v>
      </c>
      <c r="P10" s="1">
        <f t="shared" si="6"/>
        <v>9.0196767059860961E-2</v>
      </c>
      <c r="Q10" s="16">
        <v>110</v>
      </c>
      <c r="R10" s="39">
        <v>124.9</v>
      </c>
      <c r="S10" s="39">
        <v>128.65</v>
      </c>
      <c r="T10">
        <f>COUNTIFS($Q$2:$Q$117,"&gt;=124.9",$Q$2:$Q$117,"&lt;128.7")</f>
        <v>1</v>
      </c>
      <c r="U10" s="1">
        <f t="shared" si="7"/>
        <v>9.3457943925233638E-3</v>
      </c>
      <c r="V10" s="1">
        <f t="shared" si="8"/>
        <v>-6.7414669864011483</v>
      </c>
      <c r="W10" s="1">
        <f t="shared" si="9"/>
        <v>6.7414669864011483</v>
      </c>
      <c r="X10" s="1">
        <f t="shared" si="10"/>
        <v>6.3004364358889231E-2</v>
      </c>
      <c r="Y10" s="16">
        <v>138</v>
      </c>
      <c r="Z10" s="39">
        <v>155</v>
      </c>
      <c r="AA10" s="39">
        <v>158.57999999999998</v>
      </c>
      <c r="AB10">
        <f>COUNTIFS($Y$2:$Y$117,"&gt;=155",$Y$2:$Y$117,"&lt;=158.6")</f>
        <v>0</v>
      </c>
      <c r="AC10" s="1">
        <f t="shared" si="11"/>
        <v>0</v>
      </c>
      <c r="AD10" s="1" t="e">
        <f t="shared" si="12"/>
        <v>#NUM!</v>
      </c>
      <c r="AE10" s="1" t="e">
        <f t="shared" si="13"/>
        <v>#NUM!</v>
      </c>
      <c r="AF10" s="1"/>
      <c r="AG10" s="16">
        <v>84.2</v>
      </c>
      <c r="AH10">
        <v>114.84</v>
      </c>
      <c r="AI10">
        <v>122.35</v>
      </c>
      <c r="AJ10">
        <f>COUNTIFS($AG$2:$AG$117,"&gt;=114.84",$AG$2:$AG$117,"&lt;=122.35")</f>
        <v>2</v>
      </c>
      <c r="AK10" s="1">
        <f t="shared" si="15"/>
        <v>1.7857142857142856E-2</v>
      </c>
      <c r="AL10" s="1">
        <f t="shared" si="16"/>
        <v>-5.8073549220576046</v>
      </c>
      <c r="AM10" s="1">
        <f t="shared" si="17"/>
        <v>5.8073549220576046</v>
      </c>
      <c r="AN10" s="1">
        <f t="shared" si="18"/>
        <v>0.10370276646531436</v>
      </c>
      <c r="AO10" s="16">
        <v>12.2</v>
      </c>
      <c r="AP10" s="39">
        <v>23.5</v>
      </c>
      <c r="AQ10" s="39">
        <v>26.24</v>
      </c>
      <c r="AR10">
        <f>COUNTIFS($AO$2:$AO$117,"&gt;=23.5",$AO$2:$AO$117,"&lt;=26.2")</f>
        <v>5</v>
      </c>
      <c r="AS10" s="1">
        <f t="shared" si="19"/>
        <v>4.2735042735042736E-2</v>
      </c>
      <c r="AT10" s="1">
        <f t="shared" si="20"/>
        <v>-4.5484366246960422</v>
      </c>
      <c r="AU10" s="1">
        <f t="shared" si="21"/>
        <v>4.5484366246960422</v>
      </c>
      <c r="AV10" s="1">
        <f t="shared" si="22"/>
        <v>0.19437763353401891</v>
      </c>
      <c r="AW10" s="16">
        <v>10</v>
      </c>
      <c r="AX10" s="39">
        <v>11.4</v>
      </c>
      <c r="AY10" s="39">
        <v>12.16</v>
      </c>
      <c r="AZ10">
        <f>COUNTIFS($AW$2:$AW$117,"&gt;=11.4",$AW$2:$AW$117,"&lt;=12.2")</f>
        <v>8</v>
      </c>
      <c r="BA10" s="1">
        <f t="shared" si="23"/>
        <v>6.5040650406504072E-2</v>
      </c>
      <c r="BB10" s="1">
        <f t="shared" si="24"/>
        <v>-3.9425145053392399</v>
      </c>
      <c r="BC10" s="1">
        <f t="shared" si="25"/>
        <v>3.9425145053392399</v>
      </c>
      <c r="BD10" s="1">
        <f t="shared" si="26"/>
        <v>0.25642370766434081</v>
      </c>
      <c r="BE10" s="16">
        <v>12.780000000000001</v>
      </c>
      <c r="BF10" s="33" t="s">
        <v>423</v>
      </c>
      <c r="BG10" s="39">
        <v>15.5</v>
      </c>
      <c r="BH10" s="39">
        <v>16.59</v>
      </c>
      <c r="BI10">
        <f>COUNTIFS($BE$2:$BE$117,"&gt;=15.5",$BE$2:$BE$117,"&lt;=16.6")</f>
        <v>4</v>
      </c>
      <c r="BJ10" s="1">
        <f t="shared" si="27"/>
        <v>3.4782608695652174E-2</v>
      </c>
      <c r="BK10" s="1">
        <f t="shared" si="28"/>
        <v>-4.8454900509443757</v>
      </c>
      <c r="BL10" s="1">
        <f t="shared" si="29"/>
        <v>4.8454900509443757</v>
      </c>
      <c r="BM10" s="1">
        <f t="shared" si="30"/>
        <v>0.16853878438067393</v>
      </c>
      <c r="BN10" s="16">
        <v>0.98000000000000009</v>
      </c>
      <c r="BO10" s="33" t="s">
        <v>423</v>
      </c>
      <c r="BP10" s="39">
        <v>1.4</v>
      </c>
      <c r="BQ10" s="39">
        <v>1.46</v>
      </c>
      <c r="BR10">
        <f>COUNTIFS($BN$2:$BN$117,"&gt;=1.4",$BN$2:$BN$117,"&lt;=1.5")</f>
        <v>2</v>
      </c>
      <c r="BS10" s="1">
        <f t="shared" si="31"/>
        <v>1.4492753623188406E-2</v>
      </c>
      <c r="BT10" s="1">
        <f t="shared" si="32"/>
        <v>-6.10852445677817</v>
      </c>
      <c r="BU10" s="1">
        <f t="shared" si="33"/>
        <v>6.10852445677817</v>
      </c>
      <c r="BV10" s="1">
        <f t="shared" si="34"/>
        <v>8.8529339953306807E-2</v>
      </c>
      <c r="BW10" s="16">
        <v>6</v>
      </c>
      <c r="BX10" s="33" t="s">
        <v>423</v>
      </c>
      <c r="BY10" s="39">
        <v>13.7</v>
      </c>
      <c r="BZ10" s="39">
        <v>15.53</v>
      </c>
      <c r="CA10">
        <f>COUNTIFS($BW$2:$BW$117,"&gt;=13.7",$BW$2:$BW$117,"&lt;=15.5")</f>
        <v>5</v>
      </c>
      <c r="CB10" s="1">
        <f t="shared" si="35"/>
        <v>4.5871559633027525E-2</v>
      </c>
      <c r="CC10" s="1">
        <f t="shared" si="36"/>
        <v>-4.4462562298895643</v>
      </c>
      <c r="CD10" s="1">
        <f t="shared" si="37"/>
        <v>4.4462562298895643</v>
      </c>
      <c r="CE10" s="1">
        <f t="shared" si="70"/>
        <v>0.2039567077930993</v>
      </c>
      <c r="CF10" s="16">
        <v>10</v>
      </c>
      <c r="CG10" s="33" t="s">
        <v>423</v>
      </c>
      <c r="CH10" s="39">
        <v>10.8</v>
      </c>
      <c r="CI10" s="39">
        <v>11.26</v>
      </c>
      <c r="CJ10">
        <f>COUNTIFS($CF$2:$CF$117,"&gt;=10.8",$CF$2:$CF$117,"&lt;=11.3")</f>
        <v>9</v>
      </c>
      <c r="CK10" s="1">
        <f t="shared" si="38"/>
        <v>6.0402684563758392E-2</v>
      </c>
      <c r="CL10" s="1">
        <f t="shared" si="39"/>
        <v>-4.049243519019849</v>
      </c>
      <c r="CM10" s="1">
        <f t="shared" si="40"/>
        <v>4.049243519019849</v>
      </c>
      <c r="CN10" s="1">
        <f t="shared" si="41"/>
        <v>0.24458517900119894</v>
      </c>
      <c r="CO10" s="16">
        <v>3</v>
      </c>
      <c r="CP10" s="33" t="s">
        <v>423</v>
      </c>
      <c r="CQ10" s="39">
        <v>3.5</v>
      </c>
      <c r="CR10" s="39">
        <v>3.6900000000000004</v>
      </c>
      <c r="CS10">
        <f>COUNTIFS($CO$2:$CO$117,"&gt;=3.5",$CO$2:$CO$117,"&lt;=3.7")</f>
        <v>0</v>
      </c>
      <c r="CT10" s="1">
        <f t="shared" si="42"/>
        <v>0</v>
      </c>
      <c r="CU10" s="1" t="e">
        <f t="shared" si="43"/>
        <v>#NUM!</v>
      </c>
      <c r="CV10" s="1" t="e">
        <f t="shared" si="44"/>
        <v>#NUM!</v>
      </c>
      <c r="CW10" s="1"/>
      <c r="CX10" s="16">
        <v>46</v>
      </c>
      <c r="CY10" s="33" t="s">
        <v>423</v>
      </c>
      <c r="CZ10" s="39">
        <v>51</v>
      </c>
      <c r="DA10" s="39">
        <v>54.36</v>
      </c>
      <c r="DB10">
        <f>COUNTIFS($CX$2:$CX$117,"&gt;=51",$CX$2:$CX$117,"&lt;=54.4")</f>
        <v>5</v>
      </c>
      <c r="DC10" s="1">
        <f t="shared" si="46"/>
        <v>4.2735042735042736E-2</v>
      </c>
      <c r="DD10" s="1">
        <f t="shared" si="47"/>
        <v>-4.5484366246960422</v>
      </c>
      <c r="DE10" s="1">
        <f t="shared" si="48"/>
        <v>4.5484366246960422</v>
      </c>
      <c r="DF10" s="1">
        <f t="shared" si="71"/>
        <v>0.19437763353401891</v>
      </c>
      <c r="DG10" s="18">
        <v>5.9360000000000008</v>
      </c>
      <c r="DH10" s="33" t="s">
        <v>423</v>
      </c>
      <c r="DI10" s="39">
        <v>6.7</v>
      </c>
      <c r="DJ10" s="39">
        <v>6.9</v>
      </c>
      <c r="DK10">
        <f>COUNTIFS($DG$2:$DG$117,"&gt;=6.7",$DG$2:$DG$117,"&lt;=6.9")</f>
        <v>7</v>
      </c>
      <c r="DL10" s="1">
        <f t="shared" si="49"/>
        <v>6.1403508771929821E-2</v>
      </c>
      <c r="DM10" s="1">
        <f t="shared" si="50"/>
        <v>-4.0255350921071376</v>
      </c>
      <c r="DN10" s="1">
        <f t="shared" si="51"/>
        <v>4.0255350921071376</v>
      </c>
      <c r="DO10" s="1">
        <f t="shared" si="52"/>
        <v>0.24718197933991193</v>
      </c>
      <c r="DP10" s="18">
        <v>3.3259999999999996</v>
      </c>
      <c r="DQ10" s="33" t="s">
        <v>423</v>
      </c>
      <c r="DR10" s="39">
        <v>3.7</v>
      </c>
      <c r="DS10" s="39">
        <v>3.83</v>
      </c>
      <c r="DT10">
        <f>COUNTIFS($DP$2:$DP$117,"&gt;=3.7",$DP$2:$DP$117,"&lt;=3.8")</f>
        <v>1</v>
      </c>
      <c r="DU10" s="1">
        <f t="shared" si="53"/>
        <v>8.6206896551724137E-3</v>
      </c>
      <c r="DV10" s="1">
        <f t="shared" si="54"/>
        <v>-6.8579809951275719</v>
      </c>
      <c r="DW10" s="1">
        <f t="shared" si="55"/>
        <v>6.8579809951275719</v>
      </c>
      <c r="DX10" s="1">
        <f t="shared" si="56"/>
        <v>5.9120525820065273E-2</v>
      </c>
      <c r="DY10" s="18">
        <v>2.8099999999999996</v>
      </c>
      <c r="DZ10" s="33" t="s">
        <v>423</v>
      </c>
      <c r="EA10" s="39">
        <v>3.1</v>
      </c>
      <c r="EB10" s="39">
        <v>3.23</v>
      </c>
      <c r="EC10">
        <f>COUNTIFS($DY$2:$DY$117,"&gt;=3.1",$DY$2:$DY$117,"&lt;=3.2")</f>
        <v>7</v>
      </c>
      <c r="ED10" s="1">
        <f t="shared" si="57"/>
        <v>6.1946902654867256E-2</v>
      </c>
      <c r="EE10" s="1">
        <f t="shared" si="58"/>
        <v>-4.0128240403575841</v>
      </c>
      <c r="EF10" s="1">
        <f t="shared" si="59"/>
        <v>4.0128240403575841</v>
      </c>
      <c r="EG10" s="1">
        <f t="shared" si="60"/>
        <v>0.24858202019914238</v>
      </c>
      <c r="EH10" s="16">
        <v>36.090000000000003</v>
      </c>
      <c r="EI10" s="33" t="s">
        <v>423</v>
      </c>
      <c r="EJ10" s="39">
        <v>48.2</v>
      </c>
      <c r="EK10" s="39">
        <v>52.069999999999993</v>
      </c>
      <c r="EL10">
        <f>COUNTIFS($EH$2:$EH$117,"&gt;=48.2",$EH$2:$EH$117,"&lt;=52.1")</f>
        <v>7</v>
      </c>
      <c r="EM10" s="1">
        <f t="shared" si="61"/>
        <v>6.7307692307692304E-2</v>
      </c>
      <c r="EN10" s="1">
        <f t="shared" si="62"/>
        <v>-3.8930847960834885</v>
      </c>
      <c r="EO10" s="1">
        <f t="shared" si="63"/>
        <v>3.8930847960834885</v>
      </c>
      <c r="EP10" s="1">
        <f t="shared" si="64"/>
        <v>0.26203455358254246</v>
      </c>
      <c r="EQ10" s="18">
        <v>1.1068079640333977</v>
      </c>
      <c r="ER10" s="33" t="s">
        <v>423</v>
      </c>
      <c r="ES10" s="39">
        <v>2.1</v>
      </c>
      <c r="ET10" s="39">
        <v>2.36</v>
      </c>
      <c r="EU10">
        <f>COUNTIFS($EQ$2:$EQ$117,"&gt;=2.1",$EQ$2:$EQ$117,"&lt;=2.4")</f>
        <v>8</v>
      </c>
      <c r="EV10" s="1">
        <f t="shared" si="65"/>
        <v>7.0796460176991149E-2</v>
      </c>
      <c r="EW10" s="1">
        <f t="shared" si="66"/>
        <v>-3.8201789624151878</v>
      </c>
      <c r="EX10" s="1">
        <f t="shared" si="67"/>
        <v>3.8201789624151878</v>
      </c>
      <c r="EY10" s="1">
        <f t="shared" si="68"/>
        <v>0.27045514778160623</v>
      </c>
    </row>
    <row r="11" spans="1:155" ht="15.5" x14ac:dyDescent="0.35">
      <c r="A11" s="16">
        <v>15</v>
      </c>
      <c r="B11" s="33" t="s">
        <v>405</v>
      </c>
      <c r="D11">
        <f>SUM(D2:D10)</f>
        <v>116</v>
      </c>
      <c r="E11" s="1"/>
      <c r="F11" s="1"/>
      <c r="G11" s="1"/>
      <c r="H11" s="1">
        <f>SUM(H4:H10)</f>
        <v>2.0994624002895579</v>
      </c>
      <c r="I11" s="16">
        <v>104</v>
      </c>
      <c r="L11">
        <f>SUM(L2:L10)</f>
        <v>202</v>
      </c>
      <c r="M11" s="1"/>
      <c r="N11" s="1"/>
      <c r="O11" s="1"/>
      <c r="P11" s="1">
        <f>SUM(P4:P10)</f>
        <v>1.9124244551060015</v>
      </c>
      <c r="Q11" s="16">
        <v>110</v>
      </c>
      <c r="T11">
        <f>SUM(T2:T10)</f>
        <v>107</v>
      </c>
      <c r="U11" s="1"/>
      <c r="V11" s="1"/>
      <c r="W11" s="1"/>
      <c r="X11" s="1">
        <f>SUM(X3:X10)</f>
        <v>1.6633685678963444</v>
      </c>
      <c r="Y11" s="16">
        <v>138</v>
      </c>
      <c r="AB11">
        <f>SUM(AB2:AB10)</f>
        <v>106</v>
      </c>
      <c r="AC11" s="1"/>
      <c r="AD11" s="1"/>
      <c r="AE11" s="1"/>
      <c r="AF11" s="1">
        <f>SUM(AF3:AF10)</f>
        <v>2.241724721538191</v>
      </c>
      <c r="AG11" s="16">
        <v>99.16</v>
      </c>
      <c r="AJ11">
        <f>SUM(AJ2:AJ10)</f>
        <v>112</v>
      </c>
      <c r="AK11" s="1"/>
      <c r="AL11" s="1"/>
      <c r="AM11" s="1"/>
      <c r="AN11" s="1">
        <f>SUM(AN2:AN10)</f>
        <v>2.6632011755516136</v>
      </c>
      <c r="AO11" s="16">
        <v>14.7</v>
      </c>
      <c r="AR11">
        <f>SUM(AR2:AR10)</f>
        <v>117</v>
      </c>
      <c r="AS11" s="1"/>
      <c r="AT11" s="1"/>
      <c r="AU11" s="1"/>
      <c r="AV11" s="1">
        <f>SUM(AV2:AV10)</f>
        <v>2.8652883475478022</v>
      </c>
      <c r="AW11" s="16">
        <v>9.1</v>
      </c>
      <c r="AZ11">
        <f>SUM(AZ2:AZ10)</f>
        <v>123</v>
      </c>
      <c r="BA11" s="1"/>
      <c r="BB11" s="1"/>
      <c r="BC11" s="1"/>
      <c r="BD11" s="1">
        <f>SUM(BD2:BD10)</f>
        <v>2.7958056886202964</v>
      </c>
      <c r="BE11" s="16">
        <v>11.74</v>
      </c>
      <c r="BI11">
        <f>SUM(BI2:BI10)</f>
        <v>115</v>
      </c>
      <c r="BJ11" s="1"/>
      <c r="BK11" s="1"/>
      <c r="BL11" s="1"/>
      <c r="BM11" s="1">
        <f>SUM(BM3:BM10)</f>
        <v>2.7356092197120736</v>
      </c>
      <c r="BN11" s="16">
        <v>1.06</v>
      </c>
      <c r="BR11">
        <f>SUM(BR2:BR10)</f>
        <v>138</v>
      </c>
      <c r="BS11" s="1"/>
      <c r="BT11" s="1"/>
      <c r="BU11" s="1"/>
      <c r="BV11" s="1">
        <f>SUM(BV2:BV10)</f>
        <v>2.7016939503677779</v>
      </c>
      <c r="BW11" s="16">
        <v>8</v>
      </c>
      <c r="CA11">
        <f>SUM(CA2:CA10)</f>
        <v>109</v>
      </c>
      <c r="CB11" s="1"/>
      <c r="CC11" s="1"/>
      <c r="CD11" s="1"/>
      <c r="CE11" s="1">
        <f>SUM(CE4:CE10)</f>
        <v>2.4016477042247582</v>
      </c>
      <c r="CF11" s="16">
        <v>9</v>
      </c>
      <c r="CJ11">
        <f>SUM(CJ2:CJ10)</f>
        <v>149</v>
      </c>
      <c r="CK11" s="1"/>
      <c r="CL11" s="1"/>
      <c r="CM11" s="1"/>
      <c r="CN11" s="1">
        <f>SUM(CN2:CN10)</f>
        <v>2.6427964533669615</v>
      </c>
      <c r="CO11" s="16">
        <v>2</v>
      </c>
      <c r="CS11">
        <f>SUM(CS2:CS10)</f>
        <v>112</v>
      </c>
      <c r="CT11" s="1"/>
      <c r="CU11" s="1"/>
      <c r="CV11" s="1"/>
      <c r="CW11" s="1">
        <f>SUM(CW2:CW10)</f>
        <v>2.0364497545673745</v>
      </c>
      <c r="CX11" s="16">
        <v>35</v>
      </c>
      <c r="DB11">
        <f>SUM(DB2:DB10)</f>
        <v>117</v>
      </c>
      <c r="DC11" s="1"/>
      <c r="DD11" s="1"/>
      <c r="DE11" s="1"/>
      <c r="DF11" s="1">
        <f>SUM(DF2:DF10)</f>
        <v>2.7755095163623116</v>
      </c>
      <c r="DG11" s="18">
        <v>6.0780000000000012</v>
      </c>
      <c r="DK11">
        <f>SUM(DK2:DK10)</f>
        <v>114</v>
      </c>
      <c r="DL11" s="1"/>
      <c r="DM11" s="1"/>
      <c r="DN11" s="1"/>
      <c r="DO11" s="1">
        <f>SUM(DO3:DO10)</f>
        <v>2.8834490482201591</v>
      </c>
      <c r="DP11" s="18">
        <v>3.5819999999999999</v>
      </c>
      <c r="DT11">
        <f>SUM(DT2:DT10)</f>
        <v>116</v>
      </c>
      <c r="DU11" s="1"/>
      <c r="DV11" s="1"/>
      <c r="DW11" s="1"/>
      <c r="DX11" s="1">
        <f>SUM(DX2:DX10)</f>
        <v>2.758505977577332</v>
      </c>
      <c r="DY11" s="18">
        <v>2.7679999999999998</v>
      </c>
      <c r="EC11">
        <f>SUM(EC2:EC10)</f>
        <v>113</v>
      </c>
      <c r="ED11" s="1"/>
      <c r="EE11" s="1"/>
      <c r="EF11" s="1"/>
      <c r="EG11" s="1">
        <f>SUM(EG2:EG10)</f>
        <v>2.9035148200033101</v>
      </c>
      <c r="EH11" s="16">
        <v>40.1</v>
      </c>
      <c r="EL11">
        <f>SUM(EL2:EL10)</f>
        <v>104</v>
      </c>
      <c r="EM11" s="1"/>
      <c r="EN11" s="1"/>
      <c r="EO11" s="1"/>
      <c r="EP11" s="1">
        <f>SUM(EP2:EP10)</f>
        <v>2.8028712666129501</v>
      </c>
      <c r="EQ11" s="18">
        <v>1.7109826589595376</v>
      </c>
      <c r="EU11">
        <f>SUM(EU2:EU10)</f>
        <v>113</v>
      </c>
      <c r="EV11" s="1"/>
      <c r="EW11" s="1"/>
      <c r="EX11" s="1"/>
      <c r="EY11" s="1">
        <f>SUM(EY2:EY10)</f>
        <v>2.8772455314514054</v>
      </c>
    </row>
    <row r="12" spans="1:155" ht="15.5" x14ac:dyDescent="0.35">
      <c r="A12" s="16">
        <v>15</v>
      </c>
      <c r="B12" s="33" t="s">
        <v>406</v>
      </c>
      <c r="H12">
        <f>LOG(9,2)</f>
        <v>3.1699250014423126</v>
      </c>
      <c r="I12" s="16">
        <v>102</v>
      </c>
      <c r="P12">
        <f>LOG(9,2)</f>
        <v>3.1699250014423126</v>
      </c>
      <c r="Q12" s="16">
        <v>110</v>
      </c>
      <c r="X12">
        <f>LOG(9,2)</f>
        <v>3.1699250014423126</v>
      </c>
      <c r="Y12" s="16">
        <v>138</v>
      </c>
      <c r="AF12">
        <f>LOG(9,2)</f>
        <v>3.1699250014423126</v>
      </c>
      <c r="AG12" s="16">
        <v>107.17999999999999</v>
      </c>
      <c r="AN12">
        <f>LOG(9,2)</f>
        <v>3.1699250014423126</v>
      </c>
      <c r="AO12" s="16">
        <v>20.5</v>
      </c>
      <c r="AV12">
        <f>LOG(9,2)</f>
        <v>3.1699250014423126</v>
      </c>
      <c r="AW12" s="16">
        <v>7.5</v>
      </c>
      <c r="BD12">
        <f>LOG(9,2)</f>
        <v>3.1699250014423126</v>
      </c>
      <c r="BE12" s="16">
        <v>10.4</v>
      </c>
      <c r="BM12">
        <f>LOG(9,2)</f>
        <v>3.1699250014423126</v>
      </c>
      <c r="BN12" s="16">
        <v>0.9</v>
      </c>
      <c r="BV12">
        <f>LOG(9,2)</f>
        <v>3.1699250014423126</v>
      </c>
      <c r="BW12" s="16">
        <v>15</v>
      </c>
      <c r="CE12">
        <f>LOG(9,2)</f>
        <v>3.1699250014423126</v>
      </c>
      <c r="CF12" s="16">
        <v>10</v>
      </c>
      <c r="CN12">
        <f>LOG(9,2)</f>
        <v>3.1699250014423126</v>
      </c>
      <c r="CO12" s="16">
        <v>3</v>
      </c>
      <c r="CW12">
        <f>LOG(9,2)</f>
        <v>3.1699250014423126</v>
      </c>
      <c r="CX12" s="16">
        <v>35</v>
      </c>
      <c r="DF12">
        <f>LOG(9,2)</f>
        <v>3.1699250014423126</v>
      </c>
      <c r="DG12" s="18">
        <v>5.8020000000000005</v>
      </c>
      <c r="DO12">
        <f>LOG(9,2)</f>
        <v>3.1699250014423126</v>
      </c>
      <c r="DP12" s="18">
        <v>3.2019999999999995</v>
      </c>
      <c r="DX12">
        <f>LOG(9,2)</f>
        <v>3.1699250014423126</v>
      </c>
      <c r="DY12" s="18">
        <v>2.84</v>
      </c>
      <c r="EG12">
        <f>LOG(9,2)</f>
        <v>3.1699250014423126</v>
      </c>
      <c r="EH12" s="16">
        <v>33.299999999999997</v>
      </c>
      <c r="EP12">
        <f>LOG(9,2)</f>
        <v>3.1699250014423126</v>
      </c>
      <c r="EQ12" s="18">
        <v>2.2171868978805396</v>
      </c>
      <c r="EY12">
        <f>LOG(9,2)</f>
        <v>3.1699250014423126</v>
      </c>
    </row>
    <row r="13" spans="1:155" ht="15.5" x14ac:dyDescent="0.35">
      <c r="A13" s="16">
        <v>15</v>
      </c>
      <c r="B13" s="33" t="s">
        <v>407</v>
      </c>
      <c r="H13" s="49">
        <f>H11/H12</f>
        <v>0.66230664742361556</v>
      </c>
      <c r="I13" s="16">
        <v>110</v>
      </c>
      <c r="P13" s="49">
        <f>P11/P12</f>
        <v>0.60330274509202908</v>
      </c>
      <c r="Q13" s="16">
        <v>110</v>
      </c>
      <c r="V13" s="49"/>
      <c r="X13" s="49">
        <f>X11/X12</f>
        <v>0.52473436032067422</v>
      </c>
      <c r="Y13" s="16">
        <v>140</v>
      </c>
      <c r="AD13" s="49"/>
      <c r="AF13" s="49">
        <f>AF11/AF12</f>
        <v>0.70718541306756744</v>
      </c>
      <c r="AG13" s="16">
        <v>75</v>
      </c>
      <c r="AL13" s="49"/>
      <c r="AN13" s="49">
        <f>AN11/AN12</f>
        <v>0.84014643070099759</v>
      </c>
      <c r="AO13" s="16">
        <v>10.8</v>
      </c>
      <c r="AV13" s="49">
        <f>AV11/AV12</f>
        <v>0.90389783551475156</v>
      </c>
      <c r="AW13" s="16">
        <v>10.4</v>
      </c>
      <c r="BD13" s="49">
        <f>BD11/BD12</f>
        <v>0.88197849707744114</v>
      </c>
      <c r="BE13" s="16">
        <v>11.940000000000001</v>
      </c>
      <c r="BM13" s="49">
        <f>BM11/BM12</f>
        <v>0.86298862543037269</v>
      </c>
      <c r="BN13" s="16">
        <v>1.04</v>
      </c>
      <c r="BV13" s="49">
        <f>BV11/BV12</f>
        <v>0.85228954916551969</v>
      </c>
      <c r="BW13" s="16">
        <v>4</v>
      </c>
      <c r="CE13" s="49">
        <f>CE11/CE12</f>
        <v>0.75763549709599154</v>
      </c>
      <c r="CF13" s="16">
        <v>10</v>
      </c>
      <c r="CN13" s="49">
        <f>CN11/CN12</f>
        <v>0.83370945753116932</v>
      </c>
      <c r="CO13" s="16">
        <v>3</v>
      </c>
      <c r="CW13" s="49">
        <f>CW11/CW12</f>
        <v>0.64242837090492422</v>
      </c>
      <c r="CX13" s="16">
        <v>37</v>
      </c>
      <c r="DF13" s="49">
        <f>DF11/DF12</f>
        <v>0.87557576759685407</v>
      </c>
      <c r="DG13" s="18">
        <v>6.3559999999999999</v>
      </c>
      <c r="DO13" s="49">
        <f>DO11/DO12</f>
        <v>0.90962689871469915</v>
      </c>
      <c r="DP13" s="18">
        <v>3.492</v>
      </c>
      <c r="DX13" s="49">
        <f>DX11/DX12</f>
        <v>0.87021174832912906</v>
      </c>
      <c r="DY13" s="18">
        <v>2.8600000000000003</v>
      </c>
      <c r="EG13" s="49">
        <f>EG11/EG12</f>
        <v>0.91595694493788149</v>
      </c>
      <c r="EH13" s="16">
        <v>41.7</v>
      </c>
      <c r="EP13" s="49">
        <f>EP11/EP12</f>
        <v>0.88420743876831365</v>
      </c>
      <c r="EQ13" s="18">
        <v>0.92999357739242139</v>
      </c>
      <c r="EY13" s="49">
        <f>EY11/EY12</f>
        <v>0.90766990706160611</v>
      </c>
    </row>
    <row r="14" spans="1:155" ht="15.5" x14ac:dyDescent="0.35">
      <c r="A14" s="16">
        <v>15</v>
      </c>
      <c r="I14" s="16">
        <v>110</v>
      </c>
      <c r="Q14" s="16">
        <v>113</v>
      </c>
      <c r="Y14" s="16">
        <v>140</v>
      </c>
      <c r="AG14" s="16">
        <v>79.900000000000006</v>
      </c>
      <c r="AO14" s="16">
        <v>7</v>
      </c>
      <c r="AW14" s="16">
        <v>12.26</v>
      </c>
      <c r="BE14" s="16">
        <v>12.6</v>
      </c>
      <c r="BN14" s="16">
        <v>1.2</v>
      </c>
      <c r="BW14" s="16">
        <v>3</v>
      </c>
      <c r="CF14" s="16">
        <v>11</v>
      </c>
      <c r="CO14" s="16">
        <v>3</v>
      </c>
      <c r="CX14" s="16">
        <v>37</v>
      </c>
      <c r="DG14" s="18">
        <v>6.1240000000000006</v>
      </c>
      <c r="DP14" s="18">
        <v>3.4480000000000004</v>
      </c>
      <c r="DY14" s="18">
        <v>2.8380000000000001</v>
      </c>
      <c r="EH14" s="16">
        <v>39.4</v>
      </c>
      <c r="EQ14" s="18">
        <v>1.0994861913937057</v>
      </c>
    </row>
    <row r="15" spans="1:155" ht="15.5" x14ac:dyDescent="0.35">
      <c r="A15" s="16">
        <v>15</v>
      </c>
      <c r="I15" s="16">
        <v>110</v>
      </c>
      <c r="Q15" s="16">
        <v>113</v>
      </c>
      <c r="Y15" s="16">
        <v>140</v>
      </c>
      <c r="AG15" s="16">
        <v>77.400000000000006</v>
      </c>
      <c r="AO15" s="16">
        <v>14.34</v>
      </c>
      <c r="AW15" s="16">
        <v>10.86</v>
      </c>
      <c r="BE15" s="16">
        <v>15.559999999999999</v>
      </c>
      <c r="BN15" s="16">
        <v>0.92000000000000015</v>
      </c>
      <c r="BW15" s="16">
        <v>4</v>
      </c>
      <c r="CF15" s="16">
        <v>10</v>
      </c>
      <c r="CO15" s="16">
        <v>3</v>
      </c>
      <c r="CX15" s="16">
        <v>37</v>
      </c>
      <c r="DG15" s="18">
        <v>5.9440000000000008</v>
      </c>
      <c r="DP15" s="18">
        <v>3.2839999999999998</v>
      </c>
      <c r="DY15" s="18">
        <v>2.774</v>
      </c>
      <c r="EH15" s="16">
        <v>40.1</v>
      </c>
      <c r="EQ15" s="18">
        <v>1.0870905587668593</v>
      </c>
    </row>
    <row r="16" spans="1:155" ht="15.5" x14ac:dyDescent="0.35">
      <c r="A16" s="16">
        <v>15</v>
      </c>
      <c r="I16" s="16">
        <v>110</v>
      </c>
      <c r="Q16" s="16">
        <v>116</v>
      </c>
      <c r="Y16" s="16">
        <v>142</v>
      </c>
      <c r="AG16" s="16">
        <v>84.18</v>
      </c>
      <c r="AO16" s="16">
        <v>19.399999999999999</v>
      </c>
      <c r="AW16" s="16">
        <v>9.5400000000000009</v>
      </c>
      <c r="BE16" s="16">
        <v>14.919999999999998</v>
      </c>
      <c r="BN16" s="16">
        <v>0.84000000000000008</v>
      </c>
      <c r="BW16" s="16">
        <v>5</v>
      </c>
      <c r="CF16" s="16">
        <v>9</v>
      </c>
      <c r="CO16" s="16">
        <v>3</v>
      </c>
      <c r="CX16" s="16">
        <v>40</v>
      </c>
      <c r="DG16" s="18">
        <v>6.0380000000000003</v>
      </c>
      <c r="DP16" s="18">
        <v>3.016</v>
      </c>
      <c r="DY16" s="18">
        <v>2.5740000000000003</v>
      </c>
      <c r="EH16" s="16">
        <v>35.6</v>
      </c>
      <c r="EQ16" s="18">
        <v>0.45838150289017343</v>
      </c>
    </row>
    <row r="17" spans="1:147" ht="15.5" x14ac:dyDescent="0.35">
      <c r="A17" s="16">
        <v>15</v>
      </c>
      <c r="I17" s="16">
        <v>112</v>
      </c>
      <c r="Q17" s="16">
        <v>116</v>
      </c>
      <c r="Y17" s="16">
        <v>142</v>
      </c>
      <c r="AG17" s="16">
        <v>77.7</v>
      </c>
      <c r="AO17" s="16">
        <v>7.7</v>
      </c>
      <c r="AW17" s="16">
        <v>8.8000000000000007</v>
      </c>
      <c r="BE17" s="16">
        <v>15.14</v>
      </c>
      <c r="BN17" s="16">
        <v>0.86</v>
      </c>
      <c r="BW17" s="16">
        <v>7</v>
      </c>
      <c r="CF17" s="16">
        <v>9</v>
      </c>
      <c r="CO17" s="16">
        <v>3</v>
      </c>
      <c r="CX17" s="16">
        <v>36</v>
      </c>
      <c r="DG17" s="18">
        <v>6</v>
      </c>
      <c r="DP17" s="18">
        <v>3.6219999999999999</v>
      </c>
      <c r="DY17" s="18">
        <v>3.0539999999999998</v>
      </c>
      <c r="EH17" s="16">
        <v>47.8</v>
      </c>
      <c r="EQ17" s="18">
        <v>2.0373795761078997</v>
      </c>
    </row>
    <row r="18" spans="1:147" ht="15.5" x14ac:dyDescent="0.35">
      <c r="A18" s="16">
        <v>15</v>
      </c>
      <c r="I18" s="16">
        <v>103</v>
      </c>
      <c r="Q18" s="16">
        <v>108</v>
      </c>
      <c r="Y18" s="16">
        <v>138</v>
      </c>
      <c r="AG18" s="16">
        <v>99</v>
      </c>
      <c r="AO18" s="16">
        <v>16.899999999999999</v>
      </c>
      <c r="AW18" s="16">
        <v>8.18</v>
      </c>
      <c r="BE18" s="16">
        <v>15.440000000000001</v>
      </c>
      <c r="BN18" s="16">
        <v>0.9</v>
      </c>
      <c r="BW18" s="16">
        <v>8</v>
      </c>
      <c r="CF18" s="16">
        <v>9</v>
      </c>
      <c r="CO18" s="16">
        <v>3</v>
      </c>
      <c r="CX18" s="16">
        <v>34</v>
      </c>
      <c r="DG18" s="18">
        <v>6.0020000000000007</v>
      </c>
      <c r="DP18" s="18">
        <v>3.44</v>
      </c>
      <c r="DY18" s="18">
        <v>2.718</v>
      </c>
      <c r="EH18" s="16">
        <v>40.4</v>
      </c>
      <c r="EQ18" s="18">
        <v>0.86879897238278747</v>
      </c>
    </row>
    <row r="19" spans="1:147" ht="15.5" x14ac:dyDescent="0.35">
      <c r="A19" s="16">
        <v>15</v>
      </c>
      <c r="I19" s="16">
        <v>99</v>
      </c>
      <c r="Q19" s="16">
        <v>106</v>
      </c>
      <c r="Y19" s="16">
        <v>132</v>
      </c>
      <c r="AG19" s="16">
        <v>89.5</v>
      </c>
      <c r="AO19" s="16">
        <v>17.5</v>
      </c>
      <c r="AW19" s="16">
        <v>9.379999999999999</v>
      </c>
      <c r="BE19" s="16">
        <v>15.959999999999999</v>
      </c>
      <c r="BN19" s="16">
        <v>0.9</v>
      </c>
      <c r="BW19" s="16">
        <v>8</v>
      </c>
      <c r="CF19" s="16">
        <v>9</v>
      </c>
      <c r="CO19" s="16">
        <v>3</v>
      </c>
      <c r="CX19" s="16">
        <v>32</v>
      </c>
      <c r="DG19" s="18">
        <v>6.7959999999999994</v>
      </c>
      <c r="DP19" s="18">
        <v>3.5100000000000002</v>
      </c>
      <c r="DY19" s="18">
        <v>2.87</v>
      </c>
      <c r="EH19" s="16">
        <v>44.6</v>
      </c>
      <c r="EQ19" s="18">
        <v>0.52312138728323698</v>
      </c>
    </row>
    <row r="20" spans="1:147" ht="15.5" x14ac:dyDescent="0.35">
      <c r="A20" s="16">
        <v>15</v>
      </c>
      <c r="I20" s="16">
        <v>102</v>
      </c>
      <c r="Q20" s="16">
        <v>108</v>
      </c>
      <c r="Y20" s="16">
        <v>134</v>
      </c>
      <c r="AG20" s="16">
        <v>113.47999999999999</v>
      </c>
      <c r="AO20" s="16">
        <v>24.4</v>
      </c>
      <c r="AW20" s="16">
        <v>8.36</v>
      </c>
      <c r="BE20" s="16">
        <v>15.419999999999998</v>
      </c>
      <c r="BN20" s="16">
        <v>0.9</v>
      </c>
      <c r="BW20" s="16">
        <v>7</v>
      </c>
      <c r="CF20" s="16">
        <v>10</v>
      </c>
      <c r="CO20" s="16">
        <v>3</v>
      </c>
      <c r="CX20" s="16">
        <v>38</v>
      </c>
      <c r="DG20" s="18">
        <v>6.14</v>
      </c>
      <c r="DP20" s="18">
        <v>3.3739999999999997</v>
      </c>
      <c r="DY20" s="18">
        <v>2.552</v>
      </c>
      <c r="EH20" s="16">
        <v>35.9</v>
      </c>
      <c r="EQ20" s="18">
        <v>0.75895953757225443</v>
      </c>
    </row>
    <row r="21" spans="1:147" ht="15.5" x14ac:dyDescent="0.35">
      <c r="A21" s="16">
        <v>15</v>
      </c>
      <c r="I21" s="16">
        <v>125</v>
      </c>
      <c r="Q21" s="16">
        <v>135</v>
      </c>
      <c r="Y21" s="16">
        <v>161</v>
      </c>
      <c r="AG21" s="16">
        <v>65.7</v>
      </c>
      <c r="AO21" s="16">
        <v>12.120000000000001</v>
      </c>
      <c r="AW21" s="16">
        <v>9.5</v>
      </c>
      <c r="BE21" s="16">
        <v>19.2</v>
      </c>
      <c r="BN21" s="16">
        <v>1.1599999999999999</v>
      </c>
      <c r="BW21" s="16">
        <v>6</v>
      </c>
      <c r="CF21" s="16">
        <v>10</v>
      </c>
      <c r="CO21" s="16">
        <v>3</v>
      </c>
      <c r="CX21" s="16">
        <v>50</v>
      </c>
      <c r="DG21" s="18">
        <v>6.266</v>
      </c>
      <c r="DP21" s="18">
        <v>3.4559999999999995</v>
      </c>
      <c r="DY21" s="18">
        <v>3.2320000000000002</v>
      </c>
      <c r="EH21" s="16">
        <v>32.5</v>
      </c>
      <c r="EQ21" s="18">
        <v>0.56231213872832375</v>
      </c>
    </row>
    <row r="22" spans="1:147" ht="15.5" x14ac:dyDescent="0.35">
      <c r="A22" s="16">
        <v>15</v>
      </c>
      <c r="I22" s="16">
        <v>102</v>
      </c>
      <c r="Q22" s="16">
        <v>108</v>
      </c>
      <c r="Y22" s="16">
        <v>136</v>
      </c>
      <c r="AG22" s="16">
        <v>116.32000000000001</v>
      </c>
      <c r="AO22" s="16">
        <v>28.48</v>
      </c>
      <c r="AW22" s="16">
        <v>8.4</v>
      </c>
      <c r="BE22" s="16">
        <v>14.919999999999998</v>
      </c>
      <c r="BN22" s="16">
        <v>0.78</v>
      </c>
      <c r="BW22" s="16">
        <v>17</v>
      </c>
      <c r="CF22" s="16">
        <v>10</v>
      </c>
      <c r="CO22" s="16">
        <v>3</v>
      </c>
      <c r="CX22" s="16">
        <v>43</v>
      </c>
      <c r="DG22" s="18">
        <v>5.7720000000000002</v>
      </c>
      <c r="DP22" s="18">
        <v>3.4659999999999997</v>
      </c>
      <c r="DY22" s="18">
        <v>3.1520000000000001</v>
      </c>
      <c r="EH22" s="16">
        <v>33.4</v>
      </c>
      <c r="EQ22" s="18">
        <v>0.76691072575465635</v>
      </c>
    </row>
    <row r="23" spans="1:147" ht="15.5" x14ac:dyDescent="0.35">
      <c r="A23" s="16">
        <v>15</v>
      </c>
      <c r="I23" s="16">
        <v>106</v>
      </c>
      <c r="Q23" s="16">
        <v>110</v>
      </c>
      <c r="Y23" s="16">
        <v>135</v>
      </c>
      <c r="AG23" s="16">
        <v>108.43999999999998</v>
      </c>
      <c r="AO23" s="16">
        <v>18.2</v>
      </c>
      <c r="AW23" s="16">
        <v>7.7</v>
      </c>
      <c r="BE23" s="16">
        <v>14.219999999999999</v>
      </c>
      <c r="BN23" s="16">
        <v>1</v>
      </c>
      <c r="BW23" s="16">
        <v>10</v>
      </c>
      <c r="CF23" s="16">
        <v>9</v>
      </c>
      <c r="CO23" s="16">
        <v>3</v>
      </c>
      <c r="CX23" s="16">
        <v>37</v>
      </c>
      <c r="DG23" s="18">
        <v>5.7280000000000006</v>
      </c>
      <c r="DP23" s="18">
        <v>3.2939999999999996</v>
      </c>
      <c r="DY23" s="18">
        <v>2.6280000000000001</v>
      </c>
      <c r="EH23" s="16">
        <v>34.6</v>
      </c>
      <c r="EQ23" s="18">
        <v>1.0046628131021194</v>
      </c>
    </row>
    <row r="24" spans="1:147" ht="15.5" x14ac:dyDescent="0.35">
      <c r="A24" s="16">
        <v>15</v>
      </c>
      <c r="I24" s="16">
        <v>102</v>
      </c>
      <c r="Q24" s="16">
        <v>108</v>
      </c>
      <c r="Y24" s="16">
        <v>134</v>
      </c>
      <c r="AG24" s="16">
        <v>92.6</v>
      </c>
      <c r="AO24" s="16">
        <v>17.600000000000001</v>
      </c>
      <c r="AW24" s="16">
        <v>7.4</v>
      </c>
      <c r="BE24" s="16">
        <v>11.8</v>
      </c>
      <c r="BN24" s="16">
        <v>1.0599999999999998</v>
      </c>
      <c r="BW24" s="16">
        <v>6</v>
      </c>
      <c r="CF24" s="16">
        <v>9</v>
      </c>
      <c r="CO24" s="16">
        <v>2</v>
      </c>
      <c r="CX24" s="16">
        <v>34</v>
      </c>
      <c r="DG24" s="18">
        <v>5.8179999999999996</v>
      </c>
      <c r="DP24" s="18">
        <v>3.3099999999999996</v>
      </c>
      <c r="DY24" s="18">
        <v>2.8479999999999999</v>
      </c>
      <c r="EH24" s="16">
        <v>34.700000000000003</v>
      </c>
      <c r="EQ24" s="18">
        <v>0.78403339755940904</v>
      </c>
    </row>
    <row r="25" spans="1:147" ht="15.5" x14ac:dyDescent="0.35">
      <c r="A25" s="16">
        <v>15</v>
      </c>
      <c r="I25" s="16">
        <v>106</v>
      </c>
      <c r="Q25" s="16">
        <v>111</v>
      </c>
      <c r="Y25" s="16">
        <v>140</v>
      </c>
      <c r="AG25" s="16">
        <v>86.4</v>
      </c>
      <c r="AO25" s="16">
        <v>7.38</v>
      </c>
      <c r="AW25" s="16">
        <v>12.4</v>
      </c>
      <c r="BE25" s="16">
        <v>13.8</v>
      </c>
      <c r="BN25" s="16">
        <v>1.1400000000000001</v>
      </c>
      <c r="BW25" s="16">
        <v>5</v>
      </c>
      <c r="CF25" s="16">
        <v>10</v>
      </c>
      <c r="CO25" s="16">
        <v>4</v>
      </c>
      <c r="CX25" s="16">
        <v>52</v>
      </c>
      <c r="DG25" s="18">
        <v>6.94</v>
      </c>
      <c r="DP25" s="18">
        <v>3.5980000000000003</v>
      </c>
      <c r="DY25" s="18">
        <v>2.6459999999999999</v>
      </c>
      <c r="EH25" s="16">
        <v>52.6</v>
      </c>
      <c r="EQ25" s="18">
        <v>1.3063583815028901</v>
      </c>
    </row>
    <row r="26" spans="1:147" ht="15.5" x14ac:dyDescent="0.35">
      <c r="A26" s="16">
        <v>15</v>
      </c>
      <c r="I26" s="16">
        <v>122</v>
      </c>
      <c r="Q26" s="16">
        <v>134</v>
      </c>
      <c r="Y26" s="16">
        <v>161</v>
      </c>
      <c r="AG26" s="16">
        <v>104.85999999999999</v>
      </c>
      <c r="AO26" s="16">
        <v>24.5</v>
      </c>
      <c r="AW26" s="16">
        <v>10.3</v>
      </c>
      <c r="BE26" s="16">
        <v>16.34</v>
      </c>
      <c r="BN26" s="16">
        <v>0.96</v>
      </c>
      <c r="BW26" s="16">
        <v>11</v>
      </c>
      <c r="CF26" s="16">
        <v>9</v>
      </c>
      <c r="CO26" s="16">
        <v>3</v>
      </c>
      <c r="CX26" s="16">
        <v>39</v>
      </c>
      <c r="DG26" s="18">
        <v>6.3239999999999998</v>
      </c>
      <c r="DP26" s="18">
        <v>3.07</v>
      </c>
      <c r="DY26" s="18">
        <v>2.552</v>
      </c>
      <c r="EH26" s="16">
        <v>35.700000000000003</v>
      </c>
      <c r="EQ26" s="18">
        <v>1.0113680154142581</v>
      </c>
    </row>
    <row r="27" spans="1:147" ht="15.5" x14ac:dyDescent="0.35">
      <c r="A27" s="16">
        <v>15</v>
      </c>
      <c r="I27" s="16">
        <v>106</v>
      </c>
      <c r="Q27" s="16">
        <v>111</v>
      </c>
      <c r="Y27" s="16">
        <v>140</v>
      </c>
      <c r="AG27" s="16">
        <v>97.9</v>
      </c>
      <c r="AO27" s="16">
        <v>11.9</v>
      </c>
      <c r="AW27" s="16">
        <v>11.4</v>
      </c>
      <c r="BE27" s="16">
        <v>11.86</v>
      </c>
      <c r="BN27" s="16">
        <v>1.1000000000000001</v>
      </c>
      <c r="BW27" s="16">
        <v>5</v>
      </c>
      <c r="CF27" s="16">
        <v>11</v>
      </c>
      <c r="CO27" s="16">
        <v>3</v>
      </c>
      <c r="CX27" s="16">
        <v>48</v>
      </c>
      <c r="DG27" s="18">
        <v>6.4819999999999993</v>
      </c>
      <c r="DP27" s="18">
        <v>3.3939999999999997</v>
      </c>
      <c r="DY27" s="18">
        <v>2.6239999999999997</v>
      </c>
      <c r="EH27" s="16">
        <v>48.8</v>
      </c>
      <c r="EQ27" s="18">
        <v>1.5873346178548491</v>
      </c>
    </row>
    <row r="28" spans="1:147" ht="15.5" x14ac:dyDescent="0.35">
      <c r="A28" s="16">
        <v>15</v>
      </c>
      <c r="I28" s="16">
        <v>104</v>
      </c>
      <c r="Q28" s="16">
        <v>109</v>
      </c>
      <c r="Y28" s="16">
        <v>138</v>
      </c>
      <c r="AG28" s="16">
        <v>96.84</v>
      </c>
      <c r="AO28" s="16">
        <v>16.080000000000002</v>
      </c>
      <c r="AW28" s="16">
        <v>7.88</v>
      </c>
      <c r="BE28" s="16">
        <v>11.180000000000001</v>
      </c>
      <c r="BN28" s="16">
        <v>1.04</v>
      </c>
      <c r="BW28" s="16">
        <v>10</v>
      </c>
      <c r="CF28" s="16">
        <v>9</v>
      </c>
      <c r="CO28" s="16">
        <v>3</v>
      </c>
      <c r="CX28" s="16">
        <v>37</v>
      </c>
      <c r="DG28" s="18">
        <v>5.9459999999999997</v>
      </c>
      <c r="DP28" s="18">
        <v>3.0300000000000002</v>
      </c>
      <c r="DY28" s="18">
        <v>2.944</v>
      </c>
      <c r="EH28" s="16">
        <v>35.299999999999997</v>
      </c>
      <c r="EQ28" s="18">
        <v>2.1156069364161847</v>
      </c>
    </row>
    <row r="29" spans="1:147" ht="15.5" x14ac:dyDescent="0.35">
      <c r="A29" s="16">
        <v>15</v>
      </c>
      <c r="I29" s="16">
        <v>108</v>
      </c>
      <c r="Q29" s="16">
        <v>111</v>
      </c>
      <c r="Y29" s="16">
        <v>161</v>
      </c>
      <c r="AG29" s="16">
        <v>103.17999999999999</v>
      </c>
      <c r="AO29" s="16">
        <v>16.100000000000001</v>
      </c>
      <c r="AW29" s="16">
        <v>7.1</v>
      </c>
      <c r="BE29" s="16">
        <v>9.2800000000000011</v>
      </c>
      <c r="BN29" s="16">
        <v>0.77999999999999992</v>
      </c>
      <c r="BW29" s="16">
        <v>12</v>
      </c>
      <c r="CF29" s="16">
        <v>8</v>
      </c>
      <c r="CO29" s="16">
        <v>3</v>
      </c>
      <c r="CX29" s="16">
        <v>36</v>
      </c>
      <c r="DG29" s="18">
        <v>5.1580000000000004</v>
      </c>
      <c r="DP29" s="18">
        <v>2.4479999999999995</v>
      </c>
      <c r="DY29" s="18">
        <v>2.0140000000000002</v>
      </c>
      <c r="EH29" s="16">
        <v>21.8</v>
      </c>
      <c r="EQ29" s="18">
        <v>1.4582658959537573</v>
      </c>
    </row>
    <row r="30" spans="1:147" ht="15.5" x14ac:dyDescent="0.35">
      <c r="A30" s="16">
        <v>18</v>
      </c>
      <c r="I30" s="16">
        <v>130</v>
      </c>
      <c r="Q30" s="16">
        <v>142</v>
      </c>
      <c r="Y30" s="16">
        <v>146</v>
      </c>
      <c r="AG30" s="16">
        <v>106.96</v>
      </c>
      <c r="AO30" s="16">
        <v>20.5</v>
      </c>
      <c r="AW30" s="16">
        <v>12</v>
      </c>
      <c r="BE30" s="16">
        <v>11.32</v>
      </c>
      <c r="BN30" s="16">
        <v>1</v>
      </c>
      <c r="BW30" s="16">
        <v>8</v>
      </c>
      <c r="CF30" s="16">
        <v>10</v>
      </c>
      <c r="CO30" s="16">
        <v>3</v>
      </c>
      <c r="CX30" s="16">
        <v>46</v>
      </c>
      <c r="DG30" s="18">
        <v>6.0000000000000009</v>
      </c>
      <c r="DP30" s="18">
        <v>2.6079999999999997</v>
      </c>
      <c r="DY30" s="18">
        <v>2.282</v>
      </c>
      <c r="EH30" s="16">
        <v>29.7</v>
      </c>
      <c r="EQ30" s="18">
        <v>2.4870905587668597</v>
      </c>
    </row>
    <row r="31" spans="1:147" ht="15.5" x14ac:dyDescent="0.35">
      <c r="A31" s="16">
        <v>15</v>
      </c>
      <c r="I31" s="16">
        <v>108</v>
      </c>
      <c r="Q31" s="16">
        <v>112</v>
      </c>
      <c r="Y31" s="16">
        <v>140</v>
      </c>
      <c r="AG31" s="16">
        <v>87.2</v>
      </c>
      <c r="AO31" s="16">
        <v>12.5</v>
      </c>
      <c r="AW31" s="16">
        <v>9.9</v>
      </c>
      <c r="BE31" s="16">
        <v>11.24</v>
      </c>
      <c r="BN31" s="16">
        <v>1.06</v>
      </c>
      <c r="BW31" s="16">
        <v>4</v>
      </c>
      <c r="CF31" s="16">
        <v>10</v>
      </c>
      <c r="CO31" s="16">
        <v>4</v>
      </c>
      <c r="CX31" s="16">
        <v>54</v>
      </c>
      <c r="DG31" s="18">
        <v>5.8100000000000005</v>
      </c>
      <c r="DP31" s="18">
        <v>3.0059999999999998</v>
      </c>
      <c r="DY31" s="18">
        <v>2.6020000000000003</v>
      </c>
      <c r="EH31" s="16">
        <v>38.4</v>
      </c>
      <c r="EQ31" s="18">
        <v>1.3512652536929992</v>
      </c>
    </row>
    <row r="32" spans="1:147" ht="15.5" x14ac:dyDescent="0.35">
      <c r="A32" s="16">
        <v>15</v>
      </c>
      <c r="I32" s="16">
        <v>108</v>
      </c>
      <c r="Q32" s="16">
        <v>111</v>
      </c>
      <c r="Y32" s="16">
        <v>140</v>
      </c>
      <c r="AG32" s="16">
        <v>87.4</v>
      </c>
      <c r="AO32" s="16">
        <v>13.1</v>
      </c>
      <c r="AW32" s="16">
        <v>9.9</v>
      </c>
      <c r="BE32" s="16">
        <v>10.120000000000001</v>
      </c>
      <c r="BN32" s="16">
        <v>1.06</v>
      </c>
      <c r="BW32" s="16">
        <v>5</v>
      </c>
      <c r="CF32" s="16">
        <v>10</v>
      </c>
      <c r="CO32" s="16">
        <v>3</v>
      </c>
      <c r="CX32" s="16">
        <v>48</v>
      </c>
      <c r="DG32" s="18">
        <v>5.7539999999999996</v>
      </c>
      <c r="DP32" s="18">
        <v>2.9859999999999998</v>
      </c>
      <c r="DY32" s="18">
        <v>2.468</v>
      </c>
      <c r="EH32" s="16">
        <v>39.1</v>
      </c>
      <c r="EQ32" s="18">
        <v>1.2745022479126527</v>
      </c>
    </row>
    <row r="33" spans="1:147" ht="15.5" x14ac:dyDescent="0.35">
      <c r="A33" s="16">
        <v>18</v>
      </c>
      <c r="I33" s="16">
        <v>114</v>
      </c>
      <c r="Q33" s="16">
        <v>117</v>
      </c>
      <c r="Y33" s="16">
        <v>146</v>
      </c>
      <c r="AG33" s="16">
        <v>75.599999999999994</v>
      </c>
      <c r="AO33" s="16">
        <v>7.8</v>
      </c>
      <c r="AW33" s="16">
        <v>9.3000000000000007</v>
      </c>
      <c r="BE33" s="16">
        <v>12.84</v>
      </c>
      <c r="BN33" s="16">
        <v>1.3199999999999998</v>
      </c>
      <c r="BW33" s="16">
        <v>7</v>
      </c>
      <c r="CF33" s="16">
        <v>9</v>
      </c>
      <c r="CO33" s="16">
        <v>4</v>
      </c>
      <c r="CX33" s="16">
        <v>45</v>
      </c>
      <c r="DG33" s="18">
        <v>5.9799999999999995</v>
      </c>
      <c r="DP33" s="18">
        <v>3.5839999999999996</v>
      </c>
      <c r="DY33" s="18">
        <v>3.028</v>
      </c>
      <c r="EH33" s="16">
        <v>46.8</v>
      </c>
      <c r="EQ33" s="18">
        <v>1.7069749518304431</v>
      </c>
    </row>
    <row r="34" spans="1:147" ht="15.5" x14ac:dyDescent="0.35">
      <c r="A34" s="16">
        <v>18</v>
      </c>
      <c r="I34" s="16">
        <v>106</v>
      </c>
      <c r="Q34" s="16">
        <v>111</v>
      </c>
      <c r="Y34" s="16">
        <v>145</v>
      </c>
      <c r="AG34" s="16">
        <v>88.2</v>
      </c>
      <c r="AO34" s="16">
        <v>13.4</v>
      </c>
      <c r="AW34" s="16">
        <v>7.8</v>
      </c>
      <c r="BE34" s="16">
        <v>9.6999999999999993</v>
      </c>
      <c r="BN34" s="16">
        <v>0.8</v>
      </c>
      <c r="BW34" s="16">
        <v>6</v>
      </c>
      <c r="CF34" s="16">
        <v>9</v>
      </c>
      <c r="CO34" s="16">
        <v>3</v>
      </c>
      <c r="CX34" s="16">
        <v>39</v>
      </c>
      <c r="DG34" s="18">
        <v>5.8739999999999997</v>
      </c>
      <c r="DP34" s="18">
        <v>3.2339999999999995</v>
      </c>
      <c r="DY34" s="18">
        <v>2.5920000000000001</v>
      </c>
      <c r="EH34" s="16">
        <v>31.7</v>
      </c>
      <c r="EQ34" s="18">
        <v>1.8497109826589597</v>
      </c>
    </row>
    <row r="35" spans="1:147" ht="15.5" x14ac:dyDescent="0.35">
      <c r="A35" s="16">
        <v>18</v>
      </c>
      <c r="I35" s="16">
        <v>126</v>
      </c>
      <c r="Q35" s="16">
        <v>145</v>
      </c>
      <c r="Y35" s="16">
        <v>146</v>
      </c>
      <c r="AG35" s="16">
        <v>95.97999999999999</v>
      </c>
      <c r="AO35" s="16">
        <v>12.7</v>
      </c>
      <c r="AW35" s="16">
        <v>13.14</v>
      </c>
      <c r="BE35" s="16">
        <v>13.4</v>
      </c>
      <c r="BN35" s="16">
        <v>0.92000000000000015</v>
      </c>
      <c r="BW35" s="16">
        <v>7</v>
      </c>
      <c r="CF35" s="16">
        <v>12</v>
      </c>
      <c r="CO35" s="16">
        <v>3</v>
      </c>
      <c r="CX35" s="16">
        <v>48</v>
      </c>
      <c r="DG35" s="18">
        <v>6.6599999999999993</v>
      </c>
      <c r="DP35" s="18">
        <v>2.972</v>
      </c>
      <c r="DY35" s="18">
        <v>2.5439999999999996</v>
      </c>
      <c r="EH35" s="16">
        <v>37.5</v>
      </c>
      <c r="EQ35" s="18">
        <v>0.66115606936416182</v>
      </c>
    </row>
    <row r="36" spans="1:147" ht="15.5" x14ac:dyDescent="0.35">
      <c r="A36" s="16">
        <v>15</v>
      </c>
      <c r="I36" s="16">
        <v>106</v>
      </c>
      <c r="Q36" s="16">
        <v>112</v>
      </c>
      <c r="Y36" s="16">
        <v>140</v>
      </c>
      <c r="AG36" s="16">
        <v>104.62</v>
      </c>
      <c r="AO36" s="16">
        <v>17.100000000000001</v>
      </c>
      <c r="AW36" s="16">
        <v>8.5</v>
      </c>
      <c r="BE36" s="16">
        <v>10.5</v>
      </c>
      <c r="BN36" s="16">
        <v>0.86</v>
      </c>
      <c r="BW36" s="16">
        <v>7</v>
      </c>
      <c r="CF36" s="16">
        <v>10</v>
      </c>
      <c r="CO36" s="16">
        <v>3</v>
      </c>
      <c r="CX36" s="16">
        <v>45</v>
      </c>
      <c r="DG36" s="18">
        <v>5.2460000000000004</v>
      </c>
      <c r="DP36" s="18">
        <v>3.1859999999999999</v>
      </c>
      <c r="DY36" s="18">
        <v>2.41</v>
      </c>
      <c r="EH36" s="16">
        <v>31.8</v>
      </c>
      <c r="EQ36" s="18">
        <v>1.9450738599871547</v>
      </c>
    </row>
    <row r="37" spans="1:147" ht="15.5" x14ac:dyDescent="0.35">
      <c r="A37" s="16">
        <v>15</v>
      </c>
      <c r="I37" s="16">
        <v>106</v>
      </c>
      <c r="Q37" s="16">
        <v>111</v>
      </c>
      <c r="Y37" s="16">
        <v>140</v>
      </c>
      <c r="AG37" s="16">
        <v>96.44</v>
      </c>
      <c r="AO37" s="16">
        <v>18.399999999999999</v>
      </c>
      <c r="AW37" s="16">
        <v>7.1400000000000006</v>
      </c>
      <c r="BE37" s="16">
        <v>9.5</v>
      </c>
      <c r="BN37" s="16">
        <v>0.96</v>
      </c>
      <c r="BW37" s="16">
        <v>15</v>
      </c>
      <c r="CF37" s="16">
        <v>9</v>
      </c>
      <c r="CO37" s="16">
        <v>3</v>
      </c>
      <c r="CX37" s="16">
        <v>45</v>
      </c>
      <c r="DG37" s="18">
        <v>5.4040000000000008</v>
      </c>
      <c r="DP37" s="18">
        <v>2.75</v>
      </c>
      <c r="DY37" s="18">
        <v>2.4239999999999999</v>
      </c>
      <c r="EH37" s="16">
        <v>24.9</v>
      </c>
      <c r="EQ37" s="18">
        <v>1.6513423249839434</v>
      </c>
    </row>
    <row r="38" spans="1:147" ht="15.5" x14ac:dyDescent="0.35">
      <c r="A38" s="16">
        <v>15</v>
      </c>
      <c r="I38" s="16">
        <v>108</v>
      </c>
      <c r="Q38" s="16">
        <v>111</v>
      </c>
      <c r="Y38" s="16">
        <v>145</v>
      </c>
      <c r="AG38" s="16">
        <v>82.2</v>
      </c>
      <c r="AO38" s="16">
        <v>6.44</v>
      </c>
      <c r="AW38" s="16">
        <v>12.3</v>
      </c>
      <c r="BE38" s="16">
        <v>8.98</v>
      </c>
      <c r="BN38" s="16">
        <v>0.9</v>
      </c>
      <c r="BW38" s="16">
        <v>9</v>
      </c>
      <c r="CF38" s="16">
        <v>11</v>
      </c>
      <c r="CO38" s="16">
        <v>3</v>
      </c>
      <c r="CX38" s="16">
        <v>47</v>
      </c>
      <c r="DG38" s="18">
        <v>6.1479999999999988</v>
      </c>
      <c r="DP38" s="18">
        <v>3.044</v>
      </c>
      <c r="DY38" s="18">
        <v>2.3360000000000003</v>
      </c>
      <c r="EH38" s="16">
        <v>34.1</v>
      </c>
      <c r="EQ38" s="18">
        <v>1.5890944123314068</v>
      </c>
    </row>
    <row r="39" spans="1:147" ht="15.5" x14ac:dyDescent="0.35">
      <c r="A39" s="16">
        <v>15</v>
      </c>
      <c r="I39" s="16">
        <v>106</v>
      </c>
      <c r="Q39" s="16">
        <v>111</v>
      </c>
      <c r="Y39" s="16">
        <v>140</v>
      </c>
      <c r="AG39" s="16">
        <v>95.3</v>
      </c>
      <c r="AO39" s="16">
        <v>15.7</v>
      </c>
      <c r="AW39" s="16">
        <v>7.7</v>
      </c>
      <c r="BE39" s="16">
        <v>8.08</v>
      </c>
      <c r="BN39" s="16">
        <v>0.88000000000000012</v>
      </c>
      <c r="BW39" s="16">
        <v>7</v>
      </c>
      <c r="CF39" s="16">
        <v>10</v>
      </c>
      <c r="CO39" s="16">
        <v>3</v>
      </c>
      <c r="CX39" s="16">
        <v>45</v>
      </c>
      <c r="DG39" s="18">
        <v>5.31</v>
      </c>
      <c r="DP39" s="18">
        <v>2.952</v>
      </c>
      <c r="DY39" s="18">
        <v>2.444</v>
      </c>
      <c r="EH39" s="16">
        <v>30.7</v>
      </c>
      <c r="EQ39" s="18">
        <v>1.3848940269749519</v>
      </c>
    </row>
    <row r="40" spans="1:147" ht="15.5" x14ac:dyDescent="0.35">
      <c r="A40" s="16">
        <v>15</v>
      </c>
      <c r="I40" s="16">
        <v>106</v>
      </c>
      <c r="Q40" s="16">
        <v>111</v>
      </c>
      <c r="Y40" s="16">
        <v>138</v>
      </c>
      <c r="AG40" s="16">
        <v>97.78</v>
      </c>
      <c r="AO40" s="16">
        <v>16.559999999999999</v>
      </c>
      <c r="AW40" s="16">
        <v>8.3000000000000007</v>
      </c>
      <c r="BE40" s="16">
        <v>10.6</v>
      </c>
      <c r="BN40" s="16">
        <v>0.96</v>
      </c>
      <c r="BW40" s="16">
        <v>16</v>
      </c>
      <c r="CF40" s="16">
        <v>9</v>
      </c>
      <c r="CO40" s="16">
        <v>4</v>
      </c>
      <c r="CX40" s="16">
        <v>51</v>
      </c>
      <c r="DG40" s="18">
        <v>5.18</v>
      </c>
      <c r="DP40" s="18">
        <v>2.5659999999999998</v>
      </c>
      <c r="DY40" s="18">
        <v>2.09</v>
      </c>
      <c r="EH40" s="16">
        <v>26</v>
      </c>
      <c r="EQ40" s="18">
        <v>1.9559280667951187</v>
      </c>
    </row>
    <row r="41" spans="1:147" ht="15.5" x14ac:dyDescent="0.35">
      <c r="A41" s="16">
        <v>15</v>
      </c>
      <c r="I41" s="16">
        <v>102</v>
      </c>
      <c r="Q41" s="16">
        <v>108</v>
      </c>
      <c r="Y41" s="16">
        <v>138</v>
      </c>
      <c r="AG41" s="16">
        <v>72.201999999999998</v>
      </c>
      <c r="AO41" s="16">
        <v>16.600000000000001</v>
      </c>
      <c r="AW41" s="16">
        <v>7.6</v>
      </c>
      <c r="BE41" s="16">
        <v>12.7</v>
      </c>
      <c r="BN41" s="16">
        <v>1</v>
      </c>
      <c r="BW41" s="16">
        <v>8</v>
      </c>
      <c r="CF41" s="16">
        <v>9</v>
      </c>
      <c r="CO41" s="16">
        <v>3</v>
      </c>
      <c r="CX41" s="16">
        <v>39</v>
      </c>
      <c r="DG41" s="18">
        <v>5.1539999999999999</v>
      </c>
      <c r="DP41" s="18">
        <v>3.3200000000000003</v>
      </c>
      <c r="DY41" s="18">
        <v>2.6859999999999999</v>
      </c>
      <c r="EH41" s="16">
        <v>36.700000000000003</v>
      </c>
      <c r="EQ41" s="18">
        <v>2.2312138728323698</v>
      </c>
    </row>
    <row r="42" spans="1:147" ht="15.5" x14ac:dyDescent="0.35">
      <c r="A42" s="16">
        <v>15</v>
      </c>
      <c r="I42" s="16">
        <v>108</v>
      </c>
      <c r="Q42" s="16">
        <v>111</v>
      </c>
      <c r="Y42" s="16">
        <v>145</v>
      </c>
      <c r="AG42" s="16">
        <v>82.6</v>
      </c>
      <c r="AO42" s="16">
        <v>7.7</v>
      </c>
      <c r="AW42" s="16">
        <v>11.6</v>
      </c>
      <c r="BE42" s="16">
        <v>10.9</v>
      </c>
      <c r="BN42" s="16">
        <v>1.0799999999999998</v>
      </c>
      <c r="BW42" s="16">
        <v>5</v>
      </c>
      <c r="CF42" s="16">
        <v>10</v>
      </c>
      <c r="CO42" s="16">
        <v>3</v>
      </c>
      <c r="CX42" s="16">
        <v>42</v>
      </c>
      <c r="DG42" s="18">
        <v>6.7180000000000009</v>
      </c>
      <c r="DP42" s="18">
        <v>3.7399999999999998</v>
      </c>
      <c r="DY42" s="18">
        <v>2.6399999999999997</v>
      </c>
      <c r="EH42" s="16">
        <v>48.08</v>
      </c>
      <c r="EQ42" s="18">
        <v>1.3237764932562621</v>
      </c>
    </row>
    <row r="43" spans="1:147" ht="15.5" x14ac:dyDescent="0.35">
      <c r="A43" s="16">
        <v>15</v>
      </c>
      <c r="I43" s="16">
        <v>106</v>
      </c>
      <c r="Q43" s="16">
        <v>111</v>
      </c>
      <c r="Y43" s="16">
        <v>143</v>
      </c>
      <c r="AG43" s="16">
        <v>89.5</v>
      </c>
      <c r="AO43" s="16">
        <v>10.16</v>
      </c>
      <c r="AW43" s="16">
        <v>6.7200000000000006</v>
      </c>
      <c r="BE43" s="16">
        <v>11.52</v>
      </c>
      <c r="BN43" s="16">
        <v>0.9</v>
      </c>
      <c r="BW43" s="16">
        <v>10</v>
      </c>
      <c r="CF43" s="16">
        <v>9</v>
      </c>
      <c r="CO43" s="16">
        <v>3</v>
      </c>
      <c r="CX43" s="16">
        <v>42</v>
      </c>
      <c r="DG43" s="18">
        <v>5.75</v>
      </c>
      <c r="DP43" s="18">
        <v>3.3759999999999999</v>
      </c>
      <c r="DY43" s="18">
        <v>3.0460000000000003</v>
      </c>
      <c r="EH43" s="16">
        <v>35.6</v>
      </c>
      <c r="EQ43" s="18">
        <v>1.9884393063583818</v>
      </c>
    </row>
    <row r="44" spans="1:147" ht="15.5" x14ac:dyDescent="0.35">
      <c r="A44" s="16">
        <v>15</v>
      </c>
      <c r="I44" s="16">
        <v>109</v>
      </c>
      <c r="Q44" s="16">
        <v>112</v>
      </c>
      <c r="Y44" s="16">
        <v>142</v>
      </c>
      <c r="AG44" s="16">
        <v>62.8</v>
      </c>
      <c r="AO44" s="16">
        <v>5.8</v>
      </c>
      <c r="AW44" s="16">
        <v>10.1</v>
      </c>
      <c r="BE44" s="16">
        <v>9.82</v>
      </c>
      <c r="BN44" s="16">
        <v>1.02</v>
      </c>
      <c r="BW44" s="16">
        <v>4</v>
      </c>
      <c r="CF44" s="16">
        <v>9</v>
      </c>
      <c r="CO44" s="16">
        <v>3</v>
      </c>
      <c r="CX44" s="16">
        <v>38</v>
      </c>
      <c r="DG44" s="18">
        <v>6.0739999999999998</v>
      </c>
      <c r="DP44" s="18">
        <v>3.4520000000000004</v>
      </c>
      <c r="DY44" s="18">
        <v>3.1619999999999999</v>
      </c>
      <c r="EH44" s="16">
        <v>50.2</v>
      </c>
      <c r="EQ44" s="18">
        <v>2.1618497109826591</v>
      </c>
    </row>
    <row r="45" spans="1:147" ht="15.5" x14ac:dyDescent="0.35">
      <c r="A45" s="16">
        <v>15</v>
      </c>
      <c r="I45" s="16">
        <v>110</v>
      </c>
      <c r="Q45" s="16">
        <v>113</v>
      </c>
      <c r="Y45" s="16">
        <v>142</v>
      </c>
      <c r="AG45" s="16">
        <v>82.6</v>
      </c>
      <c r="AO45" s="16">
        <v>12.7</v>
      </c>
      <c r="AW45" s="16">
        <v>7</v>
      </c>
      <c r="BE45" s="16">
        <v>12.7</v>
      </c>
      <c r="BN45" s="16">
        <v>1.3599999999999999</v>
      </c>
      <c r="BW45" s="16">
        <v>5</v>
      </c>
      <c r="CF45" s="16">
        <v>9</v>
      </c>
      <c r="CO45" s="16">
        <v>3</v>
      </c>
      <c r="CX45" s="16">
        <v>40</v>
      </c>
      <c r="DG45" s="18">
        <v>5.1219999999999999</v>
      </c>
      <c r="DP45" s="18">
        <v>2.8519999999999999</v>
      </c>
      <c r="DY45" s="18">
        <v>2.2039999999999997</v>
      </c>
      <c r="EH45" s="16">
        <v>21.7</v>
      </c>
      <c r="EQ45" s="18">
        <v>0.9143095696852922</v>
      </c>
    </row>
    <row r="46" spans="1:147" ht="15.5" x14ac:dyDescent="0.35">
      <c r="A46" s="16">
        <v>15</v>
      </c>
      <c r="I46" s="16">
        <v>109</v>
      </c>
      <c r="Q46" s="16">
        <v>112</v>
      </c>
      <c r="Y46" s="16">
        <v>142</v>
      </c>
      <c r="AG46" s="16">
        <v>68.8</v>
      </c>
      <c r="AO46" s="16">
        <v>9.1999999999999993</v>
      </c>
      <c r="AW46" s="16">
        <v>10.3</v>
      </c>
      <c r="BE46" s="16">
        <v>12.059999999999999</v>
      </c>
      <c r="BN46" s="16">
        <v>0.94000000000000006</v>
      </c>
      <c r="BW46" s="16">
        <v>6</v>
      </c>
      <c r="CF46" s="16">
        <v>10</v>
      </c>
      <c r="CO46" s="16">
        <v>3</v>
      </c>
      <c r="CX46" s="16">
        <v>51</v>
      </c>
      <c r="DG46" s="18">
        <v>6.1980000000000004</v>
      </c>
      <c r="DP46" s="18">
        <v>3.3120000000000003</v>
      </c>
      <c r="DY46" s="18">
        <v>2.8380000000000001</v>
      </c>
      <c r="EH46" s="16">
        <v>37.299999999999997</v>
      </c>
      <c r="EQ46" s="18">
        <v>1.4109055876685936</v>
      </c>
    </row>
    <row r="47" spans="1:147" ht="15.5" x14ac:dyDescent="0.35">
      <c r="A47" s="16">
        <v>15</v>
      </c>
      <c r="I47" s="16">
        <v>104</v>
      </c>
      <c r="Q47" s="16">
        <v>110</v>
      </c>
      <c r="Y47" s="16">
        <v>140</v>
      </c>
      <c r="AG47" s="16">
        <v>96.820000000000007</v>
      </c>
      <c r="AO47" s="16">
        <v>19.399999999999999</v>
      </c>
      <c r="AW47" s="16">
        <v>8.9</v>
      </c>
      <c r="BE47" s="16">
        <v>10.9</v>
      </c>
      <c r="BN47" s="16">
        <v>1.3599999999999999</v>
      </c>
      <c r="BW47" s="16">
        <v>9</v>
      </c>
      <c r="CF47" s="16">
        <v>10</v>
      </c>
      <c r="CO47" s="16">
        <v>3</v>
      </c>
      <c r="CX47" s="16">
        <v>41</v>
      </c>
      <c r="DG47" s="18">
        <v>5.6440000000000001</v>
      </c>
      <c r="DP47" s="18">
        <v>3.3540000000000005</v>
      </c>
      <c r="DY47" s="18">
        <v>2.802</v>
      </c>
      <c r="EH47" s="16">
        <v>42.4</v>
      </c>
      <c r="EQ47" s="18">
        <v>2.1867694283879255</v>
      </c>
    </row>
    <row r="48" spans="1:147" ht="15.5" x14ac:dyDescent="0.35">
      <c r="A48" s="16">
        <v>15</v>
      </c>
      <c r="I48" s="16">
        <v>112</v>
      </c>
      <c r="Q48" s="16">
        <v>114</v>
      </c>
      <c r="Y48" s="16">
        <v>142</v>
      </c>
      <c r="AG48" s="16">
        <v>95.8</v>
      </c>
      <c r="AO48" s="16">
        <v>16.7</v>
      </c>
      <c r="AW48" s="16">
        <v>8.3000000000000007</v>
      </c>
      <c r="BE48" s="16">
        <v>13.080000000000002</v>
      </c>
      <c r="BN48" s="16">
        <v>0.96</v>
      </c>
      <c r="BW48" s="16">
        <v>7</v>
      </c>
      <c r="CF48" s="16">
        <v>11</v>
      </c>
      <c r="CO48" s="16">
        <v>3</v>
      </c>
      <c r="CX48" s="16">
        <v>49</v>
      </c>
      <c r="DG48" s="18">
        <v>5.4219999999999988</v>
      </c>
      <c r="DP48" s="18">
        <v>2.8899999999999997</v>
      </c>
      <c r="DY48" s="18">
        <v>2.2359999999999998</v>
      </c>
      <c r="EH48" s="16">
        <v>24.4</v>
      </c>
      <c r="EQ48" s="18">
        <v>1.0184971098265896</v>
      </c>
    </row>
    <row r="49" spans="1:147" ht="15.5" x14ac:dyDescent="0.35">
      <c r="A49" s="16">
        <v>15</v>
      </c>
      <c r="I49" s="16">
        <v>102</v>
      </c>
      <c r="Q49" s="16">
        <v>108</v>
      </c>
      <c r="Y49" s="16">
        <v>135</v>
      </c>
      <c r="AG49" s="16">
        <v>98.039999999999992</v>
      </c>
      <c r="AO49" s="16">
        <v>23.8</v>
      </c>
      <c r="AW49" s="16">
        <v>8.1</v>
      </c>
      <c r="BE49" s="16">
        <v>12.4</v>
      </c>
      <c r="BN49" s="16">
        <v>1</v>
      </c>
      <c r="BW49" s="16">
        <v>7</v>
      </c>
      <c r="CF49" s="16">
        <v>9</v>
      </c>
      <c r="CO49" s="16">
        <v>2</v>
      </c>
      <c r="CX49" s="16">
        <v>41</v>
      </c>
      <c r="DG49" s="18">
        <v>5.2640000000000002</v>
      </c>
      <c r="DP49" s="18">
        <v>3.1159999999999997</v>
      </c>
      <c r="DY49" s="18">
        <v>2.7639999999999998</v>
      </c>
      <c r="EH49" s="16">
        <v>32.4</v>
      </c>
      <c r="EQ49" s="18">
        <v>1.8550802825947332</v>
      </c>
    </row>
    <row r="50" spans="1:147" ht="15.5" x14ac:dyDescent="0.35">
      <c r="A50" s="16">
        <v>15</v>
      </c>
      <c r="I50" s="16">
        <v>100</v>
      </c>
      <c r="Q50" s="16">
        <v>102</v>
      </c>
      <c r="Y50" s="16">
        <v>146</v>
      </c>
      <c r="AG50" s="16">
        <v>88.06</v>
      </c>
      <c r="AO50" s="16">
        <v>13.9</v>
      </c>
      <c r="AW50" s="16">
        <v>10.4</v>
      </c>
      <c r="BE50" s="16">
        <v>10.680000000000001</v>
      </c>
      <c r="BN50" s="16">
        <v>0.93999999999999984</v>
      </c>
      <c r="BW50" s="16">
        <v>7</v>
      </c>
      <c r="CF50" s="16">
        <v>8</v>
      </c>
      <c r="CO50" s="16">
        <v>3</v>
      </c>
      <c r="CX50" s="16">
        <v>38</v>
      </c>
      <c r="DG50" s="18">
        <v>6.9959999999999996</v>
      </c>
      <c r="DP50" s="18">
        <v>3.6159999999999997</v>
      </c>
      <c r="DY50" s="18">
        <v>3.15</v>
      </c>
      <c r="EH50" s="16">
        <v>48.08</v>
      </c>
      <c r="EQ50" s="18">
        <v>1.5890944123314068</v>
      </c>
    </row>
    <row r="51" spans="1:147" ht="15.5" x14ac:dyDescent="0.35">
      <c r="A51" s="16">
        <v>15</v>
      </c>
      <c r="I51" s="16">
        <v>102</v>
      </c>
      <c r="Q51" s="16">
        <v>108</v>
      </c>
      <c r="Y51" s="16">
        <v>136</v>
      </c>
      <c r="AG51" s="16">
        <v>96.640000000000015</v>
      </c>
      <c r="AO51" s="16">
        <v>21.7</v>
      </c>
      <c r="AW51" s="16">
        <v>8.1999999999999993</v>
      </c>
      <c r="BE51" s="16">
        <v>10.459999999999999</v>
      </c>
      <c r="BN51" s="16">
        <v>0.96</v>
      </c>
      <c r="BW51" s="16">
        <v>11</v>
      </c>
      <c r="CF51" s="16">
        <v>9</v>
      </c>
      <c r="CO51" s="16">
        <v>3</v>
      </c>
      <c r="CX51" s="16">
        <v>35</v>
      </c>
      <c r="DG51" s="18">
        <v>5.492</v>
      </c>
      <c r="DP51" s="18">
        <v>2.996</v>
      </c>
      <c r="DY51" s="18">
        <v>2.3140000000000001</v>
      </c>
      <c r="EH51" s="16">
        <v>28.7</v>
      </c>
      <c r="EQ51" s="18">
        <v>2.2749261400128451</v>
      </c>
    </row>
    <row r="52" spans="1:147" ht="15.5" x14ac:dyDescent="0.35">
      <c r="A52" s="16">
        <v>15</v>
      </c>
      <c r="I52" s="16">
        <v>106</v>
      </c>
      <c r="Q52" s="16">
        <v>110</v>
      </c>
      <c r="Y52" s="16">
        <v>137</v>
      </c>
      <c r="AG52" s="16">
        <v>95.8</v>
      </c>
      <c r="AO52" s="16">
        <v>16.399999999999999</v>
      </c>
      <c r="AW52" s="16">
        <v>8.1999999999999993</v>
      </c>
      <c r="BE52" s="16">
        <v>12.76</v>
      </c>
      <c r="BN52" s="16">
        <v>1.02</v>
      </c>
      <c r="BW52" s="16">
        <v>6</v>
      </c>
      <c r="CF52" s="16">
        <v>9</v>
      </c>
      <c r="CO52" s="16">
        <v>3</v>
      </c>
      <c r="CX52" s="16">
        <v>43</v>
      </c>
      <c r="DG52" s="18">
        <v>5.3220000000000001</v>
      </c>
      <c r="DP52" s="18">
        <v>2.9139999999999997</v>
      </c>
      <c r="DY52" s="18">
        <v>2.4859999999999998</v>
      </c>
      <c r="EH52" s="16">
        <v>28.2</v>
      </c>
      <c r="EQ52" s="18">
        <v>1.5802954399486193</v>
      </c>
    </row>
    <row r="53" spans="1:147" ht="15.5" x14ac:dyDescent="0.35">
      <c r="A53" s="16">
        <v>15</v>
      </c>
      <c r="I53" s="16">
        <v>109</v>
      </c>
      <c r="Q53" s="16">
        <v>113</v>
      </c>
      <c r="Y53" s="16">
        <v>146</v>
      </c>
      <c r="AG53" s="16">
        <v>76.599999999999994</v>
      </c>
      <c r="AO53" s="16">
        <v>7.6</v>
      </c>
      <c r="AW53" s="16">
        <v>11.5</v>
      </c>
      <c r="BE53" s="16">
        <v>12.2</v>
      </c>
      <c r="BN53" s="16">
        <v>0.97999999999999987</v>
      </c>
      <c r="BW53" s="16">
        <v>5</v>
      </c>
      <c r="CF53" s="16">
        <v>10</v>
      </c>
      <c r="CO53" s="16">
        <v>3</v>
      </c>
      <c r="CX53" s="16">
        <v>45</v>
      </c>
      <c r="DG53" s="18">
        <v>6.7159999999999993</v>
      </c>
      <c r="DP53" s="18">
        <v>3.3920000000000003</v>
      </c>
      <c r="DY53" s="18">
        <v>2.5499999999999998</v>
      </c>
      <c r="EH53" s="16">
        <v>47.5</v>
      </c>
      <c r="EQ53" s="18">
        <v>1.8624277456647402</v>
      </c>
    </row>
    <row r="54" spans="1:147" ht="15.5" x14ac:dyDescent="0.35">
      <c r="A54" s="16">
        <v>15</v>
      </c>
      <c r="I54" s="16">
        <v>112</v>
      </c>
      <c r="Q54" s="16">
        <v>115</v>
      </c>
      <c r="Y54" s="16">
        <v>144</v>
      </c>
      <c r="AG54" s="16">
        <v>97.039999999999992</v>
      </c>
      <c r="AO54" s="16">
        <v>18.899999999999999</v>
      </c>
      <c r="AW54" s="16">
        <v>7.8</v>
      </c>
      <c r="BE54" s="16">
        <v>9.9599999999999991</v>
      </c>
      <c r="BN54" s="16">
        <v>0.8</v>
      </c>
      <c r="BW54" s="16">
        <v>7</v>
      </c>
      <c r="CF54" s="16">
        <v>9</v>
      </c>
      <c r="CO54" s="16">
        <v>3</v>
      </c>
      <c r="CX54" s="16">
        <v>44</v>
      </c>
      <c r="DG54" s="18">
        <v>5.3719999999999999</v>
      </c>
      <c r="DP54" s="18">
        <v>2.6160000000000001</v>
      </c>
      <c r="DY54" s="18">
        <v>2.4239999999999999</v>
      </c>
      <c r="EH54" s="16">
        <v>25.8</v>
      </c>
      <c r="EQ54" s="18">
        <v>1.2172639691714835</v>
      </c>
    </row>
    <row r="55" spans="1:147" ht="15.5" x14ac:dyDescent="0.35">
      <c r="A55" s="16">
        <v>19</v>
      </c>
      <c r="I55" s="16">
        <v>102</v>
      </c>
      <c r="Q55" s="16">
        <v>110</v>
      </c>
      <c r="Y55" s="16">
        <v>141</v>
      </c>
      <c r="AG55" s="16">
        <v>74</v>
      </c>
      <c r="AO55" s="16">
        <v>9.1999999999999993</v>
      </c>
      <c r="AW55" s="16">
        <v>10.7</v>
      </c>
      <c r="BE55" s="16">
        <v>12.1</v>
      </c>
      <c r="BN55" s="16">
        <v>0.9</v>
      </c>
      <c r="BW55" s="16">
        <v>8</v>
      </c>
      <c r="CF55" s="16">
        <v>10</v>
      </c>
      <c r="CO55" s="16">
        <v>3</v>
      </c>
      <c r="CX55" s="16">
        <v>37</v>
      </c>
      <c r="DG55" s="18">
        <v>5.9680000000000009</v>
      </c>
      <c r="DP55" s="18">
        <v>3.198</v>
      </c>
      <c r="DY55" s="18">
        <v>2.8920000000000003</v>
      </c>
      <c r="EH55" s="16">
        <v>40.9</v>
      </c>
      <c r="EQ55" s="18">
        <v>0.92445728965960183</v>
      </c>
    </row>
    <row r="56" spans="1:147" ht="15.5" x14ac:dyDescent="0.35">
      <c r="A56" s="16">
        <v>15</v>
      </c>
      <c r="I56" s="16">
        <v>110</v>
      </c>
      <c r="Q56" s="16">
        <v>113</v>
      </c>
      <c r="Y56" s="16">
        <v>146</v>
      </c>
      <c r="AG56" s="16">
        <v>77.400000000000006</v>
      </c>
      <c r="AO56" s="16">
        <v>7.5200000000000005</v>
      </c>
      <c r="AW56" s="16">
        <v>12.1</v>
      </c>
      <c r="BE56" s="16">
        <v>8.879999999999999</v>
      </c>
      <c r="BN56" s="16">
        <v>0.74</v>
      </c>
      <c r="BW56" s="16">
        <v>4</v>
      </c>
      <c r="CF56" s="16">
        <v>10</v>
      </c>
      <c r="CO56" s="16">
        <v>3</v>
      </c>
      <c r="CX56" s="16">
        <v>44</v>
      </c>
      <c r="DG56" s="18">
        <v>6.4259999999999993</v>
      </c>
      <c r="DP56" s="18">
        <v>3.258</v>
      </c>
      <c r="DY56" s="18">
        <v>2.6420000000000003</v>
      </c>
      <c r="EH56" s="16">
        <v>40.200000000000003</v>
      </c>
      <c r="EQ56" s="18">
        <v>1.8130122029543994</v>
      </c>
    </row>
    <row r="57" spans="1:147" ht="15.5" x14ac:dyDescent="0.35">
      <c r="A57" s="16">
        <v>15</v>
      </c>
      <c r="I57" s="16">
        <v>106</v>
      </c>
      <c r="Q57" s="16">
        <v>111</v>
      </c>
      <c r="Y57" s="16">
        <v>146</v>
      </c>
      <c r="AG57" s="16">
        <v>97.460000000000008</v>
      </c>
      <c r="AO57" s="16">
        <v>14</v>
      </c>
      <c r="AW57" s="16">
        <v>9</v>
      </c>
      <c r="BE57" s="16">
        <v>9.5599999999999987</v>
      </c>
      <c r="BN57" s="16">
        <v>0.77999999999999992</v>
      </c>
      <c r="BW57" s="16">
        <v>8</v>
      </c>
      <c r="CF57" s="16">
        <v>8</v>
      </c>
      <c r="CO57" s="16">
        <v>3</v>
      </c>
      <c r="CX57" s="16">
        <v>32</v>
      </c>
      <c r="DG57" s="18">
        <v>6.2799999999999994</v>
      </c>
      <c r="DP57" s="18">
        <v>3.5260000000000007</v>
      </c>
      <c r="DY57" s="18">
        <v>3.2519999999999998</v>
      </c>
      <c r="EH57" s="16">
        <v>45.3</v>
      </c>
      <c r="EQ57" s="18">
        <v>1.3412870905587668</v>
      </c>
    </row>
    <row r="58" spans="1:147" ht="15.5" x14ac:dyDescent="0.35">
      <c r="A58" s="16">
        <v>15</v>
      </c>
      <c r="I58" s="16">
        <v>112</v>
      </c>
      <c r="Q58" s="16">
        <v>115</v>
      </c>
      <c r="Y58" s="16">
        <v>146</v>
      </c>
      <c r="AG58" s="16">
        <v>106.2</v>
      </c>
      <c r="AO58" s="16">
        <v>16.7</v>
      </c>
      <c r="AW58" s="16">
        <v>11.22</v>
      </c>
      <c r="BE58" s="16">
        <v>11.16</v>
      </c>
      <c r="BN58" s="16">
        <v>0.98000000000000009</v>
      </c>
      <c r="BW58" s="16">
        <v>17</v>
      </c>
      <c r="CF58" s="16">
        <v>10</v>
      </c>
      <c r="CO58" s="16">
        <v>3</v>
      </c>
      <c r="CX58" s="16">
        <v>41</v>
      </c>
      <c r="DG58" s="18">
        <v>5.468</v>
      </c>
      <c r="DP58" s="18">
        <v>2.7880000000000003</v>
      </c>
      <c r="DY58" s="18">
        <v>2.476</v>
      </c>
      <c r="EH58" s="16">
        <v>25.9</v>
      </c>
      <c r="EQ58" s="18">
        <v>1.5980089916506102</v>
      </c>
    </row>
    <row r="59" spans="1:147" ht="15.5" x14ac:dyDescent="0.35">
      <c r="A59" s="16">
        <v>15</v>
      </c>
      <c r="I59" s="16">
        <v>112</v>
      </c>
      <c r="Q59" s="16">
        <v>116</v>
      </c>
      <c r="Y59" s="16">
        <v>146</v>
      </c>
      <c r="AG59" s="16">
        <v>86.4</v>
      </c>
      <c r="AO59" s="16">
        <v>8.4</v>
      </c>
      <c r="AW59" s="16">
        <v>7</v>
      </c>
      <c r="BE59" s="16">
        <v>9.8000000000000007</v>
      </c>
      <c r="BN59" s="16">
        <v>0.8</v>
      </c>
      <c r="BW59" s="16">
        <v>8</v>
      </c>
      <c r="CF59" s="16">
        <v>10</v>
      </c>
      <c r="CO59" s="16">
        <v>3</v>
      </c>
      <c r="CX59" s="16">
        <v>46</v>
      </c>
      <c r="DG59" s="18">
        <v>5.3760000000000003</v>
      </c>
      <c r="DP59" s="18">
        <v>2.9020000000000001</v>
      </c>
      <c r="DY59" s="18">
        <v>2.4340000000000002</v>
      </c>
      <c r="EH59" s="16">
        <v>30.4</v>
      </c>
      <c r="EQ59" s="18">
        <v>0.84768143866409762</v>
      </c>
    </row>
    <row r="60" spans="1:147" ht="15.5" x14ac:dyDescent="0.35">
      <c r="A60" s="16">
        <v>15</v>
      </c>
      <c r="I60" s="16">
        <v>104</v>
      </c>
      <c r="Q60" s="16">
        <v>110</v>
      </c>
      <c r="Y60" s="16">
        <v>140</v>
      </c>
      <c r="AG60" s="16">
        <v>101.7</v>
      </c>
      <c r="AO60" s="16">
        <v>10.8</v>
      </c>
      <c r="AW60" s="16">
        <v>9.3000000000000007</v>
      </c>
      <c r="BE60" s="16">
        <v>10.199999999999999</v>
      </c>
      <c r="BN60" s="16">
        <v>0.96</v>
      </c>
      <c r="BW60" s="16">
        <v>9</v>
      </c>
      <c r="CF60" s="16">
        <v>9</v>
      </c>
      <c r="CO60" s="16">
        <v>3</v>
      </c>
      <c r="CX60" s="16">
        <v>46</v>
      </c>
      <c r="DG60" s="18">
        <v>5.3179999999999996</v>
      </c>
      <c r="DP60" s="18">
        <v>2.9080000000000004</v>
      </c>
      <c r="DY60" s="18">
        <v>2.5499999999999998</v>
      </c>
      <c r="EH60" s="16">
        <v>33.6</v>
      </c>
      <c r="EQ60" s="18">
        <v>1.7919075144508672</v>
      </c>
    </row>
    <row r="61" spans="1:147" ht="15.5" x14ac:dyDescent="0.35">
      <c r="A61" s="16">
        <v>18</v>
      </c>
      <c r="I61" s="16">
        <v>104</v>
      </c>
      <c r="Q61" s="16">
        <v>113</v>
      </c>
      <c r="Y61" s="16">
        <v>140</v>
      </c>
      <c r="AG61" s="16">
        <v>79.8</v>
      </c>
      <c r="AO61" s="16">
        <v>10.9</v>
      </c>
      <c r="AW61" s="16">
        <v>10.9</v>
      </c>
      <c r="BE61" s="16">
        <v>11</v>
      </c>
      <c r="BN61" s="16">
        <v>0.96</v>
      </c>
      <c r="BW61" s="16">
        <v>7</v>
      </c>
      <c r="CF61" s="16">
        <v>10</v>
      </c>
      <c r="CO61" s="16">
        <v>2</v>
      </c>
      <c r="CX61" s="16">
        <v>36</v>
      </c>
      <c r="DG61" s="18">
        <v>6.702</v>
      </c>
      <c r="DP61" s="18">
        <v>3.69</v>
      </c>
      <c r="DY61" s="18">
        <v>2.97</v>
      </c>
      <c r="EH61" s="16">
        <v>49.01</v>
      </c>
      <c r="EQ61" s="18">
        <v>1.3872832369942196</v>
      </c>
    </row>
    <row r="62" spans="1:147" ht="15.5" x14ac:dyDescent="0.35">
      <c r="A62" s="16">
        <v>18</v>
      </c>
      <c r="I62" s="16">
        <v>104</v>
      </c>
      <c r="Q62" s="16">
        <v>112</v>
      </c>
      <c r="Y62" s="16">
        <v>141</v>
      </c>
      <c r="AG62" s="16">
        <v>73.400000000000006</v>
      </c>
      <c r="AO62" s="16">
        <v>8.6999999999999993</v>
      </c>
      <c r="AW62" s="16">
        <v>8.6</v>
      </c>
      <c r="BE62" s="16">
        <v>12</v>
      </c>
      <c r="BN62" s="16">
        <v>1.04</v>
      </c>
      <c r="BW62" s="16">
        <v>5</v>
      </c>
      <c r="CF62" s="16">
        <v>9</v>
      </c>
      <c r="CO62" s="16">
        <v>3</v>
      </c>
      <c r="CX62" s="16">
        <v>34</v>
      </c>
      <c r="DG62" s="18">
        <v>6.7519999999999998</v>
      </c>
      <c r="DP62" s="18">
        <v>3.4979999999999998</v>
      </c>
      <c r="DY62" s="18">
        <v>2.7839999999999998</v>
      </c>
      <c r="EH62" s="16">
        <v>37.4</v>
      </c>
      <c r="EQ62" s="18">
        <v>0.95113680154142566</v>
      </c>
    </row>
    <row r="63" spans="1:147" ht="15.5" x14ac:dyDescent="0.35">
      <c r="A63" s="16">
        <v>15</v>
      </c>
      <c r="I63" s="16">
        <v>103</v>
      </c>
      <c r="Q63" s="16">
        <v>108</v>
      </c>
      <c r="Y63" s="16">
        <v>136</v>
      </c>
      <c r="AG63" s="16">
        <v>91.6</v>
      </c>
      <c r="AO63" s="16">
        <v>15</v>
      </c>
      <c r="AW63" s="16">
        <v>9.5</v>
      </c>
      <c r="BE63" s="16">
        <v>8.58</v>
      </c>
      <c r="BN63" s="16">
        <v>0.72</v>
      </c>
      <c r="BW63" s="16">
        <v>7</v>
      </c>
      <c r="CF63" s="16">
        <v>10</v>
      </c>
      <c r="CO63" s="16">
        <v>2</v>
      </c>
      <c r="CX63" s="16">
        <v>24</v>
      </c>
      <c r="DG63" s="18">
        <v>6.5179999999999989</v>
      </c>
      <c r="DP63" s="18">
        <v>3.5460000000000003</v>
      </c>
      <c r="DY63" s="18">
        <v>3.0339999999999998</v>
      </c>
      <c r="EH63" s="16">
        <v>33.200000000000003</v>
      </c>
      <c r="EQ63" s="18">
        <v>1.1529865125240848</v>
      </c>
    </row>
    <row r="64" spans="1:147" ht="15.5" x14ac:dyDescent="0.35">
      <c r="A64" s="16">
        <v>18</v>
      </c>
      <c r="I64" s="16">
        <v>102</v>
      </c>
      <c r="Q64" s="16">
        <v>109</v>
      </c>
      <c r="Y64" s="16">
        <v>141</v>
      </c>
      <c r="AG64" s="16">
        <v>100.32000000000001</v>
      </c>
      <c r="AO64" s="16">
        <v>16</v>
      </c>
      <c r="AW64" s="16">
        <v>6.3</v>
      </c>
      <c r="BE64" s="16">
        <v>13.86</v>
      </c>
      <c r="BN64" s="16">
        <v>1.5799999999999996</v>
      </c>
      <c r="BW64" s="16">
        <v>7.2</v>
      </c>
      <c r="CF64" s="16">
        <v>9</v>
      </c>
      <c r="CO64" s="16">
        <v>2</v>
      </c>
      <c r="CX64" s="16">
        <v>32.799999999999997</v>
      </c>
      <c r="DG64" s="18">
        <v>5.6759999999999993</v>
      </c>
      <c r="DP64" s="18">
        <v>3.03</v>
      </c>
      <c r="DY64" s="18">
        <v>2.7119999999999997</v>
      </c>
      <c r="EH64" s="16">
        <v>31.3</v>
      </c>
      <c r="EQ64" s="18">
        <v>0.92485549132947986</v>
      </c>
    </row>
    <row r="65" spans="1:147" ht="15.5" x14ac:dyDescent="0.35">
      <c r="A65" s="16">
        <v>18</v>
      </c>
      <c r="I65" s="16">
        <v>102</v>
      </c>
      <c r="Q65" s="16">
        <v>108</v>
      </c>
      <c r="Y65" s="16">
        <v>145</v>
      </c>
      <c r="AG65" s="16">
        <v>104.22</v>
      </c>
      <c r="AO65" s="16">
        <v>20.5</v>
      </c>
      <c r="AW65" s="16">
        <v>8.4</v>
      </c>
      <c r="BE65" s="16">
        <v>12.440000000000001</v>
      </c>
      <c r="BN65" s="16">
        <v>1.06</v>
      </c>
      <c r="BW65" s="16">
        <v>13.4</v>
      </c>
      <c r="CF65" s="16">
        <v>7.4</v>
      </c>
      <c r="CO65" s="16">
        <v>2.4</v>
      </c>
      <c r="CX65" s="16">
        <v>36.200000000000003</v>
      </c>
      <c r="DG65" s="18">
        <v>5.4960000000000004</v>
      </c>
      <c r="DP65" s="18">
        <v>3.2359999999999998</v>
      </c>
      <c r="DY65" s="18">
        <v>2.2239999999999998</v>
      </c>
      <c r="EH65" s="16">
        <v>24.8</v>
      </c>
      <c r="EQ65" s="18">
        <v>1.4582658959537573</v>
      </c>
    </row>
    <row r="66" spans="1:147" ht="15.5" x14ac:dyDescent="0.35">
      <c r="A66" s="16">
        <v>18</v>
      </c>
      <c r="I66" s="16">
        <v>106</v>
      </c>
      <c r="Q66" s="16">
        <v>112</v>
      </c>
      <c r="Y66" s="16">
        <v>143</v>
      </c>
      <c r="AG66" s="16">
        <v>99.320000000000007</v>
      </c>
      <c r="AO66" s="16">
        <v>14.8</v>
      </c>
      <c r="AW66" s="16">
        <v>8.8000000000000007</v>
      </c>
      <c r="BE66" s="16">
        <v>10.959999999999999</v>
      </c>
      <c r="BN66" s="16">
        <v>1.26</v>
      </c>
      <c r="BW66" s="16">
        <v>16.399999999999999</v>
      </c>
      <c r="CF66" s="16">
        <v>8</v>
      </c>
      <c r="CO66" s="16">
        <v>2.2000000000000002</v>
      </c>
      <c r="CX66" s="16">
        <v>38.200000000000003</v>
      </c>
      <c r="DG66" s="18">
        <v>6.7359999999999998</v>
      </c>
      <c r="DP66" s="18">
        <v>3.3719999999999999</v>
      </c>
      <c r="DY66" s="18">
        <v>2.6040000000000001</v>
      </c>
      <c r="EH66" s="16">
        <v>42.4</v>
      </c>
      <c r="EQ66" s="18">
        <v>1.1432369942196534</v>
      </c>
    </row>
    <row r="67" spans="1:147" ht="15.5" x14ac:dyDescent="0.35">
      <c r="A67" s="16">
        <v>19</v>
      </c>
      <c r="I67" s="16">
        <v>108</v>
      </c>
      <c r="Q67" s="16">
        <v>113</v>
      </c>
      <c r="Y67" s="16">
        <v>146</v>
      </c>
      <c r="AG67" s="16">
        <v>89.84</v>
      </c>
      <c r="AO67" s="16">
        <v>10.6</v>
      </c>
      <c r="AW67" s="16">
        <v>12.3</v>
      </c>
      <c r="BE67" s="16">
        <v>12.16</v>
      </c>
      <c r="BN67" s="16">
        <v>1.34</v>
      </c>
      <c r="BW67" s="16">
        <v>6.6</v>
      </c>
      <c r="CF67" s="16">
        <v>9.6</v>
      </c>
      <c r="CO67" s="16">
        <v>3.4</v>
      </c>
      <c r="CX67" s="16">
        <v>48.4</v>
      </c>
      <c r="DG67" s="18">
        <v>5.8559999999999999</v>
      </c>
      <c r="DP67" s="18">
        <v>3.0439999999999996</v>
      </c>
      <c r="DY67" s="18">
        <v>2.2800000000000002</v>
      </c>
      <c r="EH67" s="16">
        <v>25.5</v>
      </c>
      <c r="EQ67" s="18">
        <v>1.0346820809248556</v>
      </c>
    </row>
    <row r="68" spans="1:147" ht="15.5" x14ac:dyDescent="0.35">
      <c r="A68" s="16">
        <v>19</v>
      </c>
      <c r="I68" s="16">
        <v>103</v>
      </c>
      <c r="Q68" s="16">
        <v>109</v>
      </c>
      <c r="Y68" s="16">
        <v>143</v>
      </c>
      <c r="AG68" s="16">
        <v>88.4</v>
      </c>
      <c r="AO68" s="16">
        <v>10.6</v>
      </c>
      <c r="AW68" s="16">
        <v>11.3</v>
      </c>
      <c r="BE68" s="16">
        <v>12.680000000000001</v>
      </c>
      <c r="BN68" s="16">
        <v>1.2599999999999998</v>
      </c>
      <c r="BW68" s="16">
        <v>6.4</v>
      </c>
      <c r="CF68" s="16">
        <v>9</v>
      </c>
      <c r="CO68" s="16">
        <v>2.8</v>
      </c>
      <c r="CX68" s="16">
        <v>33</v>
      </c>
      <c r="DG68" s="18">
        <v>6.6519999999999992</v>
      </c>
      <c r="DP68" s="18">
        <v>3.3460000000000001</v>
      </c>
      <c r="DY68" s="18">
        <v>2.766</v>
      </c>
      <c r="EH68" s="16">
        <v>48.8</v>
      </c>
      <c r="EQ68" s="18">
        <v>1.8069621066152857</v>
      </c>
    </row>
    <row r="69" spans="1:147" ht="15.5" x14ac:dyDescent="0.35">
      <c r="A69" s="16">
        <v>20</v>
      </c>
      <c r="I69" s="16">
        <v>108</v>
      </c>
      <c r="Q69" s="16">
        <v>108</v>
      </c>
      <c r="Y69" s="16">
        <v>146</v>
      </c>
      <c r="AG69" s="16">
        <v>97.240000000000009</v>
      </c>
      <c r="AO69" s="16">
        <v>15.2</v>
      </c>
      <c r="AW69" s="16">
        <v>8.6</v>
      </c>
      <c r="BE69" s="16">
        <v>12.379999999999999</v>
      </c>
      <c r="BN69" s="16">
        <v>1.24</v>
      </c>
      <c r="BW69" s="16">
        <v>7</v>
      </c>
      <c r="CF69" s="16">
        <v>8.4</v>
      </c>
      <c r="CO69" s="16">
        <v>3</v>
      </c>
      <c r="CX69" s="16">
        <v>34.200000000000003</v>
      </c>
      <c r="DG69" s="18">
        <v>6.1740000000000004</v>
      </c>
      <c r="DP69" s="18">
        <v>3.05</v>
      </c>
      <c r="DY69" s="18">
        <v>2.2680000000000002</v>
      </c>
      <c r="EH69" s="16">
        <v>28.8</v>
      </c>
      <c r="EQ69" s="18">
        <v>1.4338471419396275</v>
      </c>
    </row>
    <row r="70" spans="1:147" ht="15.5" x14ac:dyDescent="0.35">
      <c r="A70" s="16">
        <v>20</v>
      </c>
      <c r="I70" s="16">
        <v>115</v>
      </c>
      <c r="Q70" s="16">
        <v>117</v>
      </c>
      <c r="Y70" s="16">
        <v>144</v>
      </c>
      <c r="AG70" s="16">
        <v>76.2</v>
      </c>
      <c r="AO70" s="16">
        <v>6.6</v>
      </c>
      <c r="AW70" s="16">
        <v>9.6</v>
      </c>
      <c r="BE70" s="16">
        <v>13.959999999999999</v>
      </c>
      <c r="BN70" s="16">
        <v>1.02</v>
      </c>
      <c r="BW70" s="16">
        <v>4</v>
      </c>
      <c r="CF70" s="16">
        <v>8.4</v>
      </c>
      <c r="CO70" s="16">
        <v>2.8</v>
      </c>
      <c r="CX70" s="16">
        <v>37.6</v>
      </c>
      <c r="DG70" s="18">
        <v>5.9420000000000002</v>
      </c>
      <c r="DP70" s="18">
        <v>3.6439999999999997</v>
      </c>
      <c r="DY70" s="18">
        <v>3.1179999999999999</v>
      </c>
      <c r="EH70" s="16">
        <v>45.5</v>
      </c>
      <c r="EQ70" s="18">
        <v>0.78001284521515746</v>
      </c>
    </row>
    <row r="71" spans="1:147" ht="15.5" x14ac:dyDescent="0.35">
      <c r="A71" s="16">
        <v>20</v>
      </c>
      <c r="I71" s="16">
        <v>110</v>
      </c>
      <c r="Q71" s="16">
        <v>115</v>
      </c>
      <c r="Y71" s="16">
        <v>146</v>
      </c>
      <c r="AG71" s="16">
        <v>78</v>
      </c>
      <c r="AO71" s="16">
        <v>6.9</v>
      </c>
      <c r="AW71" s="16">
        <v>12</v>
      </c>
      <c r="BE71" s="16">
        <v>13.14</v>
      </c>
      <c r="BN71" s="16">
        <v>1.52</v>
      </c>
      <c r="BW71" s="16">
        <v>7.8</v>
      </c>
      <c r="CF71" s="16">
        <v>10.8</v>
      </c>
      <c r="CO71" s="16">
        <v>3.2</v>
      </c>
      <c r="CX71" s="16">
        <v>50.4</v>
      </c>
      <c r="DG71" s="18">
        <v>6.9859999999999998</v>
      </c>
      <c r="DP71" s="18">
        <v>3.5680000000000001</v>
      </c>
      <c r="DY71" s="18">
        <v>2.6959999999999997</v>
      </c>
      <c r="EH71" s="16">
        <v>38.01</v>
      </c>
      <c r="EQ71" s="18">
        <v>1.3727938342967243</v>
      </c>
    </row>
    <row r="72" spans="1:147" ht="15.5" x14ac:dyDescent="0.35">
      <c r="A72" s="16">
        <v>20</v>
      </c>
      <c r="I72" s="16">
        <v>106</v>
      </c>
      <c r="Q72" s="16">
        <v>110</v>
      </c>
      <c r="Y72" s="16">
        <v>146</v>
      </c>
      <c r="AG72" s="16">
        <v>77.2</v>
      </c>
      <c r="AO72" s="16">
        <v>11.6</v>
      </c>
      <c r="AW72" s="16">
        <v>9.9</v>
      </c>
      <c r="BE72" s="16">
        <v>13.540000000000001</v>
      </c>
      <c r="BN72" s="16">
        <v>1.4</v>
      </c>
      <c r="BW72" s="16">
        <v>4.8</v>
      </c>
      <c r="CF72" s="16">
        <v>9.4</v>
      </c>
      <c r="CO72" s="16">
        <v>3</v>
      </c>
      <c r="CX72" s="16">
        <v>43.4</v>
      </c>
      <c r="DG72" s="18">
        <v>6.0740000000000007</v>
      </c>
      <c r="DP72" s="18">
        <v>3.4939999999999998</v>
      </c>
      <c r="DY72" s="18">
        <v>3.1119999999999997</v>
      </c>
      <c r="EH72" s="16">
        <v>44.6</v>
      </c>
      <c r="EQ72" s="18">
        <v>1.4551059730250484</v>
      </c>
    </row>
    <row r="73" spans="1:147" ht="15.5" x14ac:dyDescent="0.35">
      <c r="A73" s="16">
        <v>20</v>
      </c>
      <c r="I73" s="16">
        <v>109</v>
      </c>
      <c r="Q73" s="16">
        <v>115</v>
      </c>
      <c r="Y73" s="16">
        <v>145</v>
      </c>
      <c r="AG73" s="16">
        <v>88</v>
      </c>
      <c r="AO73" s="16">
        <v>14.6</v>
      </c>
      <c r="AW73" s="16">
        <v>10</v>
      </c>
      <c r="BE73" s="16">
        <v>13.48</v>
      </c>
      <c r="BN73" s="16">
        <v>1.04</v>
      </c>
      <c r="BW73" s="16">
        <v>6.8</v>
      </c>
      <c r="CF73" s="16">
        <v>9.8000000000000007</v>
      </c>
      <c r="CO73" s="16">
        <v>2.6</v>
      </c>
      <c r="CX73" s="16">
        <v>35.200000000000003</v>
      </c>
      <c r="DG73" s="18">
        <v>6.1479999999999997</v>
      </c>
      <c r="DP73" s="18">
        <v>3.3620000000000005</v>
      </c>
      <c r="DY73" s="18">
        <v>3.3220000000000005</v>
      </c>
      <c r="EH73" s="16">
        <v>50.9</v>
      </c>
      <c r="EQ73" s="18">
        <v>1.2471676300578036</v>
      </c>
    </row>
    <row r="74" spans="1:147" ht="15.5" x14ac:dyDescent="0.35">
      <c r="A74" s="16">
        <v>20</v>
      </c>
      <c r="I74" s="16">
        <v>106</v>
      </c>
      <c r="Q74" s="16">
        <v>112</v>
      </c>
      <c r="Y74" s="16">
        <v>148</v>
      </c>
      <c r="AG74" s="16">
        <v>99.460000000000008</v>
      </c>
      <c r="AO74" s="16">
        <v>18.600000000000001</v>
      </c>
      <c r="AW74" s="16">
        <v>8.9</v>
      </c>
      <c r="BE74" s="16">
        <v>9.76</v>
      </c>
      <c r="BN74" s="16">
        <v>1.02</v>
      </c>
      <c r="BW74" s="16">
        <v>13</v>
      </c>
      <c r="CF74" s="16">
        <v>10</v>
      </c>
      <c r="CO74" s="16">
        <v>2.4</v>
      </c>
      <c r="CX74" s="16">
        <v>40.4</v>
      </c>
      <c r="DG74" s="18">
        <v>5.4939999999999998</v>
      </c>
      <c r="DP74" s="18">
        <v>2.8580000000000001</v>
      </c>
      <c r="DY74" s="18">
        <v>2.48</v>
      </c>
      <c r="EH74" s="16">
        <v>21.2</v>
      </c>
      <c r="EQ74" s="18">
        <v>1.6324983943481053</v>
      </c>
    </row>
    <row r="75" spans="1:147" ht="15.5" x14ac:dyDescent="0.35">
      <c r="A75" s="16">
        <v>20</v>
      </c>
      <c r="I75" s="16">
        <v>106</v>
      </c>
      <c r="Q75" s="16">
        <v>112</v>
      </c>
      <c r="Y75" s="16">
        <v>148</v>
      </c>
      <c r="AG75" s="16">
        <v>107.58</v>
      </c>
      <c r="AO75" s="16">
        <v>18.399999999999999</v>
      </c>
      <c r="AW75" s="16">
        <v>8.8000000000000007</v>
      </c>
      <c r="BE75" s="16">
        <v>11.379999999999999</v>
      </c>
      <c r="BN75" s="16">
        <v>1.2</v>
      </c>
      <c r="BW75" s="16">
        <v>5.6</v>
      </c>
      <c r="CF75" s="16">
        <v>9.4</v>
      </c>
      <c r="CO75" s="16">
        <v>2.2000000000000002</v>
      </c>
      <c r="CX75" s="16">
        <v>31.4</v>
      </c>
      <c r="DG75" s="18">
        <v>5.6280000000000001</v>
      </c>
      <c r="DP75" s="18">
        <v>2.9799999999999995</v>
      </c>
      <c r="DY75" s="18">
        <v>2.4699999999999998</v>
      </c>
      <c r="EH75" s="16">
        <v>23.3</v>
      </c>
      <c r="EQ75" s="18">
        <v>1.6702890173410405</v>
      </c>
    </row>
    <row r="76" spans="1:147" ht="15.5" x14ac:dyDescent="0.35">
      <c r="A76" s="16">
        <v>19</v>
      </c>
      <c r="I76" s="16">
        <v>102</v>
      </c>
      <c r="Q76" s="16">
        <v>109</v>
      </c>
      <c r="Y76" s="16">
        <v>146</v>
      </c>
      <c r="AG76" s="16">
        <v>88.8</v>
      </c>
      <c r="AO76" s="16">
        <v>16.580000000000002</v>
      </c>
      <c r="AW76" s="16">
        <v>8.5599999999999987</v>
      </c>
      <c r="BE76" s="16">
        <v>11.2</v>
      </c>
      <c r="BN76" s="16">
        <v>1.56</v>
      </c>
      <c r="BW76" s="16">
        <v>7.6</v>
      </c>
      <c r="CF76" s="16">
        <v>9.6</v>
      </c>
      <c r="CO76" s="16">
        <v>3.2</v>
      </c>
      <c r="CX76" s="16">
        <v>45.2</v>
      </c>
      <c r="DG76" s="18">
        <v>5.798</v>
      </c>
      <c r="DP76" s="18">
        <v>3.0380000000000003</v>
      </c>
      <c r="DY76" s="18">
        <v>2.4520000000000004</v>
      </c>
      <c r="EH76" s="16">
        <v>37.1</v>
      </c>
      <c r="EQ76" s="18">
        <v>2.319845857418112</v>
      </c>
    </row>
    <row r="77" spans="1:147" ht="15.5" x14ac:dyDescent="0.35">
      <c r="A77" s="16">
        <v>20</v>
      </c>
      <c r="I77" s="16">
        <v>104</v>
      </c>
      <c r="Q77" s="16">
        <v>112</v>
      </c>
      <c r="Y77" s="16">
        <v>144</v>
      </c>
      <c r="AG77" s="16">
        <v>86.539999999999992</v>
      </c>
      <c r="AO77" s="16">
        <v>14.780000000000001</v>
      </c>
      <c r="AW77" s="16">
        <v>10.040000000000001</v>
      </c>
      <c r="BE77" s="16">
        <v>12.379999999999999</v>
      </c>
      <c r="BN77" s="16">
        <v>1.28</v>
      </c>
      <c r="BW77" s="16">
        <v>5.8</v>
      </c>
      <c r="CF77" s="16">
        <v>9.1999999999999993</v>
      </c>
      <c r="CO77" s="16">
        <v>3.4</v>
      </c>
      <c r="CX77" s="16">
        <v>42.6</v>
      </c>
      <c r="DG77" s="18">
        <v>5.8239999999999998</v>
      </c>
      <c r="DP77" s="18">
        <v>3.1760000000000002</v>
      </c>
      <c r="DY77" s="18">
        <v>2.4939999999999998</v>
      </c>
      <c r="EH77" s="16">
        <v>31.1</v>
      </c>
      <c r="EQ77" s="18">
        <v>1.3879640333975594</v>
      </c>
    </row>
    <row r="78" spans="1:147" ht="15.5" x14ac:dyDescent="0.35">
      <c r="A78" s="16">
        <v>20</v>
      </c>
      <c r="I78" s="16">
        <v>108</v>
      </c>
      <c r="Q78" s="16">
        <v>112</v>
      </c>
      <c r="Y78" s="16">
        <v>146</v>
      </c>
      <c r="AG78" s="16">
        <v>98.859999999999985</v>
      </c>
      <c r="AO78" s="16">
        <v>22.419999999999998</v>
      </c>
      <c r="AW78" s="16">
        <v>8.6999999999999993</v>
      </c>
      <c r="BE78" s="16">
        <v>13.24</v>
      </c>
      <c r="BN78" s="16">
        <v>1.18</v>
      </c>
      <c r="BW78" s="16">
        <v>10.4</v>
      </c>
      <c r="CF78" s="16">
        <v>9.8000000000000007</v>
      </c>
      <c r="CO78" s="16">
        <v>3.2</v>
      </c>
      <c r="CX78" s="16">
        <v>39.799999999999997</v>
      </c>
      <c r="DG78" s="18">
        <v>6.4520000000000008</v>
      </c>
      <c r="DP78" s="18">
        <v>3.5259999999999998</v>
      </c>
      <c r="DY78" s="18">
        <v>2.8959999999999999</v>
      </c>
      <c r="EH78" s="16">
        <v>41.5</v>
      </c>
      <c r="EQ78" s="18">
        <v>1.5110854206807964</v>
      </c>
    </row>
    <row r="79" spans="1:147" ht="15.5" x14ac:dyDescent="0.35">
      <c r="A79" s="16">
        <v>21</v>
      </c>
      <c r="I79" s="16">
        <v>106</v>
      </c>
      <c r="Q79" s="16">
        <v>110</v>
      </c>
      <c r="Y79" s="16">
        <v>144</v>
      </c>
      <c r="AG79" s="16">
        <v>106.41999999999999</v>
      </c>
      <c r="AO79" s="16">
        <v>22.440000000000005</v>
      </c>
      <c r="AW79" s="16">
        <v>9.86</v>
      </c>
      <c r="BE79" s="16">
        <v>10</v>
      </c>
      <c r="BN79" s="16">
        <v>1.04</v>
      </c>
      <c r="BW79" s="16">
        <v>8.6</v>
      </c>
      <c r="CF79" s="16">
        <v>8.8000000000000007</v>
      </c>
      <c r="CO79" s="16">
        <v>2.4</v>
      </c>
      <c r="CX79" s="16">
        <v>38.6</v>
      </c>
      <c r="DG79" s="18">
        <v>5.7160000000000002</v>
      </c>
      <c r="DP79" s="18">
        <v>3.3959999999999999</v>
      </c>
      <c r="DY79" s="18">
        <v>2.5620000000000003</v>
      </c>
      <c r="EH79" s="16">
        <v>32.4</v>
      </c>
      <c r="EQ79" s="18">
        <v>1.5226204238921004</v>
      </c>
    </row>
    <row r="80" spans="1:147" ht="15.5" x14ac:dyDescent="0.35">
      <c r="A80" s="16">
        <v>21</v>
      </c>
      <c r="I80" s="16">
        <v>112</v>
      </c>
      <c r="Q80" s="16">
        <v>115</v>
      </c>
      <c r="Y80" s="16">
        <v>144</v>
      </c>
      <c r="AG80" s="16">
        <v>83.2</v>
      </c>
      <c r="AO80" s="16">
        <v>8.9600000000000009</v>
      </c>
      <c r="AW80" s="16">
        <v>11.52</v>
      </c>
      <c r="BE80" s="16">
        <v>11.720000000000002</v>
      </c>
      <c r="BN80" s="16">
        <v>1.08</v>
      </c>
      <c r="BW80" s="16">
        <v>3.8</v>
      </c>
      <c r="CF80" s="16">
        <v>10</v>
      </c>
      <c r="CO80" s="16">
        <v>3.4</v>
      </c>
      <c r="CX80" s="16">
        <v>46.6</v>
      </c>
      <c r="DG80" s="18">
        <v>6.5039999999999996</v>
      </c>
      <c r="DP80" s="18">
        <v>3.5199999999999996</v>
      </c>
      <c r="DY80" s="18">
        <v>2.5859999999999999</v>
      </c>
      <c r="EH80" s="16">
        <v>53.1</v>
      </c>
      <c r="EQ80" s="18">
        <v>1.2249710982658961</v>
      </c>
    </row>
    <row r="81" spans="1:147" ht="15.5" x14ac:dyDescent="0.35">
      <c r="A81" s="16">
        <v>21</v>
      </c>
      <c r="I81" s="16">
        <v>106</v>
      </c>
      <c r="Q81" s="16">
        <v>113</v>
      </c>
      <c r="Y81" s="16">
        <v>142</v>
      </c>
      <c r="AG81" s="16">
        <v>102.42</v>
      </c>
      <c r="AO81" s="16">
        <v>18.619999999999997</v>
      </c>
      <c r="AW81" s="16">
        <v>9.34</v>
      </c>
      <c r="BE81" s="16">
        <v>12.5</v>
      </c>
      <c r="BN81" s="16">
        <v>1.3399999999999999</v>
      </c>
      <c r="BW81" s="16">
        <v>5.6</v>
      </c>
      <c r="CF81" s="16">
        <v>10</v>
      </c>
      <c r="CO81" s="16">
        <v>3.2</v>
      </c>
      <c r="CX81" s="16">
        <v>43</v>
      </c>
      <c r="DG81" s="18">
        <v>5.8319999999999999</v>
      </c>
      <c r="DP81" s="18">
        <v>3.0900000000000003</v>
      </c>
      <c r="DY81" s="18">
        <v>2.8559999999999999</v>
      </c>
      <c r="EH81" s="16">
        <v>45.9</v>
      </c>
      <c r="EQ81" s="18">
        <v>0.72074502247912653</v>
      </c>
    </row>
    <row r="82" spans="1:147" ht="15.5" x14ac:dyDescent="0.35">
      <c r="A82" s="16">
        <v>19</v>
      </c>
      <c r="I82" s="16">
        <v>112</v>
      </c>
      <c r="Q82" s="16">
        <v>115</v>
      </c>
      <c r="Y82" s="16">
        <v>146</v>
      </c>
      <c r="AG82" s="16">
        <v>129.5</v>
      </c>
      <c r="AO82" s="16">
        <v>20.52</v>
      </c>
      <c r="AW82" s="16">
        <v>8.18</v>
      </c>
      <c r="BE82" s="16">
        <v>11.68</v>
      </c>
      <c r="BN82" s="16">
        <v>1.3</v>
      </c>
      <c r="BW82" s="16">
        <v>10.8</v>
      </c>
      <c r="CF82" s="16">
        <v>10.4</v>
      </c>
      <c r="CO82" s="16">
        <v>2.2000000000000002</v>
      </c>
      <c r="CX82" s="16">
        <v>38</v>
      </c>
      <c r="DG82" s="18">
        <v>5.8579999999999997</v>
      </c>
      <c r="DP82" s="18">
        <v>3.0059999999999993</v>
      </c>
      <c r="DY82" s="18">
        <v>2.6079999999999997</v>
      </c>
      <c r="EH82" s="16">
        <v>24.9</v>
      </c>
      <c r="EQ82" s="18">
        <v>1.6122928709055875</v>
      </c>
    </row>
    <row r="83" spans="1:147" ht="15.5" x14ac:dyDescent="0.35">
      <c r="A83" s="16">
        <v>19</v>
      </c>
      <c r="I83" s="16">
        <v>112</v>
      </c>
      <c r="Q83" s="16">
        <v>116</v>
      </c>
      <c r="Y83" s="16">
        <v>146</v>
      </c>
      <c r="AG83" s="16">
        <v>125.9</v>
      </c>
      <c r="AO83" s="16">
        <v>19.98</v>
      </c>
      <c r="AW83" s="16">
        <v>7</v>
      </c>
      <c r="BE83" s="16">
        <v>13.559999999999999</v>
      </c>
      <c r="BN83" s="16">
        <v>1.3399999999999999</v>
      </c>
      <c r="BW83" s="16">
        <v>23.8</v>
      </c>
      <c r="CF83" s="16">
        <v>10.8</v>
      </c>
      <c r="CO83" s="16">
        <v>2.2000000000000002</v>
      </c>
      <c r="CX83" s="16">
        <v>45.6</v>
      </c>
      <c r="DG83" s="18">
        <v>5.6719999999999997</v>
      </c>
      <c r="DP83" s="18">
        <v>3.0859999999999999</v>
      </c>
      <c r="DY83" s="18">
        <v>2.69</v>
      </c>
      <c r="EH83" s="16">
        <v>17.600000000000001</v>
      </c>
      <c r="EQ83" s="18">
        <v>1.1226332691072574</v>
      </c>
    </row>
    <row r="84" spans="1:147" ht="15.5" x14ac:dyDescent="0.35">
      <c r="A84" s="16">
        <v>18</v>
      </c>
      <c r="I84" s="16">
        <v>112</v>
      </c>
      <c r="Q84" s="16">
        <v>115</v>
      </c>
      <c r="Y84" s="16">
        <v>146</v>
      </c>
      <c r="AG84" s="16">
        <v>128.72</v>
      </c>
      <c r="AO84" s="16">
        <v>21.16</v>
      </c>
      <c r="AW84" s="16">
        <v>8.3000000000000007</v>
      </c>
      <c r="BE84" s="16">
        <v>10.78</v>
      </c>
      <c r="BN84" s="16">
        <v>1.1200000000000001</v>
      </c>
      <c r="BW84" s="16">
        <v>8.8000000000000007</v>
      </c>
      <c r="CF84" s="16">
        <v>11.2</v>
      </c>
      <c r="CO84" s="16">
        <v>3</v>
      </c>
      <c r="CX84" s="16">
        <v>55.8</v>
      </c>
      <c r="DG84" s="18">
        <v>5.95</v>
      </c>
      <c r="DP84" s="18">
        <v>3.0259999999999998</v>
      </c>
      <c r="DY84" s="18">
        <v>2.7600000000000002</v>
      </c>
      <c r="EH84" s="16">
        <v>31.5</v>
      </c>
      <c r="EQ84" s="18">
        <v>1.6361464354527939</v>
      </c>
    </row>
    <row r="85" spans="1:147" ht="15.5" x14ac:dyDescent="0.35">
      <c r="A85" s="16">
        <v>18</v>
      </c>
      <c r="I85" s="16">
        <v>112</v>
      </c>
      <c r="Q85" s="16">
        <v>114</v>
      </c>
      <c r="Y85" s="16">
        <v>146</v>
      </c>
      <c r="AG85" s="16">
        <v>125.91999999999999</v>
      </c>
      <c r="AO85" s="16">
        <v>23.4</v>
      </c>
      <c r="AW85" s="16">
        <v>7.6599999999999993</v>
      </c>
      <c r="BE85" s="16">
        <v>12.04</v>
      </c>
      <c r="BN85" s="16">
        <v>1.3</v>
      </c>
      <c r="BW85" s="16">
        <v>7.2</v>
      </c>
      <c r="CF85" s="16">
        <v>9.4</v>
      </c>
      <c r="CO85" s="16">
        <v>3.2</v>
      </c>
      <c r="CX85" s="16">
        <v>47</v>
      </c>
      <c r="DG85" s="18">
        <v>5.6800000000000006</v>
      </c>
      <c r="DP85" s="18">
        <v>3.0940000000000003</v>
      </c>
      <c r="DY85" s="18">
        <v>2.8519999999999999</v>
      </c>
      <c r="EH85" s="16">
        <v>31.5</v>
      </c>
      <c r="EQ85" s="18">
        <v>1.3265253692999359</v>
      </c>
    </row>
    <row r="86" spans="1:147" ht="15.5" x14ac:dyDescent="0.35">
      <c r="A86" s="16">
        <v>18</v>
      </c>
      <c r="I86" s="16">
        <v>103</v>
      </c>
      <c r="Q86" s="16">
        <v>112</v>
      </c>
      <c r="Y86" s="16">
        <v>148</v>
      </c>
      <c r="AG86" s="16">
        <v>102.52000000000001</v>
      </c>
      <c r="AO86" s="16">
        <v>19.18</v>
      </c>
      <c r="AW86" s="16">
        <v>10.24</v>
      </c>
      <c r="BE86" s="16">
        <v>11.44</v>
      </c>
      <c r="BN86" s="16">
        <v>1.08</v>
      </c>
      <c r="BW86" s="16">
        <v>9</v>
      </c>
      <c r="CF86" s="16">
        <v>8.6</v>
      </c>
      <c r="CO86" s="16">
        <v>2.8</v>
      </c>
      <c r="CX86" s="16">
        <v>35.6</v>
      </c>
      <c r="DG86" s="18">
        <v>6.5419999999999998</v>
      </c>
      <c r="DP86" s="18">
        <v>3.5739999999999994</v>
      </c>
      <c r="DY86" s="18">
        <v>2.8560000000000003</v>
      </c>
      <c r="EH86" s="16">
        <v>47.6</v>
      </c>
      <c r="EQ86" s="18">
        <v>1.6485549132947976</v>
      </c>
    </row>
    <row r="87" spans="1:147" ht="15.5" x14ac:dyDescent="0.35">
      <c r="A87" s="16">
        <v>19</v>
      </c>
      <c r="I87" s="16">
        <v>104</v>
      </c>
      <c r="Q87" s="16">
        <v>109</v>
      </c>
      <c r="Y87" s="16">
        <v>149</v>
      </c>
      <c r="AG87" s="16">
        <v>94.9</v>
      </c>
      <c r="AO87" s="16">
        <v>14.3</v>
      </c>
      <c r="AW87" s="16">
        <v>8.34</v>
      </c>
      <c r="BE87" s="16">
        <v>13.540000000000001</v>
      </c>
      <c r="BN87" s="16">
        <v>1.34</v>
      </c>
      <c r="BW87" s="16">
        <v>7.6</v>
      </c>
      <c r="CF87" s="16">
        <v>8.4</v>
      </c>
      <c r="CO87" s="16">
        <v>2.6</v>
      </c>
      <c r="CX87" s="16">
        <v>33</v>
      </c>
      <c r="DG87" s="18">
        <v>5.5299999999999994</v>
      </c>
      <c r="DP87" s="18">
        <v>3.4220000000000006</v>
      </c>
      <c r="DY87" s="18">
        <v>2.8460000000000001</v>
      </c>
      <c r="EH87" s="16">
        <v>32.200000000000003</v>
      </c>
      <c r="EQ87" s="18">
        <v>1.1238792549775209</v>
      </c>
    </row>
    <row r="88" spans="1:147" ht="15.5" x14ac:dyDescent="0.35">
      <c r="A88" s="16">
        <v>19</v>
      </c>
      <c r="I88" s="16">
        <v>106</v>
      </c>
      <c r="Q88" s="16">
        <v>110</v>
      </c>
      <c r="Y88" s="16">
        <v>147</v>
      </c>
      <c r="AG88" s="16">
        <v>77.7</v>
      </c>
      <c r="AO88" s="16">
        <v>7.8</v>
      </c>
      <c r="AW88" s="16">
        <v>8.26</v>
      </c>
      <c r="BE88" s="16">
        <v>10.579999999999998</v>
      </c>
      <c r="BN88" s="16">
        <v>1.22</v>
      </c>
      <c r="BW88" s="16">
        <v>5.2</v>
      </c>
      <c r="CF88" s="16">
        <v>8.8000000000000007</v>
      </c>
      <c r="CO88" s="16">
        <v>3</v>
      </c>
      <c r="CX88" s="16">
        <v>37.799999999999997</v>
      </c>
      <c r="DG88" s="18">
        <v>5.9380000000000006</v>
      </c>
      <c r="DP88" s="18">
        <v>3.4980000000000002</v>
      </c>
      <c r="DY88" s="18">
        <v>2.7800000000000002</v>
      </c>
      <c r="EH88" s="16">
        <v>42.1</v>
      </c>
      <c r="EQ88" s="18">
        <v>0.73892100192678245</v>
      </c>
    </row>
    <row r="89" spans="1:147" ht="15.5" x14ac:dyDescent="0.35">
      <c r="A89" s="16">
        <v>19</v>
      </c>
      <c r="I89" s="16">
        <v>105</v>
      </c>
      <c r="Q89" s="16">
        <v>113</v>
      </c>
      <c r="Y89" s="16">
        <v>147</v>
      </c>
      <c r="AG89" s="16">
        <v>93.7</v>
      </c>
      <c r="AO89" s="16">
        <v>11.2</v>
      </c>
      <c r="AW89" s="16">
        <v>11.2</v>
      </c>
      <c r="BE89" s="16">
        <v>12.940000000000001</v>
      </c>
      <c r="BN89" s="16">
        <v>1.4400000000000002</v>
      </c>
      <c r="BW89" s="16">
        <v>6.4</v>
      </c>
      <c r="CF89" s="16">
        <v>9.8000000000000007</v>
      </c>
      <c r="CO89" s="16">
        <v>3.2</v>
      </c>
      <c r="CX89" s="16">
        <v>43.2</v>
      </c>
      <c r="DG89" s="18">
        <v>6.8680000000000003</v>
      </c>
      <c r="DP89" s="18">
        <v>3.5579999999999998</v>
      </c>
      <c r="DY89" s="18">
        <v>2.66</v>
      </c>
      <c r="EH89" s="16">
        <v>50.4</v>
      </c>
      <c r="EQ89" s="18">
        <v>1.1356069364161852</v>
      </c>
    </row>
    <row r="90" spans="1:147" ht="15.5" x14ac:dyDescent="0.35">
      <c r="A90" s="16">
        <v>18</v>
      </c>
      <c r="I90" s="16">
        <v>105</v>
      </c>
      <c r="Q90" s="16">
        <v>113</v>
      </c>
      <c r="Y90" s="16">
        <v>146</v>
      </c>
      <c r="AG90" s="16">
        <v>93.72</v>
      </c>
      <c r="AO90" s="16">
        <v>11.42</v>
      </c>
      <c r="AW90" s="16">
        <v>10.1</v>
      </c>
      <c r="BE90" s="16">
        <v>14.719999999999999</v>
      </c>
      <c r="BN90" s="16">
        <v>1.52</v>
      </c>
      <c r="BW90" s="16">
        <v>10.8</v>
      </c>
      <c r="CF90" s="16">
        <v>9.8000000000000007</v>
      </c>
      <c r="CO90" s="16">
        <v>3</v>
      </c>
      <c r="CX90" s="16">
        <v>43</v>
      </c>
      <c r="DG90" s="18">
        <v>6.5120000000000005</v>
      </c>
      <c r="DP90" s="18">
        <v>3.6119999999999997</v>
      </c>
      <c r="DY90" s="18">
        <v>2.5279999999999996</v>
      </c>
      <c r="EH90" s="16">
        <v>44.01</v>
      </c>
      <c r="EQ90" s="18">
        <v>1.5307385998715479</v>
      </c>
    </row>
    <row r="91" spans="1:147" ht="15.5" x14ac:dyDescent="0.35">
      <c r="A91" s="16">
        <v>20</v>
      </c>
      <c r="I91" s="16">
        <v>103</v>
      </c>
      <c r="Q91" s="16">
        <v>109</v>
      </c>
      <c r="Y91" s="16">
        <v>143</v>
      </c>
      <c r="AG91" s="16">
        <v>96.82</v>
      </c>
      <c r="AO91" s="16">
        <v>16.5</v>
      </c>
      <c r="AW91" s="16">
        <v>8.7799999999999994</v>
      </c>
      <c r="BE91" s="16">
        <v>12.34</v>
      </c>
      <c r="BN91" s="16">
        <v>1.1400000000000001</v>
      </c>
      <c r="BW91" s="16">
        <v>9.6</v>
      </c>
      <c r="CF91" s="16">
        <v>9.6</v>
      </c>
      <c r="CO91" s="16">
        <v>3.4</v>
      </c>
      <c r="CX91" s="16">
        <v>51.6</v>
      </c>
      <c r="DG91" s="18">
        <v>6.418000000000001</v>
      </c>
      <c r="DP91" s="18">
        <v>3.476</v>
      </c>
      <c r="DY91" s="18">
        <v>2.8120000000000003</v>
      </c>
      <c r="EH91" s="16">
        <v>38.1</v>
      </c>
      <c r="EQ91" s="18">
        <v>1.1535003211303791</v>
      </c>
    </row>
    <row r="92" spans="1:147" ht="15.5" x14ac:dyDescent="0.35">
      <c r="A92" s="16">
        <v>26</v>
      </c>
      <c r="I92" s="16">
        <v>106</v>
      </c>
      <c r="Q92" s="16">
        <v>112</v>
      </c>
      <c r="Y92" s="16">
        <v>144</v>
      </c>
      <c r="AG92" s="16">
        <v>106.55999999999999</v>
      </c>
      <c r="AO92" s="16">
        <v>19.899999999999999</v>
      </c>
      <c r="AW92" s="16">
        <v>8.8000000000000007</v>
      </c>
      <c r="BE92" s="16">
        <v>11.620000000000001</v>
      </c>
      <c r="BN92" s="16">
        <v>1.1400000000000001</v>
      </c>
      <c r="BW92" s="16">
        <v>14</v>
      </c>
      <c r="CF92" s="16">
        <v>9.6</v>
      </c>
      <c r="CO92" s="16">
        <v>3</v>
      </c>
      <c r="CX92" s="16">
        <v>43.6</v>
      </c>
      <c r="DG92" s="18">
        <v>5.8460000000000001</v>
      </c>
      <c r="DP92" s="18">
        <v>3.2960000000000003</v>
      </c>
      <c r="DY92" s="18">
        <v>2.9380000000000002</v>
      </c>
      <c r="EH92" s="16">
        <v>39.200000000000003</v>
      </c>
      <c r="EQ92" s="18">
        <v>1.4303403982016698</v>
      </c>
    </row>
    <row r="93" spans="1:147" ht="15.5" x14ac:dyDescent="0.35">
      <c r="A93" s="16">
        <v>26</v>
      </c>
      <c r="I93" s="16">
        <v>109</v>
      </c>
      <c r="Q93" s="16">
        <v>115</v>
      </c>
      <c r="Y93" s="16">
        <v>148</v>
      </c>
      <c r="AG93" s="16">
        <v>101.88000000000001</v>
      </c>
      <c r="AO93" s="16">
        <v>17.600000000000001</v>
      </c>
      <c r="AW93" s="16">
        <v>7.6</v>
      </c>
      <c r="BE93" s="16">
        <v>12.9</v>
      </c>
      <c r="BN93" s="16">
        <v>1.24</v>
      </c>
      <c r="BW93" s="16">
        <v>6.6</v>
      </c>
      <c r="CF93" s="16">
        <v>8.6</v>
      </c>
      <c r="CO93" s="16">
        <v>2.8</v>
      </c>
      <c r="CX93" s="16">
        <v>40.6</v>
      </c>
      <c r="DG93" s="18">
        <v>6.9640000000000004</v>
      </c>
      <c r="DP93" s="18">
        <v>3.6439999999999997</v>
      </c>
      <c r="DY93" s="18">
        <v>3.1060000000000003</v>
      </c>
      <c r="EH93" s="16">
        <v>48.9</v>
      </c>
      <c r="EQ93" s="18">
        <v>0.63725112395632633</v>
      </c>
    </row>
    <row r="94" spans="1:147" ht="15.5" x14ac:dyDescent="0.35">
      <c r="A94" s="16">
        <v>26</v>
      </c>
      <c r="I94" s="16">
        <v>108</v>
      </c>
      <c r="Q94" s="16">
        <v>114</v>
      </c>
      <c r="Y94" s="16">
        <v>143</v>
      </c>
      <c r="AG94" s="16">
        <v>97.94</v>
      </c>
      <c r="AO94" s="16">
        <v>16.48</v>
      </c>
      <c r="AW94" s="16">
        <v>8.5</v>
      </c>
      <c r="BE94" s="16">
        <v>10.84</v>
      </c>
      <c r="BN94" s="16">
        <v>0.88000000000000012</v>
      </c>
      <c r="BW94" s="16">
        <v>12.6</v>
      </c>
      <c r="CF94" s="16">
        <v>10</v>
      </c>
      <c r="CO94" s="16">
        <v>3</v>
      </c>
      <c r="CX94" s="16">
        <v>37.6</v>
      </c>
      <c r="DG94" s="18">
        <v>5.77</v>
      </c>
      <c r="DP94" s="18">
        <v>2.66</v>
      </c>
      <c r="DY94" s="18">
        <v>2.5439999999999996</v>
      </c>
      <c r="EH94" s="16">
        <v>29.4</v>
      </c>
      <c r="EQ94" s="18">
        <v>1.5908542068079643</v>
      </c>
    </row>
    <row r="95" spans="1:147" ht="15.5" x14ac:dyDescent="0.35">
      <c r="A95" s="16">
        <v>26</v>
      </c>
      <c r="I95" s="16">
        <v>103</v>
      </c>
      <c r="Q95" s="16">
        <v>110</v>
      </c>
      <c r="Y95" s="16">
        <v>144</v>
      </c>
      <c r="AG95" s="16">
        <v>100.06</v>
      </c>
      <c r="AO95" s="16">
        <v>8.75</v>
      </c>
      <c r="AW95" s="16">
        <v>8.8199999999999985</v>
      </c>
      <c r="BE95" s="16">
        <v>14.4</v>
      </c>
      <c r="BN95" s="16">
        <v>0.94000000000000006</v>
      </c>
      <c r="BW95" s="16">
        <v>16</v>
      </c>
      <c r="CF95" s="16">
        <v>9</v>
      </c>
      <c r="CO95" s="16">
        <v>3.2</v>
      </c>
      <c r="CX95" s="16">
        <v>40.4</v>
      </c>
      <c r="DG95" s="18">
        <v>6.26</v>
      </c>
      <c r="DP95" s="18">
        <v>3.1440000000000001</v>
      </c>
      <c r="DY95" s="18">
        <v>2.5940000000000003</v>
      </c>
      <c r="EH95" s="16">
        <v>37.9</v>
      </c>
      <c r="EQ95" s="18">
        <v>1.3063583815028901</v>
      </c>
    </row>
    <row r="96" spans="1:147" ht="15.5" x14ac:dyDescent="0.35">
      <c r="A96" s="16">
        <v>22</v>
      </c>
      <c r="I96" s="16">
        <v>108</v>
      </c>
      <c r="Q96" s="16">
        <v>109</v>
      </c>
      <c r="Y96" s="16">
        <v>142</v>
      </c>
      <c r="AG96" s="16">
        <v>101.78</v>
      </c>
      <c r="AO96" s="16">
        <v>31.3</v>
      </c>
      <c r="AW96" s="16">
        <v>8.1999999999999993</v>
      </c>
      <c r="BE96" s="16">
        <v>14.1</v>
      </c>
      <c r="BN96" s="16">
        <v>0.9</v>
      </c>
      <c r="BW96" s="16">
        <v>18.399999999999999</v>
      </c>
      <c r="CF96" s="16">
        <v>7.6</v>
      </c>
      <c r="CO96" s="16">
        <v>2.6</v>
      </c>
      <c r="CX96" s="16">
        <v>31.8</v>
      </c>
      <c r="DG96" s="18">
        <v>6.266</v>
      </c>
      <c r="DP96" s="18">
        <v>3.6</v>
      </c>
      <c r="DY96" s="18">
        <v>2.9020000000000001</v>
      </c>
      <c r="EH96" s="16">
        <v>41.01</v>
      </c>
      <c r="EQ96" s="18">
        <v>2.0485163776493254</v>
      </c>
    </row>
    <row r="97" spans="1:147" ht="15.5" x14ac:dyDescent="0.35">
      <c r="A97" s="16">
        <v>22</v>
      </c>
      <c r="I97" s="16">
        <v>106</v>
      </c>
      <c r="Q97" s="16">
        <v>112</v>
      </c>
      <c r="Y97" s="16">
        <v>146</v>
      </c>
      <c r="AG97" s="16">
        <v>101.94000000000001</v>
      </c>
      <c r="AO97" s="16">
        <v>19.36</v>
      </c>
      <c r="AW97" s="16">
        <v>7.580000000000001</v>
      </c>
      <c r="BE97" s="16">
        <v>11.620000000000001</v>
      </c>
      <c r="BN97" s="16">
        <v>1</v>
      </c>
      <c r="BW97" s="16">
        <v>15.4</v>
      </c>
      <c r="CF97" s="16">
        <v>8.6</v>
      </c>
      <c r="CO97" s="16">
        <v>2.8</v>
      </c>
      <c r="CX97" s="16">
        <v>35.6</v>
      </c>
      <c r="DG97" s="18">
        <v>6.1980000000000004</v>
      </c>
      <c r="DP97" s="18">
        <v>3.3600000000000003</v>
      </c>
      <c r="DY97" s="18">
        <v>2.6819999999999999</v>
      </c>
      <c r="EH97" s="16">
        <v>36.700000000000003</v>
      </c>
      <c r="EQ97" s="18">
        <v>1.0265895953757225</v>
      </c>
    </row>
    <row r="98" spans="1:147" ht="15.5" x14ac:dyDescent="0.35">
      <c r="A98" s="16">
        <v>26</v>
      </c>
      <c r="I98" s="16">
        <v>106</v>
      </c>
      <c r="Q98" s="16">
        <v>110</v>
      </c>
      <c r="Y98" s="16">
        <v>146</v>
      </c>
      <c r="AG98" s="16">
        <v>97.4</v>
      </c>
      <c r="AO98" s="16">
        <v>20.3</v>
      </c>
      <c r="AW98" s="16">
        <v>8.1</v>
      </c>
      <c r="BE98" s="16">
        <v>13.84</v>
      </c>
      <c r="BN98" s="16">
        <v>1</v>
      </c>
      <c r="BW98" s="16">
        <v>3.4</v>
      </c>
      <c r="CF98" s="16">
        <v>8.8000000000000007</v>
      </c>
      <c r="CO98" s="16">
        <v>3</v>
      </c>
      <c r="CX98" s="16">
        <v>40</v>
      </c>
      <c r="DG98" s="18">
        <v>5.3</v>
      </c>
      <c r="DP98" s="18">
        <v>3.46</v>
      </c>
      <c r="DY98" s="18">
        <v>2.984</v>
      </c>
      <c r="EH98" s="16">
        <v>34.6</v>
      </c>
      <c r="EQ98" s="18">
        <v>1.8361078998073219</v>
      </c>
    </row>
    <row r="99" spans="1:147" ht="15.5" x14ac:dyDescent="0.35">
      <c r="A99" s="16">
        <v>26</v>
      </c>
      <c r="I99" s="16">
        <v>104</v>
      </c>
      <c r="Q99" s="16">
        <v>109</v>
      </c>
      <c r="Y99" s="16">
        <v>143</v>
      </c>
      <c r="AG99" s="16">
        <v>101.64</v>
      </c>
      <c r="AO99" s="16">
        <v>23</v>
      </c>
      <c r="AW99" s="16">
        <v>8.9</v>
      </c>
      <c r="BE99" s="16">
        <v>12.9</v>
      </c>
      <c r="BN99" s="16">
        <v>1.1000000000000001</v>
      </c>
      <c r="BW99" s="16">
        <v>11.8</v>
      </c>
      <c r="CF99" s="16">
        <v>9</v>
      </c>
      <c r="CO99" s="16">
        <v>3</v>
      </c>
      <c r="CX99" s="16">
        <v>41.8</v>
      </c>
      <c r="DG99" s="18">
        <v>5.6959999999999997</v>
      </c>
      <c r="DP99" s="18">
        <v>3.4899999999999998</v>
      </c>
      <c r="DY99" s="18">
        <v>2.7359999999999998</v>
      </c>
      <c r="EH99" s="16">
        <v>34.799999999999997</v>
      </c>
      <c r="EQ99" s="18">
        <v>2.0555684007707131</v>
      </c>
    </row>
    <row r="100" spans="1:147" ht="15.5" x14ac:dyDescent="0.35">
      <c r="A100" s="16">
        <v>26</v>
      </c>
      <c r="I100" s="16">
        <v>102</v>
      </c>
      <c r="Q100" s="16">
        <v>110</v>
      </c>
      <c r="Y100" s="16">
        <v>144</v>
      </c>
      <c r="AG100" s="16">
        <v>98.72</v>
      </c>
      <c r="AO100" s="16">
        <v>15.9</v>
      </c>
      <c r="AW100" s="16">
        <v>8.120000000000001</v>
      </c>
      <c r="BE100" s="16">
        <v>12.620000000000001</v>
      </c>
      <c r="BN100" s="16">
        <v>1.02</v>
      </c>
      <c r="BW100" s="16">
        <v>8.6</v>
      </c>
      <c r="CF100" s="16">
        <v>9</v>
      </c>
      <c r="CO100" s="16">
        <v>3</v>
      </c>
      <c r="CX100" s="16">
        <v>41.6</v>
      </c>
      <c r="DG100" s="18">
        <v>5.952</v>
      </c>
      <c r="DP100" s="18">
        <v>3.3920000000000003</v>
      </c>
      <c r="DY100" s="18">
        <v>3.1780000000000004</v>
      </c>
      <c r="EH100" s="16">
        <v>41.01</v>
      </c>
      <c r="EQ100" s="18">
        <v>1.3711368015414258</v>
      </c>
    </row>
    <row r="101" spans="1:147" ht="15.5" x14ac:dyDescent="0.35">
      <c r="A101" s="16">
        <v>26</v>
      </c>
      <c r="I101" s="16">
        <v>108</v>
      </c>
      <c r="Q101" s="16">
        <v>112</v>
      </c>
      <c r="Y101" s="16">
        <v>146</v>
      </c>
      <c r="AG101" s="16">
        <v>99</v>
      </c>
      <c r="AO101" s="16">
        <v>16.8</v>
      </c>
      <c r="AW101" s="16">
        <v>8.16</v>
      </c>
      <c r="BE101" s="16">
        <v>11</v>
      </c>
      <c r="BN101" s="16">
        <v>0.91999999999999993</v>
      </c>
      <c r="BW101" s="16">
        <v>7.2</v>
      </c>
      <c r="CF101" s="16">
        <v>8.8000000000000007</v>
      </c>
      <c r="CO101" s="16">
        <v>3</v>
      </c>
      <c r="CX101" s="16">
        <v>41.8</v>
      </c>
      <c r="DG101" s="18">
        <v>5.2840000000000007</v>
      </c>
      <c r="DP101" s="18">
        <v>2.9119999999999999</v>
      </c>
      <c r="DY101" s="18">
        <v>2.4259999999999997</v>
      </c>
      <c r="EH101" s="16">
        <v>29.4</v>
      </c>
      <c r="EQ101" s="18">
        <v>1.6149004495825305</v>
      </c>
    </row>
    <row r="102" spans="1:147" ht="15.5" x14ac:dyDescent="0.35">
      <c r="A102" s="16">
        <v>26</v>
      </c>
      <c r="I102" s="16">
        <v>108</v>
      </c>
      <c r="Q102" s="16">
        <v>115</v>
      </c>
      <c r="Y102" s="16">
        <v>146</v>
      </c>
      <c r="AG102" s="16">
        <v>96.47999999999999</v>
      </c>
      <c r="AO102" s="16">
        <v>20.3</v>
      </c>
      <c r="AW102" s="16">
        <v>8.4599999999999991</v>
      </c>
      <c r="BE102" s="16">
        <v>14.419999999999998</v>
      </c>
      <c r="BN102" s="16">
        <v>1.0799999999999998</v>
      </c>
      <c r="BW102" s="16">
        <v>7.8</v>
      </c>
      <c r="CF102" s="16">
        <v>8.1999999999999993</v>
      </c>
      <c r="CO102" s="16">
        <v>2.8</v>
      </c>
      <c r="CX102" s="16">
        <v>40.6</v>
      </c>
      <c r="DG102" s="18">
        <v>5.7</v>
      </c>
      <c r="DP102" s="18">
        <v>2.8479999999999999</v>
      </c>
      <c r="DY102" s="18">
        <v>2.8180000000000001</v>
      </c>
      <c r="EH102" s="16">
        <v>31.8</v>
      </c>
      <c r="EQ102" s="18">
        <v>1.3420937700706486</v>
      </c>
    </row>
    <row r="103" spans="1:147" ht="15.5" x14ac:dyDescent="0.35">
      <c r="A103" s="16">
        <v>26</v>
      </c>
      <c r="I103" s="16">
        <v>108</v>
      </c>
      <c r="Q103" s="16">
        <v>112</v>
      </c>
      <c r="Y103" s="16">
        <v>145</v>
      </c>
      <c r="AG103" s="16">
        <v>93.7</v>
      </c>
      <c r="AO103" s="16">
        <v>15.7</v>
      </c>
      <c r="AW103" s="16">
        <v>7.08</v>
      </c>
      <c r="BE103" s="16">
        <v>12.5</v>
      </c>
      <c r="BN103" s="16">
        <v>1.02</v>
      </c>
      <c r="BW103" s="16">
        <v>8</v>
      </c>
      <c r="CF103" s="16">
        <v>8.6</v>
      </c>
      <c r="CO103" s="16">
        <v>3</v>
      </c>
      <c r="CX103" s="16">
        <v>42.4</v>
      </c>
      <c r="DG103" s="18">
        <v>5.6240000000000006</v>
      </c>
      <c r="DP103" s="18">
        <v>3.4240000000000004</v>
      </c>
      <c r="DY103" s="18">
        <v>2.8460000000000001</v>
      </c>
      <c r="EH103" s="16">
        <v>32.4</v>
      </c>
      <c r="EQ103" s="18">
        <v>1.3611303789338469</v>
      </c>
    </row>
    <row r="104" spans="1:147" ht="15.5" x14ac:dyDescent="0.35">
      <c r="A104" s="16">
        <v>26</v>
      </c>
      <c r="I104" s="16">
        <v>108</v>
      </c>
      <c r="Q104" s="16">
        <v>114</v>
      </c>
      <c r="Y104" s="16">
        <v>145</v>
      </c>
      <c r="AG104" s="16">
        <v>97.6</v>
      </c>
      <c r="AO104" s="16">
        <v>15.7</v>
      </c>
      <c r="AW104" s="16">
        <v>8.76</v>
      </c>
      <c r="BE104" s="16">
        <v>11.7</v>
      </c>
      <c r="BN104" s="16">
        <v>0.91999999999999993</v>
      </c>
      <c r="BW104" s="16">
        <v>6.2</v>
      </c>
      <c r="CF104" s="16">
        <v>10.6</v>
      </c>
      <c r="CO104" s="16">
        <v>2.8</v>
      </c>
      <c r="CX104" s="16">
        <v>38.200000000000003</v>
      </c>
      <c r="DG104" s="18">
        <v>5.5260000000000007</v>
      </c>
      <c r="DP104" s="18">
        <v>3.1699999999999995</v>
      </c>
      <c r="DY104" s="18">
        <v>2.7119999999999997</v>
      </c>
      <c r="EH104" s="16">
        <v>33.4</v>
      </c>
      <c r="EQ104" s="18">
        <v>1.2846628131021194</v>
      </c>
    </row>
    <row r="105" spans="1:147" ht="15.5" x14ac:dyDescent="0.35">
      <c r="A105" s="16">
        <v>26</v>
      </c>
      <c r="I105" s="16">
        <v>106</v>
      </c>
      <c r="Q105" s="16">
        <v>115</v>
      </c>
      <c r="Y105" s="16">
        <v>145</v>
      </c>
      <c r="AG105" s="16">
        <v>89.1</v>
      </c>
      <c r="AO105" s="16">
        <v>15.2</v>
      </c>
      <c r="AW105" s="16">
        <v>7.56</v>
      </c>
      <c r="BE105" s="16">
        <v>11.1</v>
      </c>
      <c r="BN105" s="16">
        <v>0.82</v>
      </c>
      <c r="BW105" s="16">
        <v>8.4</v>
      </c>
      <c r="CF105" s="16">
        <v>10.6</v>
      </c>
      <c r="CO105" s="16">
        <v>2.8</v>
      </c>
      <c r="CX105" s="16">
        <v>43</v>
      </c>
      <c r="DG105" s="18">
        <v>5.4180000000000001</v>
      </c>
      <c r="DP105" s="18">
        <v>3.1700000000000004</v>
      </c>
      <c r="DY105" s="18">
        <v>2.8519999999999994</v>
      </c>
      <c r="EH105" s="16">
        <v>28.4</v>
      </c>
      <c r="EQ105" s="18">
        <v>1.1640231213872836</v>
      </c>
    </row>
    <row r="106" spans="1:147" ht="15.5" x14ac:dyDescent="0.35">
      <c r="A106" s="16">
        <v>26</v>
      </c>
      <c r="I106" s="16">
        <v>107</v>
      </c>
      <c r="Q106" s="16">
        <v>112</v>
      </c>
      <c r="Y106" s="16">
        <v>145</v>
      </c>
      <c r="AG106" s="16">
        <v>100.24</v>
      </c>
      <c r="AO106" s="16">
        <v>18.3</v>
      </c>
      <c r="AW106" s="16">
        <v>7.4799999999999995</v>
      </c>
      <c r="BE106" s="16">
        <v>12</v>
      </c>
      <c r="BN106" s="16">
        <v>0.94000000000000006</v>
      </c>
      <c r="BW106" s="16">
        <v>8.1999999999999993</v>
      </c>
      <c r="CF106" s="16">
        <v>10.199999999999999</v>
      </c>
      <c r="CO106" s="16">
        <v>3</v>
      </c>
      <c r="CX106" s="16">
        <v>41.6</v>
      </c>
      <c r="DG106" s="18">
        <v>5.7780000000000005</v>
      </c>
      <c r="DP106" s="18">
        <v>3.222</v>
      </c>
      <c r="DY106" s="18">
        <v>2.6859999999999999</v>
      </c>
      <c r="EH106" s="16">
        <v>34.799999999999997</v>
      </c>
      <c r="EQ106" s="18">
        <v>1.7407835581245985</v>
      </c>
    </row>
    <row r="107" spans="1:147" ht="15.5" x14ac:dyDescent="0.35">
      <c r="A107" s="16">
        <v>26</v>
      </c>
      <c r="I107" s="16">
        <v>124</v>
      </c>
      <c r="Q107" s="16">
        <v>128</v>
      </c>
      <c r="Y107" s="16">
        <v>145</v>
      </c>
      <c r="AG107" s="16">
        <v>34.799999999999997</v>
      </c>
      <c r="AO107" s="16">
        <v>6.2</v>
      </c>
      <c r="AW107" s="16">
        <v>6.2</v>
      </c>
      <c r="BE107" s="16">
        <v>14.819999999999999</v>
      </c>
      <c r="BN107" s="16">
        <v>1.24</v>
      </c>
      <c r="BW107" s="16">
        <v>8</v>
      </c>
      <c r="CF107" s="16">
        <v>7.8</v>
      </c>
      <c r="CO107" s="16">
        <v>2.2000000000000002</v>
      </c>
      <c r="CX107" s="16">
        <v>16.8</v>
      </c>
      <c r="DG107" s="18">
        <v>6.23</v>
      </c>
      <c r="DP107" s="18">
        <v>2.3940000000000001</v>
      </c>
      <c r="DY107" s="18">
        <v>2.3260000000000001</v>
      </c>
      <c r="EH107" s="16">
        <v>24.2</v>
      </c>
      <c r="EQ107" s="18">
        <v>1.2631470777135516</v>
      </c>
    </row>
    <row r="108" spans="1:147" ht="15.5" x14ac:dyDescent="0.35">
      <c r="A108" s="16">
        <v>26</v>
      </c>
      <c r="I108" s="16">
        <v>118</v>
      </c>
      <c r="Q108" s="16">
        <v>134</v>
      </c>
      <c r="Y108" s="16">
        <v>149</v>
      </c>
      <c r="AG108" s="16">
        <v>44.8</v>
      </c>
      <c r="AO108" s="16">
        <v>2.7</v>
      </c>
      <c r="AW108" s="16">
        <v>6.6</v>
      </c>
      <c r="BE108" s="16">
        <v>11.66</v>
      </c>
      <c r="BN108" s="16">
        <v>1.3399999999999999</v>
      </c>
      <c r="BW108" s="16">
        <v>5.8</v>
      </c>
      <c r="CF108" s="16">
        <v>8.8000000000000007</v>
      </c>
      <c r="CO108" s="16">
        <v>3</v>
      </c>
      <c r="CX108" s="16">
        <v>36</v>
      </c>
      <c r="DG108" s="18">
        <v>6.3259999999999996</v>
      </c>
      <c r="DP108" s="18">
        <v>3.07</v>
      </c>
      <c r="DY108" s="18">
        <v>2.9479999999999995</v>
      </c>
      <c r="EH108" s="16">
        <v>38.4</v>
      </c>
      <c r="EQ108" s="18">
        <v>0.59156069364161856</v>
      </c>
    </row>
    <row r="109" spans="1:147" ht="15.5" x14ac:dyDescent="0.35">
      <c r="A109" s="16">
        <v>27</v>
      </c>
      <c r="I109" s="16">
        <v>116</v>
      </c>
      <c r="Q109" s="16">
        <v>132</v>
      </c>
      <c r="Y109" s="16">
        <v>149</v>
      </c>
      <c r="AG109" s="16">
        <v>93.8</v>
      </c>
      <c r="AO109" s="16">
        <v>23.7</v>
      </c>
      <c r="AW109" s="16">
        <v>8.4</v>
      </c>
      <c r="BE109" s="16">
        <v>20</v>
      </c>
      <c r="BN109" s="16">
        <v>1.26</v>
      </c>
      <c r="BW109" s="16">
        <v>7.6</v>
      </c>
      <c r="CF109" s="16">
        <v>7.8</v>
      </c>
      <c r="CO109" s="16">
        <v>2.8</v>
      </c>
      <c r="CX109" s="16">
        <v>26.4</v>
      </c>
      <c r="DG109" s="18">
        <v>5.6980000000000004</v>
      </c>
      <c r="DP109" s="18">
        <v>3.286</v>
      </c>
      <c r="DY109" s="18">
        <v>2.5739999999999998</v>
      </c>
      <c r="EH109" s="16">
        <v>30.7</v>
      </c>
      <c r="EQ109" s="18">
        <v>0.93307642903018628</v>
      </c>
    </row>
    <row r="110" spans="1:147" ht="15.5" x14ac:dyDescent="0.35">
      <c r="A110" s="16">
        <v>26</v>
      </c>
      <c r="I110" s="16">
        <v>118</v>
      </c>
      <c r="Q110" s="16">
        <v>130</v>
      </c>
      <c r="Y110" s="16">
        <v>163</v>
      </c>
      <c r="AG110" s="16">
        <v>66.599999999999994</v>
      </c>
      <c r="AO110" s="16">
        <v>5.3</v>
      </c>
      <c r="AW110" s="16">
        <v>7.5</v>
      </c>
      <c r="BE110" s="16">
        <v>16.759999999999998</v>
      </c>
      <c r="BN110" s="16">
        <v>1.3</v>
      </c>
      <c r="BW110" s="16">
        <v>5.6</v>
      </c>
      <c r="CF110" s="16">
        <v>8</v>
      </c>
      <c r="CO110" s="16">
        <v>3</v>
      </c>
      <c r="CX110" s="16">
        <v>41.8</v>
      </c>
      <c r="DG110" s="18">
        <v>6.2299999999999995</v>
      </c>
      <c r="DP110" s="18">
        <v>3.0760000000000001</v>
      </c>
      <c r="DY110" s="18">
        <v>2.8600000000000003</v>
      </c>
      <c r="EH110" s="16">
        <v>43.2</v>
      </c>
      <c r="EQ110" s="18">
        <v>1.3601156069364164</v>
      </c>
    </row>
    <row r="111" spans="1:147" ht="15.5" x14ac:dyDescent="0.35">
      <c r="A111" s="16">
        <v>26</v>
      </c>
      <c r="I111" s="16">
        <v>124</v>
      </c>
      <c r="Q111" s="16">
        <v>124</v>
      </c>
      <c r="Y111" s="16">
        <v>163</v>
      </c>
      <c r="AG111" s="16">
        <v>84.2</v>
      </c>
      <c r="AO111" s="16">
        <v>6.1599999999999993</v>
      </c>
      <c r="AW111" s="16">
        <v>9.76</v>
      </c>
      <c r="BE111" s="16">
        <v>13.6</v>
      </c>
      <c r="BN111" s="16">
        <v>1.1800000000000002</v>
      </c>
      <c r="BW111" s="16">
        <v>7</v>
      </c>
      <c r="CF111" s="16">
        <v>7</v>
      </c>
      <c r="CO111" s="16">
        <v>3</v>
      </c>
      <c r="CX111" s="16">
        <v>36.4</v>
      </c>
      <c r="DG111" s="18">
        <v>5.3820000000000006</v>
      </c>
      <c r="DP111" s="18">
        <v>2.6719999999999997</v>
      </c>
      <c r="DY111" s="18">
        <v>2.4539999999999997</v>
      </c>
      <c r="EH111" s="16">
        <v>24.5</v>
      </c>
      <c r="EQ111" s="18">
        <v>0.75895953757225443</v>
      </c>
    </row>
    <row r="112" spans="1:147" ht="15.5" x14ac:dyDescent="0.35">
      <c r="A112" s="16">
        <v>26</v>
      </c>
      <c r="I112" s="16">
        <v>118</v>
      </c>
      <c r="Q112" s="16">
        <v>111</v>
      </c>
      <c r="Y112" s="16">
        <v>150</v>
      </c>
      <c r="AG112" s="16">
        <v>103.75999999999999</v>
      </c>
      <c r="AO112" s="16">
        <v>18.600000000000001</v>
      </c>
      <c r="AW112" s="16">
        <v>10.199999999999999</v>
      </c>
      <c r="BE112" s="16">
        <v>15.34</v>
      </c>
      <c r="BN112" s="16">
        <v>1.08</v>
      </c>
      <c r="BW112" s="16">
        <v>9</v>
      </c>
      <c r="CF112" s="16">
        <v>9</v>
      </c>
      <c r="CO112" s="16">
        <v>2.6</v>
      </c>
      <c r="CX112" s="16">
        <v>38.4</v>
      </c>
      <c r="DG112" s="18">
        <v>6.2119999999999997</v>
      </c>
      <c r="DP112" s="18">
        <v>3.4019999999999997</v>
      </c>
      <c r="DY112" s="18">
        <v>2.7240000000000002</v>
      </c>
      <c r="EH112" s="16">
        <v>39.799999999999997</v>
      </c>
      <c r="EQ112" s="18">
        <v>1.448529222864483</v>
      </c>
    </row>
    <row r="113" spans="1:147" ht="15.5" x14ac:dyDescent="0.35">
      <c r="A113" s="16">
        <v>26</v>
      </c>
      <c r="I113" s="16">
        <v>109</v>
      </c>
      <c r="Q113" s="16">
        <v>130</v>
      </c>
      <c r="Y113" s="16">
        <v>163</v>
      </c>
      <c r="AG113" s="16">
        <v>101.34</v>
      </c>
      <c r="AO113" s="16">
        <v>24.1</v>
      </c>
      <c r="AW113" s="16">
        <v>10.6</v>
      </c>
      <c r="BE113" s="16">
        <v>16.399999999999999</v>
      </c>
      <c r="BN113" s="16">
        <v>1.08</v>
      </c>
      <c r="BW113" s="16">
        <v>7</v>
      </c>
      <c r="CF113" s="16">
        <v>11.6</v>
      </c>
      <c r="CO113" s="16">
        <v>3.2</v>
      </c>
      <c r="CX113" s="16">
        <v>65.8</v>
      </c>
      <c r="DG113" s="18">
        <v>6.2040000000000006</v>
      </c>
      <c r="DP113" s="18">
        <v>3.0060000000000002</v>
      </c>
      <c r="DY113" s="18">
        <v>2.5599999999999996</v>
      </c>
      <c r="EH113" s="16">
        <v>37.01</v>
      </c>
      <c r="EQ113" s="18">
        <v>1.0369942196531792</v>
      </c>
    </row>
    <row r="114" spans="1:147" ht="15.5" x14ac:dyDescent="0.35">
      <c r="A114" s="16">
        <v>26</v>
      </c>
      <c r="I114" s="16">
        <v>122</v>
      </c>
      <c r="Q114" s="16">
        <v>113</v>
      </c>
      <c r="Y114" s="16">
        <v>149</v>
      </c>
      <c r="AG114" s="16">
        <v>72.599999999999994</v>
      </c>
      <c r="AO114" s="16">
        <v>7.6</v>
      </c>
      <c r="AW114" s="16">
        <v>8.8000000000000007</v>
      </c>
      <c r="BE114" s="16">
        <v>10.040000000000001</v>
      </c>
      <c r="BN114" s="16">
        <v>0.93999999999999984</v>
      </c>
      <c r="BW114" s="16">
        <v>3.8</v>
      </c>
      <c r="CF114" s="16">
        <v>9.6</v>
      </c>
      <c r="CO114" s="16">
        <v>3.2</v>
      </c>
      <c r="CX114" s="16">
        <v>43.4</v>
      </c>
      <c r="DG114" s="18">
        <v>6.1659999999999995</v>
      </c>
      <c r="DP114" s="18">
        <v>3.6659999999999995</v>
      </c>
      <c r="DY114" s="18">
        <v>3.0260000000000002</v>
      </c>
      <c r="EH114" s="16">
        <v>41.1</v>
      </c>
      <c r="EQ114" s="18">
        <v>1.3772511239563263</v>
      </c>
    </row>
    <row r="115" spans="1:147" ht="15.5" x14ac:dyDescent="0.35">
      <c r="A115" s="16">
        <v>22</v>
      </c>
      <c r="I115" s="16">
        <v>106</v>
      </c>
      <c r="Q115" s="16">
        <v>113</v>
      </c>
      <c r="Y115" s="16">
        <v>163</v>
      </c>
      <c r="AG115" s="16">
        <v>75.400000000000006</v>
      </c>
      <c r="AO115" s="16">
        <v>8.6999999999999993</v>
      </c>
      <c r="AW115" s="16">
        <v>10</v>
      </c>
      <c r="BE115" s="16">
        <v>11.3</v>
      </c>
      <c r="BN115" s="16">
        <v>1.1800000000000002</v>
      </c>
      <c r="BW115" s="16">
        <v>5.8</v>
      </c>
      <c r="CF115" s="16">
        <v>11</v>
      </c>
      <c r="CO115" s="16">
        <v>2.8</v>
      </c>
      <c r="CX115" s="16">
        <v>43.6</v>
      </c>
      <c r="DG115" s="18">
        <v>6.45</v>
      </c>
      <c r="DP115" s="18">
        <v>3.4760000000000004</v>
      </c>
      <c r="DY115" s="18">
        <v>3.0859999999999999</v>
      </c>
      <c r="EH115" s="16">
        <v>45.9</v>
      </c>
      <c r="EQ115" s="18">
        <v>1.3541040462427747</v>
      </c>
    </row>
    <row r="116" spans="1:147" ht="15.5" x14ac:dyDescent="0.35">
      <c r="A116" s="16">
        <v>26</v>
      </c>
      <c r="I116" s="16">
        <v>109</v>
      </c>
      <c r="Q116" s="16">
        <v>113</v>
      </c>
      <c r="Y116" s="16">
        <v>163</v>
      </c>
      <c r="AG116" s="16">
        <v>80.400000000000006</v>
      </c>
      <c r="AO116" s="16">
        <v>10.370000000000001</v>
      </c>
      <c r="AW116" s="16">
        <v>11.3</v>
      </c>
      <c r="BE116" s="16">
        <v>11.36</v>
      </c>
      <c r="BN116" s="16">
        <v>1.04</v>
      </c>
      <c r="BW116" s="16">
        <v>5.2</v>
      </c>
      <c r="CF116" s="16">
        <v>10.199999999999999</v>
      </c>
      <c r="CO116" s="16">
        <v>2.8</v>
      </c>
      <c r="CX116" s="16">
        <v>38.200000000000003</v>
      </c>
      <c r="DG116" s="18">
        <v>6.3059999999999992</v>
      </c>
      <c r="DP116" s="18">
        <v>3.4279999999999999</v>
      </c>
      <c r="DY116" s="18">
        <v>3.0179999999999998</v>
      </c>
      <c r="EH116" s="16">
        <v>43.8</v>
      </c>
      <c r="EQ116" s="18">
        <v>1.3672447013487474</v>
      </c>
    </row>
    <row r="117" spans="1:147" ht="15.5" x14ac:dyDescent="0.35">
      <c r="A117" s="1">
        <v>26</v>
      </c>
      <c r="I117" s="1">
        <v>109</v>
      </c>
      <c r="Q117" s="16">
        <v>113</v>
      </c>
      <c r="Y117" s="16">
        <v>163</v>
      </c>
      <c r="AG117" s="16">
        <v>87.2</v>
      </c>
      <c r="AO117" s="16">
        <v>14.6</v>
      </c>
      <c r="AW117" s="16">
        <v>11.4</v>
      </c>
      <c r="BE117" s="16">
        <v>11.7</v>
      </c>
      <c r="BN117" s="16">
        <v>0.88000000000000012</v>
      </c>
      <c r="BW117" s="16">
        <v>5.8</v>
      </c>
      <c r="CF117" s="16">
        <v>10.199999999999999</v>
      </c>
      <c r="CO117" s="16">
        <v>2.8</v>
      </c>
      <c r="CX117" s="16">
        <v>50.8</v>
      </c>
      <c r="DG117" s="18">
        <v>6.3859999999999992</v>
      </c>
      <c r="DP117" s="18">
        <v>3.5939999999999999</v>
      </c>
      <c r="DY117" s="18">
        <v>2.9839999999999995</v>
      </c>
      <c r="EH117" s="16">
        <v>46.6</v>
      </c>
      <c r="EQ117" s="18">
        <v>1.2191265253693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182D-FF16-45F6-8F1C-57D6D828594C}">
  <dimension ref="A1:FE14"/>
  <sheetViews>
    <sheetView topLeftCell="T1" workbookViewId="0">
      <selection activeCell="EX1" sqref="EX1:EZ10"/>
    </sheetView>
  </sheetViews>
  <sheetFormatPr defaultRowHeight="14.5" x14ac:dyDescent="0.35"/>
  <cols>
    <col min="1" max="1" width="17" style="1" customWidth="1"/>
    <col min="2" max="2" width="11.7265625" customWidth="1"/>
    <col min="3" max="3" width="10.81640625" customWidth="1"/>
    <col min="8" max="8" width="8.7265625" customWidth="1"/>
    <col min="10" max="10" width="18" customWidth="1"/>
    <col min="11" max="11" width="11.1796875" customWidth="1"/>
    <col min="12" max="12" width="11.54296875" customWidth="1"/>
    <col min="19" max="19" width="19" customWidth="1"/>
    <col min="20" max="21" width="12.36328125" customWidth="1"/>
    <col min="28" max="28" width="17.54296875" customWidth="1"/>
    <col min="37" max="37" width="14.54296875" customWidth="1"/>
    <col min="38" max="38" width="10.90625" customWidth="1"/>
    <col min="39" max="39" width="12" customWidth="1"/>
    <col min="46" max="46" width="13.54296875" customWidth="1"/>
    <col min="47" max="47" width="10.90625" customWidth="1"/>
    <col min="55" max="55" width="12.54296875" customWidth="1"/>
    <col min="56" max="57" width="10.08984375" customWidth="1"/>
    <col min="64" max="64" width="13.36328125" customWidth="1"/>
    <col min="65" max="65" width="9.54296875" customWidth="1"/>
    <col min="66" max="66" width="9.7265625" customWidth="1"/>
    <col min="73" max="73" width="12.90625" customWidth="1"/>
    <col min="74" max="74" width="11.54296875" customWidth="1"/>
    <col min="75" max="75" width="11.08984375" customWidth="1"/>
    <col min="82" max="82" width="13.36328125" customWidth="1"/>
    <col min="83" max="83" width="10.1796875" customWidth="1"/>
    <col min="84" max="84" width="10.6328125" customWidth="1"/>
    <col min="91" max="91" width="26.90625" customWidth="1"/>
    <col min="92" max="92" width="10.08984375" customWidth="1"/>
    <col min="93" max="93" width="12" customWidth="1"/>
    <col min="100" max="100" width="26.90625" customWidth="1"/>
    <col min="101" max="101" width="10.7265625" customWidth="1"/>
    <col min="102" max="102" width="10.26953125" customWidth="1"/>
    <col min="109" max="109" width="27.08984375" customWidth="1"/>
    <col min="110" max="110" width="12.90625" customWidth="1"/>
    <col min="111" max="111" width="12.08984375" customWidth="1"/>
    <col min="118" max="118" width="11.26953125" customWidth="1"/>
    <col min="127" max="127" width="11.08984375" customWidth="1"/>
    <col min="136" max="136" width="14.26953125" customWidth="1"/>
    <col min="145" max="145" width="20.81640625" customWidth="1"/>
  </cols>
  <sheetData>
    <row r="1" spans="1:161" ht="15.5" x14ac:dyDescent="0.35">
      <c r="A1" s="36" t="s">
        <v>424</v>
      </c>
      <c r="B1" s="37" t="s">
        <v>411</v>
      </c>
      <c r="C1" s="37" t="s">
        <v>412</v>
      </c>
      <c r="D1" s="37" t="s">
        <v>400</v>
      </c>
      <c r="E1" s="37" t="s">
        <v>413</v>
      </c>
      <c r="F1" s="37" t="s">
        <v>402</v>
      </c>
      <c r="G1" s="37" t="s">
        <v>403</v>
      </c>
      <c r="H1" s="38" t="s">
        <v>414</v>
      </c>
      <c r="J1" s="36" t="s">
        <v>427</v>
      </c>
      <c r="K1" s="37" t="s">
        <v>411</v>
      </c>
      <c r="L1" s="37" t="s">
        <v>412</v>
      </c>
      <c r="M1" s="37" t="s">
        <v>400</v>
      </c>
      <c r="N1" s="37" t="s">
        <v>413</v>
      </c>
      <c r="O1" s="37" t="s">
        <v>402</v>
      </c>
      <c r="P1" s="37" t="s">
        <v>403</v>
      </c>
      <c r="Q1" s="38" t="s">
        <v>414</v>
      </c>
      <c r="S1" s="36" t="s">
        <v>428</v>
      </c>
      <c r="T1" s="37" t="s">
        <v>411</v>
      </c>
      <c r="U1" s="37" t="s">
        <v>412</v>
      </c>
      <c r="V1" s="37" t="s">
        <v>400</v>
      </c>
      <c r="W1" s="37" t="s">
        <v>413</v>
      </c>
      <c r="X1" s="37" t="s">
        <v>402</v>
      </c>
      <c r="Y1" s="37" t="s">
        <v>403</v>
      </c>
      <c r="Z1" s="38" t="s">
        <v>414</v>
      </c>
      <c r="AB1" s="36" t="s">
        <v>429</v>
      </c>
      <c r="AC1" s="37" t="s">
        <v>411</v>
      </c>
      <c r="AD1" s="37" t="s">
        <v>412</v>
      </c>
      <c r="AE1" s="37" t="s">
        <v>400</v>
      </c>
      <c r="AF1" s="37" t="s">
        <v>413</v>
      </c>
      <c r="AG1" s="37" t="s">
        <v>402</v>
      </c>
      <c r="AH1" s="37" t="s">
        <v>403</v>
      </c>
      <c r="AI1" s="38" t="s">
        <v>414</v>
      </c>
      <c r="AK1" s="36" t="s">
        <v>430</v>
      </c>
      <c r="AL1" s="37" t="s">
        <v>411</v>
      </c>
      <c r="AM1" s="37" t="s">
        <v>412</v>
      </c>
      <c r="AN1" s="37" t="s">
        <v>400</v>
      </c>
      <c r="AO1" s="37" t="s">
        <v>413</v>
      </c>
      <c r="AP1" s="37" t="s">
        <v>402</v>
      </c>
      <c r="AQ1" s="37" t="s">
        <v>403</v>
      </c>
      <c r="AR1" s="38" t="s">
        <v>414</v>
      </c>
      <c r="AT1" s="36" t="s">
        <v>9</v>
      </c>
      <c r="AU1" s="37" t="s">
        <v>411</v>
      </c>
      <c r="AV1" s="37" t="s">
        <v>412</v>
      </c>
      <c r="AW1" s="37" t="s">
        <v>400</v>
      </c>
      <c r="AX1" s="37" t="s">
        <v>413</v>
      </c>
      <c r="AY1" s="37" t="s">
        <v>402</v>
      </c>
      <c r="AZ1" s="37" t="s">
        <v>403</v>
      </c>
      <c r="BA1" s="38" t="s">
        <v>414</v>
      </c>
      <c r="BC1" s="36" t="s">
        <v>431</v>
      </c>
      <c r="BD1" s="37" t="s">
        <v>411</v>
      </c>
      <c r="BE1" s="37" t="s">
        <v>412</v>
      </c>
      <c r="BF1" s="37" t="s">
        <v>400</v>
      </c>
      <c r="BG1" s="37" t="s">
        <v>413</v>
      </c>
      <c r="BH1" s="37" t="s">
        <v>402</v>
      </c>
      <c r="BI1" s="37" t="s">
        <v>403</v>
      </c>
      <c r="BJ1" s="38" t="s">
        <v>414</v>
      </c>
      <c r="BL1" s="36" t="s">
        <v>432</v>
      </c>
      <c r="BM1" s="37" t="s">
        <v>411</v>
      </c>
      <c r="BN1" s="37" t="s">
        <v>412</v>
      </c>
      <c r="BO1" s="37" t="s">
        <v>400</v>
      </c>
      <c r="BP1" s="37" t="s">
        <v>413</v>
      </c>
      <c r="BQ1" s="37" t="s">
        <v>402</v>
      </c>
      <c r="BR1" s="37" t="s">
        <v>403</v>
      </c>
      <c r="BS1" s="38" t="s">
        <v>414</v>
      </c>
      <c r="BU1" s="36" t="s">
        <v>433</v>
      </c>
      <c r="BV1" s="37" t="s">
        <v>411</v>
      </c>
      <c r="BW1" s="37" t="s">
        <v>412</v>
      </c>
      <c r="BX1" s="37" t="s">
        <v>400</v>
      </c>
      <c r="BY1" s="37" t="s">
        <v>413</v>
      </c>
      <c r="BZ1" s="37" t="s">
        <v>402</v>
      </c>
      <c r="CA1" s="37" t="s">
        <v>403</v>
      </c>
      <c r="CB1" s="38" t="s">
        <v>414</v>
      </c>
      <c r="CD1" s="36" t="s">
        <v>434</v>
      </c>
      <c r="CE1" s="37" t="s">
        <v>411</v>
      </c>
      <c r="CF1" s="37" t="s">
        <v>412</v>
      </c>
      <c r="CG1" s="37" t="s">
        <v>400</v>
      </c>
      <c r="CH1" s="37" t="s">
        <v>413</v>
      </c>
      <c r="CI1" s="37" t="s">
        <v>402</v>
      </c>
      <c r="CJ1" s="37" t="s">
        <v>403</v>
      </c>
      <c r="CK1" s="38" t="s">
        <v>414</v>
      </c>
      <c r="CM1" s="46" t="s">
        <v>253</v>
      </c>
      <c r="CN1" s="37" t="s">
        <v>411</v>
      </c>
      <c r="CO1" s="37" t="s">
        <v>412</v>
      </c>
      <c r="CP1" s="37" t="s">
        <v>400</v>
      </c>
      <c r="CQ1" s="37" t="s">
        <v>413</v>
      </c>
      <c r="CR1" s="37" t="s">
        <v>402</v>
      </c>
      <c r="CS1" s="37" t="s">
        <v>403</v>
      </c>
      <c r="CT1" s="38" t="s">
        <v>414</v>
      </c>
      <c r="CV1" s="47" t="s">
        <v>20</v>
      </c>
      <c r="CW1" s="37" t="s">
        <v>411</v>
      </c>
      <c r="CX1" s="37" t="s">
        <v>412</v>
      </c>
      <c r="CY1" s="37" t="s">
        <v>400</v>
      </c>
      <c r="CZ1" s="37" t="s">
        <v>413</v>
      </c>
      <c r="DA1" s="37" t="s">
        <v>402</v>
      </c>
      <c r="DB1" s="37" t="s">
        <v>403</v>
      </c>
      <c r="DC1" s="38" t="s">
        <v>414</v>
      </c>
      <c r="DE1" s="46" t="s">
        <v>21</v>
      </c>
      <c r="DF1" s="37" t="s">
        <v>411</v>
      </c>
      <c r="DG1" s="37" t="s">
        <v>412</v>
      </c>
      <c r="DH1" s="37" t="s">
        <v>400</v>
      </c>
      <c r="DI1" s="37" t="s">
        <v>413</v>
      </c>
      <c r="DJ1" s="37" t="s">
        <v>402</v>
      </c>
      <c r="DK1" s="37" t="s">
        <v>403</v>
      </c>
      <c r="DL1" s="38" t="s">
        <v>414</v>
      </c>
      <c r="DN1" s="46" t="s">
        <v>435</v>
      </c>
      <c r="DO1" s="37" t="s">
        <v>411</v>
      </c>
      <c r="DP1" s="37" t="s">
        <v>412</v>
      </c>
      <c r="DQ1" s="37" t="s">
        <v>400</v>
      </c>
      <c r="DR1" s="37" t="s">
        <v>413</v>
      </c>
      <c r="DS1" s="37" t="s">
        <v>402</v>
      </c>
      <c r="DT1" s="37" t="s">
        <v>403</v>
      </c>
      <c r="DU1" s="38" t="s">
        <v>414</v>
      </c>
      <c r="DW1" s="46" t="s">
        <v>436</v>
      </c>
      <c r="DX1" s="37" t="s">
        <v>411</v>
      </c>
      <c r="DY1" s="37" t="s">
        <v>412</v>
      </c>
      <c r="DZ1" s="37" t="s">
        <v>400</v>
      </c>
      <c r="EA1" s="37" t="s">
        <v>413</v>
      </c>
      <c r="EB1" s="37" t="s">
        <v>402</v>
      </c>
      <c r="EC1" s="37" t="s">
        <v>403</v>
      </c>
      <c r="ED1" s="38" t="s">
        <v>414</v>
      </c>
      <c r="EF1" s="46" t="s">
        <v>437</v>
      </c>
      <c r="EG1" s="37" t="s">
        <v>411</v>
      </c>
      <c r="EH1" s="37" t="s">
        <v>412</v>
      </c>
      <c r="EI1" s="37" t="s">
        <v>400</v>
      </c>
      <c r="EJ1" s="37" t="s">
        <v>413</v>
      </c>
      <c r="EK1" s="37" t="s">
        <v>402</v>
      </c>
      <c r="EL1" s="37" t="s">
        <v>403</v>
      </c>
      <c r="EM1" s="38" t="s">
        <v>414</v>
      </c>
      <c r="EO1" s="46" t="s">
        <v>438</v>
      </c>
      <c r="EP1" s="37" t="s">
        <v>411</v>
      </c>
      <c r="EQ1" s="37" t="s">
        <v>412</v>
      </c>
      <c r="ER1" s="37" t="s">
        <v>400</v>
      </c>
      <c r="ES1" s="37" t="s">
        <v>413</v>
      </c>
      <c r="ET1" s="37" t="s">
        <v>402</v>
      </c>
      <c r="EU1" s="37" t="s">
        <v>403</v>
      </c>
      <c r="EV1" s="38" t="s">
        <v>414</v>
      </c>
      <c r="EX1" s="46" t="s">
        <v>439</v>
      </c>
      <c r="EY1" s="37" t="s">
        <v>411</v>
      </c>
      <c r="EZ1" s="37" t="s">
        <v>412</v>
      </c>
      <c r="FA1" s="37" t="s">
        <v>400</v>
      </c>
      <c r="FB1" s="37" t="s">
        <v>413</v>
      </c>
      <c r="FC1" s="37" t="s">
        <v>402</v>
      </c>
      <c r="FD1" s="37" t="s">
        <v>403</v>
      </c>
      <c r="FE1" s="38" t="s">
        <v>414</v>
      </c>
    </row>
    <row r="2" spans="1:161" x14ac:dyDescent="0.35">
      <c r="A2" s="37" t="s">
        <v>415</v>
      </c>
      <c r="B2" s="37">
        <v>0</v>
      </c>
      <c r="C2" s="39">
        <v>10.129999999999999</v>
      </c>
      <c r="D2" s="37">
        <v>2</v>
      </c>
      <c r="E2" s="1">
        <f>D2/D$11</f>
        <v>1.7857142857142856E-2</v>
      </c>
      <c r="F2" s="1">
        <f>LOG(E2,2)</f>
        <v>-5.8073549220576046</v>
      </c>
      <c r="G2" s="1">
        <f>F2*-1</f>
        <v>5.8073549220576046</v>
      </c>
      <c r="H2" s="1">
        <f>E2*G2</f>
        <v>0.10370276646531436</v>
      </c>
      <c r="J2" s="33" t="s">
        <v>415</v>
      </c>
      <c r="K2" s="37">
        <v>0</v>
      </c>
      <c r="L2" s="39">
        <v>95.73</v>
      </c>
      <c r="M2" s="37">
        <v>2</v>
      </c>
      <c r="N2" s="1">
        <f>M2/M$11</f>
        <v>1.7857142857142856E-2</v>
      </c>
      <c r="O2" s="1">
        <f>LOG(N2,2)</f>
        <v>-5.8073549220576046</v>
      </c>
      <c r="P2" s="1">
        <f>O2*-1</f>
        <v>5.8073549220576046</v>
      </c>
      <c r="Q2" s="1">
        <f>N2*P2</f>
        <v>0.10370276646531436</v>
      </c>
      <c r="S2" s="33" t="s">
        <v>415</v>
      </c>
      <c r="T2" s="37">
        <v>0</v>
      </c>
      <c r="U2" s="39">
        <v>98.57</v>
      </c>
      <c r="V2" s="37">
        <v>2</v>
      </c>
      <c r="W2" s="1">
        <f>V2/V$11</f>
        <v>1.7857142857142856E-2</v>
      </c>
      <c r="X2" s="1">
        <f>LOG(W2,2)</f>
        <v>-5.8073549220576046</v>
      </c>
      <c r="Y2" s="1">
        <f>X2*-1</f>
        <v>5.8073549220576046</v>
      </c>
      <c r="Z2" s="1">
        <f>W2*Y2</f>
        <v>0.10370276646531436</v>
      </c>
      <c r="AB2" s="33" t="s">
        <v>415</v>
      </c>
      <c r="AC2" s="37">
        <v>0</v>
      </c>
      <c r="AD2" s="39">
        <v>130.18</v>
      </c>
      <c r="AE2" s="37">
        <v>2</v>
      </c>
      <c r="AF2" s="1">
        <f>AE2/AE$11</f>
        <v>1.7857142857142856E-2</v>
      </c>
      <c r="AG2" s="1">
        <f>LOG(AF2,2)</f>
        <v>-5.8073549220576046</v>
      </c>
      <c r="AH2" s="1">
        <f>AG2*-1</f>
        <v>5.8073549220576046</v>
      </c>
      <c r="AI2" s="1">
        <f>AF2*AH2</f>
        <v>0.10370276646531436</v>
      </c>
      <c r="AK2" s="33" t="s">
        <v>415</v>
      </c>
      <c r="AL2">
        <v>0</v>
      </c>
      <c r="AM2">
        <v>62.31</v>
      </c>
      <c r="AN2" s="37">
        <v>2</v>
      </c>
      <c r="AO2" s="1">
        <f>AN2/AN$11</f>
        <v>1.7857142857142856E-2</v>
      </c>
      <c r="AP2" s="1">
        <f>LOG(AO2,2)</f>
        <v>-5.8073549220576046</v>
      </c>
      <c r="AQ2" s="1">
        <f>AP2*-1</f>
        <v>5.8073549220576046</v>
      </c>
      <c r="AR2" s="1">
        <f>AO2*AQ2</f>
        <v>0.10370276646531436</v>
      </c>
      <c r="AT2" s="33" t="s">
        <v>415</v>
      </c>
      <c r="AU2" s="37">
        <v>0</v>
      </c>
      <c r="AV2" s="39">
        <v>4.16</v>
      </c>
      <c r="AW2" s="37">
        <v>2</v>
      </c>
      <c r="AX2" s="1">
        <f>AW2/AW$11</f>
        <v>1.7857142857142856E-2</v>
      </c>
      <c r="AY2" s="1">
        <f>LOG(AX2,2)</f>
        <v>-5.8073549220576046</v>
      </c>
      <c r="AZ2" s="1">
        <f>AY2*-1</f>
        <v>5.8073549220576046</v>
      </c>
      <c r="BA2" s="1">
        <f>AX2*AZ2</f>
        <v>0.10370276646531436</v>
      </c>
      <c r="BC2" s="33" t="s">
        <v>415</v>
      </c>
      <c r="BD2" s="37">
        <v>0</v>
      </c>
      <c r="BE2" s="39">
        <v>6.0399999999999991</v>
      </c>
      <c r="BF2" s="37">
        <v>2</v>
      </c>
      <c r="BG2" s="1">
        <f t="shared" ref="BG2:BG8" si="0">BF2/BF$11</f>
        <v>1.7857142857142856E-2</v>
      </c>
      <c r="BH2" s="1">
        <f>LOG(BG2,2)</f>
        <v>-5.8073549220576046</v>
      </c>
      <c r="BI2" s="1">
        <f>BH2*-1</f>
        <v>5.8073549220576046</v>
      </c>
      <c r="BJ2" s="1">
        <f>BG2*BI2</f>
        <v>0.10370276646531436</v>
      </c>
      <c r="BL2" s="33" t="s">
        <v>415</v>
      </c>
      <c r="BM2" s="37">
        <v>0</v>
      </c>
      <c r="BN2" s="39">
        <v>8.0300000000000011</v>
      </c>
      <c r="BO2" s="37">
        <v>2</v>
      </c>
      <c r="BP2" s="1">
        <f t="shared" ref="BP2:BP8" si="1">BO2/BO$11</f>
        <v>1.7857142857142856E-2</v>
      </c>
      <c r="BQ2" s="1">
        <f>LOG(BP2,2)</f>
        <v>-5.8073549220576046</v>
      </c>
      <c r="BR2" s="1">
        <f>BQ2*-1</f>
        <v>5.8073549220576046</v>
      </c>
      <c r="BS2" s="1">
        <f>BP2*BR2</f>
        <v>0.10370276646531436</v>
      </c>
      <c r="BU2" s="33" t="s">
        <v>415</v>
      </c>
      <c r="BV2" s="37">
        <v>0</v>
      </c>
      <c r="BW2" s="39">
        <v>0.62000000000000011</v>
      </c>
      <c r="BX2" s="37">
        <v>2</v>
      </c>
      <c r="BY2" s="1">
        <f t="shared" ref="BY2:BY8" si="2">BX2/BX$11</f>
        <v>1.7857142857142856E-2</v>
      </c>
      <c r="BZ2" s="1">
        <f>LOG(BY2,2)</f>
        <v>-5.8073549220576046</v>
      </c>
      <c r="CA2" s="1">
        <f>BZ2*-1</f>
        <v>5.8073549220576046</v>
      </c>
      <c r="CB2" s="1">
        <f>BY2*CA2</f>
        <v>0.10370276646531436</v>
      </c>
      <c r="CD2" s="33" t="s">
        <v>415</v>
      </c>
      <c r="CE2" s="37">
        <v>0</v>
      </c>
      <c r="CF2" s="39">
        <v>1.0499999999999989</v>
      </c>
      <c r="CG2" s="37">
        <v>2</v>
      </c>
      <c r="CH2" s="1">
        <f t="shared" ref="CH2:CH8" si="3">CG2/CG$11</f>
        <v>1.7857142857142856E-2</v>
      </c>
      <c r="CI2" s="1">
        <f>LOG(CH2,2)</f>
        <v>-5.8073549220576046</v>
      </c>
      <c r="CJ2" s="1">
        <f>CI2*-1</f>
        <v>5.8073549220576046</v>
      </c>
      <c r="CK2" s="1">
        <f>CH2*CJ2</f>
        <v>0.10370276646531436</v>
      </c>
      <c r="CM2" s="33" t="s">
        <v>415</v>
      </c>
      <c r="CN2" s="37">
        <v>0</v>
      </c>
      <c r="CO2" s="39">
        <v>7.6199999999999992</v>
      </c>
      <c r="CP2" s="37">
        <v>2</v>
      </c>
      <c r="CQ2" s="1">
        <f t="shared" ref="CQ2:CQ8" si="4">CP2/CP$11</f>
        <v>1.7857142857142856E-2</v>
      </c>
      <c r="CR2" s="1">
        <f>LOG(CQ2,2)</f>
        <v>-5.8073549220576046</v>
      </c>
      <c r="CS2" s="1">
        <f>CR2*-1</f>
        <v>5.8073549220576046</v>
      </c>
      <c r="CT2" s="1">
        <f>CQ2*CS2</f>
        <v>0.10370276646531436</v>
      </c>
      <c r="CV2" s="33" t="s">
        <v>415</v>
      </c>
      <c r="CW2" s="37">
        <v>0</v>
      </c>
      <c r="CX2" s="39">
        <v>2.13</v>
      </c>
      <c r="CY2" s="37">
        <v>2</v>
      </c>
      <c r="CZ2" s="1">
        <f t="shared" ref="CZ2:CZ8" si="5">CY2/CY$11</f>
        <v>1.7857142857142856E-2</v>
      </c>
      <c r="DA2" s="1">
        <f>LOG(CZ2,2)</f>
        <v>-5.8073549220576046</v>
      </c>
      <c r="DB2" s="1">
        <f>DA2*-1</f>
        <v>5.8073549220576046</v>
      </c>
      <c r="DC2" s="1">
        <f>CZ2*DB2</f>
        <v>0.10370276646531436</v>
      </c>
      <c r="DE2" s="33" t="s">
        <v>415</v>
      </c>
      <c r="DF2" s="37">
        <v>0</v>
      </c>
      <c r="DG2" s="39">
        <v>27.560000000000002</v>
      </c>
      <c r="DH2" s="37">
        <v>2</v>
      </c>
      <c r="DI2" s="1">
        <f t="shared" ref="DI2:DI8" si="6">DH2/DH$11</f>
        <v>1.7857142857142856E-2</v>
      </c>
      <c r="DJ2" s="1">
        <f>LOG(DI2,2)</f>
        <v>-5.8073549220576046</v>
      </c>
      <c r="DK2" s="1">
        <f>DJ2*-1</f>
        <v>5.8073549220576046</v>
      </c>
      <c r="DL2" s="1">
        <f>DI2*DK2</f>
        <v>0.10370276646531436</v>
      </c>
      <c r="DN2" s="33" t="s">
        <v>415</v>
      </c>
      <c r="DO2" s="37">
        <v>0</v>
      </c>
      <c r="DP2" s="39">
        <v>5.0199999999999996</v>
      </c>
      <c r="DQ2" s="37">
        <v>2</v>
      </c>
      <c r="DR2" s="1">
        <f t="shared" ref="DR2:DR8" si="7">DQ2/DQ$11</f>
        <v>1.7857142857142856E-2</v>
      </c>
      <c r="DS2" s="1">
        <f>LOG(DR2,2)</f>
        <v>-5.8073549220576046</v>
      </c>
      <c r="DT2" s="1">
        <f>DS2*-1</f>
        <v>5.8073549220576046</v>
      </c>
      <c r="DU2" s="1">
        <f>DR2*DT2</f>
        <v>0.10370276646531436</v>
      </c>
      <c r="DW2" s="33" t="s">
        <v>415</v>
      </c>
      <c r="DX2" s="37">
        <v>0</v>
      </c>
      <c r="DY2" s="39">
        <v>2.63</v>
      </c>
      <c r="DZ2" s="37">
        <v>2</v>
      </c>
      <c r="EA2" s="1">
        <f t="shared" ref="EA2:EA8" si="8">DZ2/DZ$11</f>
        <v>1.7857142857142856E-2</v>
      </c>
      <c r="EB2" s="1">
        <f>LOG(EA2,2)</f>
        <v>-5.8073549220576046</v>
      </c>
      <c r="EC2" s="1">
        <f>EB2*-1</f>
        <v>5.8073549220576046</v>
      </c>
      <c r="ED2" s="1">
        <f>EA2*EC2</f>
        <v>0.10370276646531436</v>
      </c>
      <c r="EF2" s="33" t="s">
        <v>415</v>
      </c>
      <c r="EG2" s="37">
        <v>0</v>
      </c>
      <c r="EH2" s="39">
        <v>2.19</v>
      </c>
      <c r="EI2" s="37">
        <v>2</v>
      </c>
      <c r="EJ2" s="1">
        <f t="shared" ref="EJ2:EJ8" si="9">EI2/EI$11</f>
        <v>1.7857142857142856E-2</v>
      </c>
      <c r="EK2" s="1">
        <f>LOG(EJ2,2)</f>
        <v>-5.8073549220576046</v>
      </c>
      <c r="EL2" s="1">
        <f>EK2*-1</f>
        <v>5.8073549220576046</v>
      </c>
      <c r="EM2" s="1">
        <f>EJ2*EL2</f>
        <v>0.10370276646531436</v>
      </c>
      <c r="EO2" s="33" t="s">
        <v>415</v>
      </c>
      <c r="EP2" s="37">
        <v>0</v>
      </c>
      <c r="EQ2" s="39">
        <v>20.749999999999996</v>
      </c>
      <c r="ER2" s="37">
        <v>2</v>
      </c>
      <c r="ES2" s="1">
        <f t="shared" ref="ES2:ES8" si="10">ER2/ER$11</f>
        <v>1.7857142857142856E-2</v>
      </c>
      <c r="ET2" s="1">
        <f>LOG(ES2,2)</f>
        <v>-5.8073549220576046</v>
      </c>
      <c r="EU2" s="1">
        <f>ET2*-1</f>
        <v>5.8073549220576046</v>
      </c>
      <c r="EV2" s="1">
        <f>ES2*EU2</f>
        <v>0.10370276646531436</v>
      </c>
      <c r="EX2" s="33" t="s">
        <v>415</v>
      </c>
      <c r="EY2" s="37">
        <v>0</v>
      </c>
      <c r="EZ2" s="39">
        <v>0.48</v>
      </c>
      <c r="FA2" s="37">
        <v>2</v>
      </c>
      <c r="FB2" s="1">
        <f t="shared" ref="FB2:FB8" si="11">FA2/FA$11</f>
        <v>1.7857142857142856E-2</v>
      </c>
      <c r="FC2" s="1">
        <f>LOG(FB2,2)</f>
        <v>-5.8073549220576046</v>
      </c>
      <c r="FD2" s="1">
        <f>FC2*-1</f>
        <v>5.8073549220576046</v>
      </c>
      <c r="FE2" s="1">
        <f>FB2*FD2</f>
        <v>0.10370276646531436</v>
      </c>
    </row>
    <row r="3" spans="1:161" x14ac:dyDescent="0.35">
      <c r="A3" s="37" t="s">
        <v>416</v>
      </c>
      <c r="B3" s="39">
        <v>10.1</v>
      </c>
      <c r="C3" s="39">
        <v>12.25</v>
      </c>
      <c r="D3" s="1">
        <v>5</v>
      </c>
      <c r="E3" s="1">
        <f t="shared" ref="E3:E10" si="12">D3/D$11</f>
        <v>4.4642857142857144E-2</v>
      </c>
      <c r="F3" s="1">
        <f t="shared" ref="F3:F10" si="13">LOG(E3,2)</f>
        <v>-4.485426827170242</v>
      </c>
      <c r="G3" s="1">
        <f t="shared" ref="G3:G9" si="14">F3*-1</f>
        <v>4.485426827170242</v>
      </c>
      <c r="H3" s="1">
        <f>E3*G3</f>
        <v>0.20024226907010009</v>
      </c>
      <c r="J3" s="33" t="s">
        <v>416</v>
      </c>
      <c r="K3" s="39">
        <v>95.7</v>
      </c>
      <c r="L3" s="39">
        <v>98.825000000000003</v>
      </c>
      <c r="M3" s="1">
        <v>5</v>
      </c>
      <c r="N3" s="1">
        <f t="shared" ref="N3:N10" si="15">M3/M$11</f>
        <v>4.4642857142857144E-2</v>
      </c>
      <c r="O3" s="1">
        <f t="shared" ref="O3:O10" si="16">LOG(N3,2)</f>
        <v>-4.485426827170242</v>
      </c>
      <c r="P3" s="1">
        <f t="shared" ref="P3:P9" si="17">O3*-1</f>
        <v>4.485426827170242</v>
      </c>
      <c r="Q3" s="1">
        <f>N3*P3</f>
        <v>0.20024226907010009</v>
      </c>
      <c r="S3" s="33" t="s">
        <v>416</v>
      </c>
      <c r="T3" s="39">
        <v>98.6</v>
      </c>
      <c r="U3" s="39">
        <v>102.33</v>
      </c>
      <c r="V3" s="1">
        <v>5</v>
      </c>
      <c r="W3" s="1">
        <f t="shared" ref="W3:W10" si="18">V3/V$11</f>
        <v>4.4642857142857144E-2</v>
      </c>
      <c r="X3" s="1">
        <f t="shared" ref="X3:X10" si="19">LOG(W3,2)</f>
        <v>-4.485426827170242</v>
      </c>
      <c r="Y3" s="1">
        <f t="shared" ref="Y3:Y9" si="20">X3*-1</f>
        <v>4.485426827170242</v>
      </c>
      <c r="Z3" s="1">
        <f>W3*Y3</f>
        <v>0.20024226907010009</v>
      </c>
      <c r="AB3" s="33" t="s">
        <v>416</v>
      </c>
      <c r="AC3" s="39">
        <v>130.19999999999999</v>
      </c>
      <c r="AD3" s="39">
        <v>133.72999999999999</v>
      </c>
      <c r="AE3" s="1">
        <v>5</v>
      </c>
      <c r="AF3" s="1">
        <f t="shared" ref="AF3:AF10" si="21">AE3/AE$11</f>
        <v>4.4642857142857144E-2</v>
      </c>
      <c r="AG3" s="1">
        <f t="shared" ref="AG3:AG10" si="22">LOG(AF3,2)</f>
        <v>-4.485426827170242</v>
      </c>
      <c r="AH3" s="1">
        <f t="shared" ref="AH3:AH9" si="23">AG3*-1</f>
        <v>4.485426827170242</v>
      </c>
      <c r="AI3" s="1">
        <f>AF3*AH3</f>
        <v>0.20024226907010009</v>
      </c>
      <c r="AK3" s="33" t="s">
        <v>416</v>
      </c>
      <c r="AL3">
        <v>62.31</v>
      </c>
      <c r="AM3">
        <v>69.814999999999998</v>
      </c>
      <c r="AN3" s="1">
        <v>5</v>
      </c>
      <c r="AO3" s="1">
        <f t="shared" ref="AO3:AO7" si="24">AN3/AN$11</f>
        <v>4.4642857142857144E-2</v>
      </c>
      <c r="AP3" s="1">
        <f t="shared" ref="AP3:AP10" si="25">LOG(AO3,2)</f>
        <v>-4.485426827170242</v>
      </c>
      <c r="AQ3" s="1">
        <f t="shared" ref="AQ3:AQ9" si="26">AP3*-1</f>
        <v>4.485426827170242</v>
      </c>
      <c r="AR3" s="1">
        <f>AO3*AQ3</f>
        <v>0.20024226907010009</v>
      </c>
      <c r="AT3" s="33" t="s">
        <v>416</v>
      </c>
      <c r="AU3" s="39"/>
      <c r="AV3" s="39">
        <v>6.92</v>
      </c>
      <c r="AW3" s="1">
        <v>5</v>
      </c>
      <c r="AX3" s="1">
        <f t="shared" ref="AX3:AX10" si="27">AW3/AW$11</f>
        <v>4.4642857142857144E-2</v>
      </c>
      <c r="AY3" s="1">
        <f t="shared" ref="AY3:AY10" si="28">LOG(AX3,2)</f>
        <v>-4.485426827170242</v>
      </c>
      <c r="AZ3" s="1">
        <f t="shared" ref="AZ3:AZ9" si="29">AY3*-1</f>
        <v>4.485426827170242</v>
      </c>
      <c r="BA3" s="1">
        <f>AX3*AZ3</f>
        <v>0.20024226907010009</v>
      </c>
      <c r="BC3" s="33" t="s">
        <v>416</v>
      </c>
      <c r="BD3" s="39">
        <v>6</v>
      </c>
      <c r="BE3" s="39">
        <v>6.8049999999999997</v>
      </c>
      <c r="BF3" s="1">
        <v>5</v>
      </c>
      <c r="BG3" s="1">
        <f t="shared" si="0"/>
        <v>4.4642857142857144E-2</v>
      </c>
      <c r="BH3" s="1">
        <f t="shared" ref="BH3:BH10" si="30">LOG(BG3,2)</f>
        <v>-4.485426827170242</v>
      </c>
      <c r="BI3" s="1">
        <f t="shared" ref="BI3:BI9" si="31">BH3*-1</f>
        <v>4.485426827170242</v>
      </c>
      <c r="BJ3" s="1">
        <f>BG3*BI3</f>
        <v>0.20024226907010009</v>
      </c>
      <c r="BL3" s="33" t="s">
        <v>416</v>
      </c>
      <c r="BM3" s="39">
        <v>8</v>
      </c>
      <c r="BN3" s="39">
        <v>9.1000000000000014</v>
      </c>
      <c r="BO3" s="1">
        <v>5</v>
      </c>
      <c r="BP3" s="1">
        <f t="shared" si="1"/>
        <v>4.4642857142857144E-2</v>
      </c>
      <c r="BQ3" s="1">
        <f t="shared" ref="BQ3:BQ10" si="32">LOG(BP3,2)</f>
        <v>-4.485426827170242</v>
      </c>
      <c r="BR3" s="1">
        <f t="shared" ref="BR3:BR9" si="33">BQ3*-1</f>
        <v>4.485426827170242</v>
      </c>
      <c r="BS3" s="1">
        <f>BP3*BR3</f>
        <v>0.20024226907010009</v>
      </c>
      <c r="BU3" s="33" t="s">
        <v>416</v>
      </c>
      <c r="BV3" s="39">
        <v>0.6</v>
      </c>
      <c r="BW3" s="39">
        <v>0.72500000000000009</v>
      </c>
      <c r="BX3" s="1">
        <v>5</v>
      </c>
      <c r="BY3" s="1">
        <f t="shared" si="2"/>
        <v>4.4642857142857144E-2</v>
      </c>
      <c r="BZ3" s="1">
        <f t="shared" ref="BZ3:BZ10" si="34">LOG(BY3,2)</f>
        <v>-4.485426827170242</v>
      </c>
      <c r="CA3" s="1">
        <f t="shared" ref="CA3:CA9" si="35">BZ3*-1</f>
        <v>4.485426827170242</v>
      </c>
      <c r="CB3" s="1">
        <f>BY3*CA3</f>
        <v>0.20024226907010009</v>
      </c>
      <c r="CD3" s="33" t="s">
        <v>416</v>
      </c>
      <c r="CE3" s="39">
        <v>1.1000000000000001</v>
      </c>
      <c r="CF3" s="39">
        <v>2.8599999999999994</v>
      </c>
      <c r="CG3" s="1">
        <v>5</v>
      </c>
      <c r="CH3" s="1">
        <f t="shared" si="3"/>
        <v>4.4642857142857144E-2</v>
      </c>
      <c r="CI3" s="1">
        <f t="shared" ref="CI3:CI10" si="36">LOG(CH3,2)</f>
        <v>-4.485426827170242</v>
      </c>
      <c r="CJ3" s="1">
        <f t="shared" ref="CJ3:CJ9" si="37">CI3*-1</f>
        <v>4.485426827170242</v>
      </c>
      <c r="CK3" s="1">
        <f>CH3*CJ3</f>
        <v>0.20024226907010009</v>
      </c>
      <c r="CM3" s="33" t="s">
        <v>416</v>
      </c>
      <c r="CN3" s="39">
        <v>7.6</v>
      </c>
      <c r="CO3" s="39">
        <v>8.0749999999999993</v>
      </c>
      <c r="CP3" s="1">
        <v>5</v>
      </c>
      <c r="CQ3" s="1">
        <f t="shared" si="4"/>
        <v>4.4642857142857144E-2</v>
      </c>
      <c r="CR3" s="1">
        <f t="shared" ref="CR3:CR10" si="38">LOG(CQ3,2)</f>
        <v>-4.485426827170242</v>
      </c>
      <c r="CS3" s="1">
        <f t="shared" ref="CS3:CS9" si="39">CR3*-1</f>
        <v>4.485426827170242</v>
      </c>
      <c r="CT3" s="1">
        <f>CQ3*CS3</f>
        <v>0.20024226907010009</v>
      </c>
      <c r="CV3" s="33" t="s">
        <v>416</v>
      </c>
      <c r="CW3" s="39">
        <v>2.1</v>
      </c>
      <c r="CX3" s="39">
        <v>2.3250000000000002</v>
      </c>
      <c r="CY3" s="1">
        <v>5</v>
      </c>
      <c r="CZ3" s="1">
        <f t="shared" si="5"/>
        <v>4.4642857142857144E-2</v>
      </c>
      <c r="DA3" s="1">
        <f t="shared" ref="DA3:DA10" si="40">LOG(CZ3,2)</f>
        <v>-4.485426827170242</v>
      </c>
      <c r="DB3" s="1">
        <f t="shared" ref="DB3:DB9" si="41">DA3*-1</f>
        <v>4.485426827170242</v>
      </c>
      <c r="DC3" s="1">
        <f>CZ3*DB3</f>
        <v>0.20024226907010009</v>
      </c>
      <c r="DE3" s="33" t="s">
        <v>416</v>
      </c>
      <c r="DF3" s="39">
        <v>27.6</v>
      </c>
      <c r="DG3" s="39">
        <v>30.91</v>
      </c>
      <c r="DH3" s="1">
        <v>5</v>
      </c>
      <c r="DI3" s="1">
        <f t="shared" si="6"/>
        <v>4.4642857142857144E-2</v>
      </c>
      <c r="DJ3" s="1">
        <f t="shared" ref="DJ3:DJ10" si="42">LOG(DI3,2)</f>
        <v>-4.485426827170242</v>
      </c>
      <c r="DK3" s="1">
        <f t="shared" ref="DK3:DK9" si="43">DJ3*-1</f>
        <v>4.485426827170242</v>
      </c>
      <c r="DL3" s="1">
        <f>DI3*DK3</f>
        <v>0.20024226907010009</v>
      </c>
      <c r="DN3" s="33" t="s">
        <v>416</v>
      </c>
      <c r="DO3" s="39">
        <v>5</v>
      </c>
      <c r="DP3" s="39">
        <v>5.2549999999999999</v>
      </c>
      <c r="DQ3" s="1">
        <v>5</v>
      </c>
      <c r="DR3" s="1">
        <f t="shared" si="7"/>
        <v>4.4642857142857144E-2</v>
      </c>
      <c r="DS3" s="1">
        <f t="shared" ref="DS3:DS10" si="44">LOG(DR3,2)</f>
        <v>-4.485426827170242</v>
      </c>
      <c r="DT3" s="1">
        <f t="shared" ref="DT3:DT9" si="45">DS3*-1</f>
        <v>4.485426827170242</v>
      </c>
      <c r="DU3" s="1">
        <f>DR3*DT3</f>
        <v>0.20024226907010009</v>
      </c>
      <c r="DW3" s="33" t="s">
        <v>416</v>
      </c>
      <c r="DX3" s="39">
        <v>2.6</v>
      </c>
      <c r="DY3" s="39">
        <v>2.7800000000000002</v>
      </c>
      <c r="DZ3" s="1">
        <v>5</v>
      </c>
      <c r="EA3" s="1">
        <f t="shared" si="8"/>
        <v>4.4642857142857144E-2</v>
      </c>
      <c r="EB3" s="1">
        <f t="shared" ref="EB3:EB10" si="46">LOG(EA3,2)</f>
        <v>-4.485426827170242</v>
      </c>
      <c r="EC3" s="1">
        <f t="shared" ref="EC3:EC9" si="47">EB3*-1</f>
        <v>4.485426827170242</v>
      </c>
      <c r="ED3" s="1">
        <f>EA3*EC3</f>
        <v>0.20024226907010009</v>
      </c>
      <c r="EF3" s="33" t="s">
        <v>416</v>
      </c>
      <c r="EG3" s="39">
        <v>2.2000000000000002</v>
      </c>
      <c r="EH3" s="39">
        <v>2.3199999999999998</v>
      </c>
      <c r="EI3" s="1">
        <v>5</v>
      </c>
      <c r="EJ3" s="1">
        <f t="shared" si="9"/>
        <v>4.4642857142857144E-2</v>
      </c>
      <c r="EK3" s="1">
        <f t="shared" ref="EK3:EK10" si="48">LOG(EJ3,2)</f>
        <v>-4.485426827170242</v>
      </c>
      <c r="EL3" s="1">
        <f t="shared" ref="EL3:EL9" si="49">EK3*-1</f>
        <v>4.485426827170242</v>
      </c>
      <c r="EM3" s="1">
        <f>EJ3*EL3</f>
        <v>0.20024226907010009</v>
      </c>
      <c r="EO3" s="33" t="s">
        <v>416</v>
      </c>
      <c r="EP3" s="39">
        <v>20.8</v>
      </c>
      <c r="EQ3" s="39">
        <v>24.664999999999996</v>
      </c>
      <c r="ER3" s="1">
        <v>5</v>
      </c>
      <c r="ES3" s="1">
        <f t="shared" si="10"/>
        <v>4.4642857142857144E-2</v>
      </c>
      <c r="ET3" s="1">
        <f t="shared" ref="ET3:ET10" si="50">LOG(ES3,2)</f>
        <v>-4.485426827170242</v>
      </c>
      <c r="EU3" s="1">
        <f t="shared" ref="EU3:EU9" si="51">ET3*-1</f>
        <v>4.485426827170242</v>
      </c>
      <c r="EV3" s="1">
        <f>ES3*EU3</f>
        <v>0.20024226907010009</v>
      </c>
      <c r="EX3" s="33" t="s">
        <v>416</v>
      </c>
      <c r="EY3" s="39">
        <v>0.5</v>
      </c>
      <c r="EZ3" s="39">
        <v>0.71499999999999997</v>
      </c>
      <c r="FA3" s="1">
        <v>5</v>
      </c>
      <c r="FB3" s="1">
        <f t="shared" si="11"/>
        <v>4.4642857142857144E-2</v>
      </c>
      <c r="FC3" s="1">
        <f t="shared" ref="FC3:FC10" si="52">LOG(FB3,2)</f>
        <v>-4.485426827170242</v>
      </c>
      <c r="FD3" s="1">
        <f t="shared" ref="FD3:FD9" si="53">FC3*-1</f>
        <v>4.485426827170242</v>
      </c>
      <c r="FE3" s="1">
        <f>FB3*FD3</f>
        <v>0.20024226907010009</v>
      </c>
    </row>
    <row r="4" spans="1:161" x14ac:dyDescent="0.35">
      <c r="A4" s="37" t="s">
        <v>417</v>
      </c>
      <c r="B4" s="39">
        <v>12.3</v>
      </c>
      <c r="C4" s="39">
        <v>14.37</v>
      </c>
      <c r="D4" s="1">
        <v>10</v>
      </c>
      <c r="E4" s="1">
        <f t="shared" si="12"/>
        <v>8.9285714285714288E-2</v>
      </c>
      <c r="F4" s="1">
        <f t="shared" si="13"/>
        <v>-3.4854268271702415</v>
      </c>
      <c r="G4" s="1">
        <f t="shared" si="14"/>
        <v>3.4854268271702415</v>
      </c>
      <c r="H4" s="1">
        <f t="shared" ref="H4:H10" si="54">E4*G4</f>
        <v>0.31119882385448588</v>
      </c>
      <c r="J4" s="33" t="s">
        <v>417</v>
      </c>
      <c r="K4" s="39">
        <v>98.8</v>
      </c>
      <c r="L4" s="39">
        <v>101.92</v>
      </c>
      <c r="M4" s="1">
        <v>10</v>
      </c>
      <c r="N4" s="1">
        <f t="shared" si="15"/>
        <v>8.9285714285714288E-2</v>
      </c>
      <c r="O4" s="1">
        <f t="shared" si="16"/>
        <v>-3.4854268271702415</v>
      </c>
      <c r="P4" s="1">
        <f t="shared" si="17"/>
        <v>3.4854268271702415</v>
      </c>
      <c r="Q4" s="1">
        <f t="shared" ref="Q4:Q10" si="55">N4*P4</f>
        <v>0.31119882385448588</v>
      </c>
      <c r="S4" s="33" t="s">
        <v>417</v>
      </c>
      <c r="T4" s="39">
        <v>102.3</v>
      </c>
      <c r="U4" s="39">
        <v>106.09</v>
      </c>
      <c r="V4" s="1">
        <v>10</v>
      </c>
      <c r="W4" s="1">
        <f t="shared" si="18"/>
        <v>8.9285714285714288E-2</v>
      </c>
      <c r="X4" s="1">
        <f t="shared" si="19"/>
        <v>-3.4854268271702415</v>
      </c>
      <c r="Y4" s="1">
        <f t="shared" si="20"/>
        <v>3.4854268271702415</v>
      </c>
      <c r="Z4" s="1">
        <f t="shared" ref="Z4:Z10" si="56">W4*Y4</f>
        <v>0.31119882385448588</v>
      </c>
      <c r="AB4" s="33" t="s">
        <v>417</v>
      </c>
      <c r="AC4" s="39">
        <v>133.69999999999999</v>
      </c>
      <c r="AD4" s="39">
        <v>137.28</v>
      </c>
      <c r="AE4" s="1">
        <v>10</v>
      </c>
      <c r="AF4" s="1">
        <f t="shared" si="21"/>
        <v>8.9285714285714288E-2</v>
      </c>
      <c r="AG4" s="1">
        <f t="shared" si="22"/>
        <v>-3.4854268271702415</v>
      </c>
      <c r="AH4" s="1">
        <f t="shared" si="23"/>
        <v>3.4854268271702415</v>
      </c>
      <c r="AI4" s="1">
        <f t="shared" ref="AI4:AI10" si="57">AF4*AH4</f>
        <v>0.31119882385448588</v>
      </c>
      <c r="AK4" s="33" t="s">
        <v>417</v>
      </c>
      <c r="AL4">
        <v>69.81</v>
      </c>
      <c r="AM4">
        <v>77.319999999999993</v>
      </c>
      <c r="AN4" s="1">
        <v>10</v>
      </c>
      <c r="AO4" s="1">
        <f t="shared" si="24"/>
        <v>8.9285714285714288E-2</v>
      </c>
      <c r="AP4" s="1">
        <f t="shared" si="25"/>
        <v>-3.4854268271702415</v>
      </c>
      <c r="AQ4" s="1">
        <f t="shared" si="26"/>
        <v>3.4854268271702415</v>
      </c>
      <c r="AR4" s="1">
        <f t="shared" ref="AR4:AR10" si="58">AO4*AQ4</f>
        <v>0.31119882385448588</v>
      </c>
      <c r="AT4" s="33" t="s">
        <v>417</v>
      </c>
      <c r="AU4" s="39"/>
      <c r="AV4" s="39">
        <v>9.68</v>
      </c>
      <c r="AW4" s="1">
        <v>10</v>
      </c>
      <c r="AX4" s="1">
        <f t="shared" si="27"/>
        <v>8.9285714285714288E-2</v>
      </c>
      <c r="AY4" s="1">
        <f t="shared" si="28"/>
        <v>-3.4854268271702415</v>
      </c>
      <c r="AZ4" s="1">
        <f t="shared" si="29"/>
        <v>3.4854268271702415</v>
      </c>
      <c r="BA4" s="1">
        <f t="shared" ref="BA4:BA10" si="59">AX4*AZ4</f>
        <v>0.31119882385448588</v>
      </c>
      <c r="BC4" s="33" t="s">
        <v>417</v>
      </c>
      <c r="BD4" s="39">
        <v>6.8</v>
      </c>
      <c r="BE4" s="39">
        <v>7.5699999999999994</v>
      </c>
      <c r="BF4" s="1">
        <v>10</v>
      </c>
      <c r="BG4" s="1">
        <f t="shared" si="0"/>
        <v>8.9285714285714288E-2</v>
      </c>
      <c r="BH4" s="1">
        <f t="shared" si="30"/>
        <v>-3.4854268271702415</v>
      </c>
      <c r="BI4" s="1">
        <f t="shared" si="31"/>
        <v>3.4854268271702415</v>
      </c>
      <c r="BJ4" s="1">
        <f t="shared" ref="BJ4:BJ10" si="60">BG4*BI4</f>
        <v>0.31119882385448588</v>
      </c>
      <c r="BL4" s="33" t="s">
        <v>417</v>
      </c>
      <c r="BM4" s="39">
        <v>9.1</v>
      </c>
      <c r="BN4" s="39">
        <v>10.17</v>
      </c>
      <c r="BO4" s="1">
        <v>10</v>
      </c>
      <c r="BP4" s="1">
        <f t="shared" si="1"/>
        <v>8.9285714285714288E-2</v>
      </c>
      <c r="BQ4" s="1">
        <f t="shared" si="32"/>
        <v>-3.4854268271702415</v>
      </c>
      <c r="BR4" s="1">
        <f t="shared" si="33"/>
        <v>3.4854268271702415</v>
      </c>
      <c r="BS4" s="1">
        <f t="shared" ref="BS4:BS10" si="61">BP4*BR4</f>
        <v>0.31119882385448588</v>
      </c>
      <c r="BU4" s="33" t="s">
        <v>417</v>
      </c>
      <c r="BV4" s="39">
        <v>0.7</v>
      </c>
      <c r="BW4" s="39">
        <v>0.83000000000000007</v>
      </c>
      <c r="BX4" s="1">
        <v>10</v>
      </c>
      <c r="BY4" s="1">
        <f t="shared" si="2"/>
        <v>8.9285714285714288E-2</v>
      </c>
      <c r="BZ4" s="1">
        <f t="shared" si="34"/>
        <v>-3.4854268271702415</v>
      </c>
      <c r="CA4" s="1">
        <f t="shared" si="35"/>
        <v>3.4854268271702415</v>
      </c>
      <c r="CB4" s="1">
        <f t="shared" ref="CB4:CB10" si="62">BY4*CA4</f>
        <v>0.31119882385448588</v>
      </c>
      <c r="CD4" s="33" t="s">
        <v>417</v>
      </c>
      <c r="CE4" s="39">
        <v>2.9</v>
      </c>
      <c r="CF4" s="39">
        <v>4.669999999999999</v>
      </c>
      <c r="CG4" s="1">
        <v>10</v>
      </c>
      <c r="CH4" s="1">
        <f t="shared" si="3"/>
        <v>8.9285714285714288E-2</v>
      </c>
      <c r="CI4" s="1">
        <f t="shared" si="36"/>
        <v>-3.4854268271702415</v>
      </c>
      <c r="CJ4" s="1">
        <f t="shared" si="37"/>
        <v>3.4854268271702415</v>
      </c>
      <c r="CK4" s="1">
        <f t="shared" ref="CK4:CK10" si="63">CH4*CJ4</f>
        <v>0.31119882385448588</v>
      </c>
      <c r="CM4" s="33" t="s">
        <v>417</v>
      </c>
      <c r="CN4" s="39">
        <v>8.1</v>
      </c>
      <c r="CO4" s="39">
        <v>8.5299999999999994</v>
      </c>
      <c r="CP4" s="1">
        <v>10</v>
      </c>
      <c r="CQ4" s="1">
        <f t="shared" si="4"/>
        <v>8.9285714285714288E-2</v>
      </c>
      <c r="CR4" s="1">
        <f t="shared" si="38"/>
        <v>-3.4854268271702415</v>
      </c>
      <c r="CS4" s="1">
        <f t="shared" si="39"/>
        <v>3.4854268271702415</v>
      </c>
      <c r="CT4" s="1">
        <f t="shared" ref="CT4:CT10" si="64">CQ4*CS4</f>
        <v>0.31119882385448588</v>
      </c>
      <c r="CV4" s="33" t="s">
        <v>417</v>
      </c>
      <c r="CW4" s="39">
        <v>2.2999999999999998</v>
      </c>
      <c r="CX4" s="39">
        <v>2.52</v>
      </c>
      <c r="CY4" s="1">
        <v>10</v>
      </c>
      <c r="CZ4" s="1">
        <f t="shared" si="5"/>
        <v>8.9285714285714288E-2</v>
      </c>
      <c r="DA4" s="1">
        <f t="shared" si="40"/>
        <v>-3.4854268271702415</v>
      </c>
      <c r="DB4" s="1">
        <f t="shared" si="41"/>
        <v>3.4854268271702415</v>
      </c>
      <c r="DC4" s="1">
        <f t="shared" ref="DC4:DC10" si="65">CZ4*DB4</f>
        <v>0.31119882385448588</v>
      </c>
      <c r="DE4" s="33" t="s">
        <v>417</v>
      </c>
      <c r="DF4" s="39">
        <v>30.9</v>
      </c>
      <c r="DG4" s="39">
        <v>34.26</v>
      </c>
      <c r="DH4" s="1">
        <v>10</v>
      </c>
      <c r="DI4" s="1">
        <f t="shared" si="6"/>
        <v>8.9285714285714288E-2</v>
      </c>
      <c r="DJ4" s="1">
        <f t="shared" si="42"/>
        <v>-3.4854268271702415</v>
      </c>
      <c r="DK4" s="1">
        <f t="shared" si="43"/>
        <v>3.4854268271702415</v>
      </c>
      <c r="DL4" s="1">
        <f t="shared" ref="DL4:DL10" si="66">DI4*DK4</f>
        <v>0.31119882385448588</v>
      </c>
      <c r="DN4" s="33" t="s">
        <v>417</v>
      </c>
      <c r="DO4" s="39">
        <v>5.3</v>
      </c>
      <c r="DP4" s="39">
        <v>5.49</v>
      </c>
      <c r="DQ4" s="1">
        <v>10</v>
      </c>
      <c r="DR4" s="1">
        <f t="shared" si="7"/>
        <v>8.9285714285714288E-2</v>
      </c>
      <c r="DS4" s="1">
        <f t="shared" si="44"/>
        <v>-3.4854268271702415</v>
      </c>
      <c r="DT4" s="1">
        <f t="shared" si="45"/>
        <v>3.4854268271702415</v>
      </c>
      <c r="DU4" s="1">
        <f t="shared" ref="DU4:DU10" si="67">DR4*DT4</f>
        <v>0.31119882385448588</v>
      </c>
      <c r="DW4" s="33" t="s">
        <v>417</v>
      </c>
      <c r="DX4" s="39">
        <v>2.8</v>
      </c>
      <c r="DY4" s="39">
        <v>2.93</v>
      </c>
      <c r="DZ4" s="1">
        <v>10</v>
      </c>
      <c r="EA4" s="1">
        <f t="shared" si="8"/>
        <v>8.9285714285714288E-2</v>
      </c>
      <c r="EB4" s="1">
        <f t="shared" si="46"/>
        <v>-3.4854268271702415</v>
      </c>
      <c r="EC4" s="1">
        <f t="shared" si="47"/>
        <v>3.4854268271702415</v>
      </c>
      <c r="ED4" s="1">
        <f t="shared" ref="ED4:ED10" si="68">EA4*EC4</f>
        <v>0.31119882385448588</v>
      </c>
      <c r="EF4" s="33" t="s">
        <v>417</v>
      </c>
      <c r="EG4" s="39">
        <v>2.2999999999999998</v>
      </c>
      <c r="EH4" s="39">
        <v>2.4500000000000002</v>
      </c>
      <c r="EI4" s="1">
        <v>10</v>
      </c>
      <c r="EJ4" s="1">
        <f t="shared" si="9"/>
        <v>8.9285714285714288E-2</v>
      </c>
      <c r="EK4" s="1">
        <f t="shared" si="48"/>
        <v>-3.4854268271702415</v>
      </c>
      <c r="EL4" s="1">
        <f t="shared" si="49"/>
        <v>3.4854268271702415</v>
      </c>
      <c r="EM4" s="1">
        <f t="shared" ref="EM4:EM10" si="69">EJ4*EL4</f>
        <v>0.31119882385448588</v>
      </c>
      <c r="EO4" s="33" t="s">
        <v>417</v>
      </c>
      <c r="EP4" s="39">
        <v>24.7</v>
      </c>
      <c r="EQ4" s="39">
        <v>28.58</v>
      </c>
      <c r="ER4" s="1">
        <v>10</v>
      </c>
      <c r="ES4" s="1">
        <f t="shared" si="10"/>
        <v>8.9285714285714288E-2</v>
      </c>
      <c r="ET4" s="1">
        <f t="shared" si="50"/>
        <v>-3.4854268271702415</v>
      </c>
      <c r="EU4" s="1">
        <f t="shared" si="51"/>
        <v>3.4854268271702415</v>
      </c>
      <c r="EV4" s="1">
        <f t="shared" ref="EV4:EV10" si="70">ES4*EU4</f>
        <v>0.31119882385448588</v>
      </c>
      <c r="EX4" s="33" t="s">
        <v>417</v>
      </c>
      <c r="EY4" s="39">
        <v>0.7</v>
      </c>
      <c r="EZ4" s="39">
        <v>0.95</v>
      </c>
      <c r="FA4" s="1">
        <v>10</v>
      </c>
      <c r="FB4" s="1">
        <f t="shared" si="11"/>
        <v>8.9285714285714288E-2</v>
      </c>
      <c r="FC4" s="1">
        <f t="shared" si="52"/>
        <v>-3.4854268271702415</v>
      </c>
      <c r="FD4" s="1">
        <f t="shared" si="53"/>
        <v>3.4854268271702415</v>
      </c>
      <c r="FE4" s="1">
        <f t="shared" ref="FE4:FE10" si="71">FB4*FD4</f>
        <v>0.31119882385448588</v>
      </c>
    </row>
    <row r="5" spans="1:161" x14ac:dyDescent="0.35">
      <c r="A5" s="37" t="s">
        <v>418</v>
      </c>
      <c r="B5" s="39">
        <v>14.4</v>
      </c>
      <c r="C5" s="39">
        <v>16.489999999999998</v>
      </c>
      <c r="D5" s="1">
        <v>16</v>
      </c>
      <c r="E5" s="1">
        <f t="shared" si="12"/>
        <v>0.14285714285714285</v>
      </c>
      <c r="F5" s="1">
        <f t="shared" si="13"/>
        <v>-2.8073549220576046</v>
      </c>
      <c r="G5" s="1">
        <f t="shared" si="14"/>
        <v>2.8073549220576046</v>
      </c>
      <c r="H5" s="1">
        <f t="shared" si="54"/>
        <v>0.40105070315108637</v>
      </c>
      <c r="J5" s="33" t="s">
        <v>418</v>
      </c>
      <c r="K5" s="39">
        <v>101.9</v>
      </c>
      <c r="L5" s="39">
        <v>105.015</v>
      </c>
      <c r="M5" s="1">
        <v>16</v>
      </c>
      <c r="N5" s="1">
        <f t="shared" si="15"/>
        <v>0.14285714285714285</v>
      </c>
      <c r="O5" s="1">
        <f t="shared" si="16"/>
        <v>-2.8073549220576046</v>
      </c>
      <c r="P5" s="1">
        <f t="shared" si="17"/>
        <v>2.8073549220576046</v>
      </c>
      <c r="Q5" s="1">
        <f t="shared" si="55"/>
        <v>0.40105070315108637</v>
      </c>
      <c r="S5" s="33" t="s">
        <v>418</v>
      </c>
      <c r="T5" s="39">
        <v>106.1</v>
      </c>
      <c r="U5" s="39">
        <v>109.85</v>
      </c>
      <c r="V5" s="1">
        <v>16</v>
      </c>
      <c r="W5" s="1">
        <f t="shared" si="18"/>
        <v>0.14285714285714285</v>
      </c>
      <c r="X5" s="1">
        <f t="shared" si="19"/>
        <v>-2.8073549220576046</v>
      </c>
      <c r="Y5" s="1">
        <f t="shared" si="20"/>
        <v>2.8073549220576046</v>
      </c>
      <c r="Z5" s="1">
        <f t="shared" si="56"/>
        <v>0.40105070315108637</v>
      </c>
      <c r="AB5" s="33" t="s">
        <v>418</v>
      </c>
      <c r="AC5" s="39">
        <v>137.30000000000001</v>
      </c>
      <c r="AD5" s="39">
        <v>140.82999999999998</v>
      </c>
      <c r="AE5" s="1">
        <v>16</v>
      </c>
      <c r="AF5" s="1">
        <f t="shared" si="21"/>
        <v>0.14285714285714285</v>
      </c>
      <c r="AG5" s="1">
        <f t="shared" si="22"/>
        <v>-2.8073549220576046</v>
      </c>
      <c r="AH5" s="1">
        <f t="shared" si="23"/>
        <v>2.8073549220576046</v>
      </c>
      <c r="AI5" s="1">
        <f t="shared" si="57"/>
        <v>0.40105070315108637</v>
      </c>
      <c r="AK5" s="33" t="s">
        <v>418</v>
      </c>
      <c r="AL5">
        <v>77.319999999999993</v>
      </c>
      <c r="AM5">
        <v>84.825000000000003</v>
      </c>
      <c r="AN5" s="1">
        <v>16</v>
      </c>
      <c r="AO5" s="1">
        <f t="shared" si="24"/>
        <v>0.14285714285714285</v>
      </c>
      <c r="AP5" s="1">
        <f t="shared" si="25"/>
        <v>-2.8073549220576046</v>
      </c>
      <c r="AQ5" s="1">
        <f t="shared" si="26"/>
        <v>2.8073549220576046</v>
      </c>
      <c r="AR5" s="1">
        <f t="shared" si="58"/>
        <v>0.40105070315108637</v>
      </c>
      <c r="AT5" s="33" t="s">
        <v>418</v>
      </c>
      <c r="AU5" s="39"/>
      <c r="AV5" s="39">
        <v>12.44</v>
      </c>
      <c r="AW5" s="1">
        <v>16</v>
      </c>
      <c r="AX5" s="1">
        <f t="shared" si="27"/>
        <v>0.14285714285714285</v>
      </c>
      <c r="AY5" s="1">
        <f t="shared" si="28"/>
        <v>-2.8073549220576046</v>
      </c>
      <c r="AZ5" s="1">
        <f t="shared" si="29"/>
        <v>2.8073549220576046</v>
      </c>
      <c r="BA5" s="1">
        <f t="shared" si="59"/>
        <v>0.40105070315108637</v>
      </c>
      <c r="BC5" s="33" t="s">
        <v>418</v>
      </c>
      <c r="BD5" s="39">
        <v>7.6</v>
      </c>
      <c r="BE5" s="39">
        <v>8.3349999999999991</v>
      </c>
      <c r="BF5" s="1">
        <v>16</v>
      </c>
      <c r="BG5" s="1">
        <f t="shared" si="0"/>
        <v>0.14285714285714285</v>
      </c>
      <c r="BH5" s="1">
        <f t="shared" si="30"/>
        <v>-2.8073549220576046</v>
      </c>
      <c r="BI5" s="1">
        <f t="shared" si="31"/>
        <v>2.8073549220576046</v>
      </c>
      <c r="BJ5" s="1">
        <f t="shared" si="60"/>
        <v>0.40105070315108637</v>
      </c>
      <c r="BL5" s="33" t="s">
        <v>418</v>
      </c>
      <c r="BM5" s="39">
        <v>10.199999999999999</v>
      </c>
      <c r="BN5" s="39">
        <v>11.24</v>
      </c>
      <c r="BO5" s="1">
        <v>16</v>
      </c>
      <c r="BP5" s="1">
        <f t="shared" si="1"/>
        <v>0.14285714285714285</v>
      </c>
      <c r="BQ5" s="1">
        <f t="shared" si="32"/>
        <v>-2.8073549220576046</v>
      </c>
      <c r="BR5" s="1">
        <f t="shared" si="33"/>
        <v>2.8073549220576046</v>
      </c>
      <c r="BS5" s="1">
        <f t="shared" si="61"/>
        <v>0.40105070315108637</v>
      </c>
      <c r="BU5" s="33" t="s">
        <v>418</v>
      </c>
      <c r="BV5" s="39">
        <v>0.8</v>
      </c>
      <c r="BW5" s="39">
        <v>0.93500000000000005</v>
      </c>
      <c r="BX5" s="1">
        <v>16</v>
      </c>
      <c r="BY5" s="1">
        <f t="shared" si="2"/>
        <v>0.14285714285714285</v>
      </c>
      <c r="BZ5" s="1">
        <f t="shared" si="34"/>
        <v>-2.8073549220576046</v>
      </c>
      <c r="CA5" s="1">
        <f t="shared" si="35"/>
        <v>2.8073549220576046</v>
      </c>
      <c r="CB5" s="1">
        <f t="shared" si="62"/>
        <v>0.40105070315108637</v>
      </c>
      <c r="CD5" s="33" t="s">
        <v>418</v>
      </c>
      <c r="CE5" s="39">
        <v>4.7</v>
      </c>
      <c r="CF5" s="39">
        <v>6.4799999999999986</v>
      </c>
      <c r="CG5" s="1">
        <v>16</v>
      </c>
      <c r="CH5" s="1">
        <f t="shared" si="3"/>
        <v>0.14285714285714285</v>
      </c>
      <c r="CI5" s="1">
        <f t="shared" si="36"/>
        <v>-2.8073549220576046</v>
      </c>
      <c r="CJ5" s="1">
        <f t="shared" si="37"/>
        <v>2.8073549220576046</v>
      </c>
      <c r="CK5" s="1">
        <f t="shared" si="63"/>
        <v>0.40105070315108637</v>
      </c>
      <c r="CM5" s="33" t="s">
        <v>418</v>
      </c>
      <c r="CN5" s="39">
        <v>8.5</v>
      </c>
      <c r="CO5" s="39">
        <v>8.9849999999999994</v>
      </c>
      <c r="CP5" s="1">
        <v>16</v>
      </c>
      <c r="CQ5" s="1">
        <f t="shared" si="4"/>
        <v>0.14285714285714285</v>
      </c>
      <c r="CR5" s="1">
        <f t="shared" si="38"/>
        <v>-2.8073549220576046</v>
      </c>
      <c r="CS5" s="1">
        <f t="shared" si="39"/>
        <v>2.8073549220576046</v>
      </c>
      <c r="CT5" s="1">
        <f t="shared" si="64"/>
        <v>0.40105070315108637</v>
      </c>
      <c r="CV5" s="33" t="s">
        <v>418</v>
      </c>
      <c r="CW5" s="39">
        <v>2.5</v>
      </c>
      <c r="CX5" s="39">
        <v>2.7150000000000003</v>
      </c>
      <c r="CY5" s="1">
        <v>16</v>
      </c>
      <c r="CZ5" s="1">
        <f t="shared" si="5"/>
        <v>0.14285714285714285</v>
      </c>
      <c r="DA5" s="1">
        <f t="shared" si="40"/>
        <v>-2.8073549220576046</v>
      </c>
      <c r="DB5" s="1">
        <f t="shared" si="41"/>
        <v>2.8073549220576046</v>
      </c>
      <c r="DC5" s="1">
        <f t="shared" si="65"/>
        <v>0.40105070315108637</v>
      </c>
      <c r="DE5" s="33" t="s">
        <v>418</v>
      </c>
      <c r="DF5" s="39">
        <v>34.299999999999997</v>
      </c>
      <c r="DG5" s="39">
        <v>37.61</v>
      </c>
      <c r="DH5" s="1">
        <v>16</v>
      </c>
      <c r="DI5" s="1">
        <f t="shared" si="6"/>
        <v>0.14285714285714285</v>
      </c>
      <c r="DJ5" s="1">
        <f t="shared" si="42"/>
        <v>-2.8073549220576046</v>
      </c>
      <c r="DK5" s="1">
        <f t="shared" si="43"/>
        <v>2.8073549220576046</v>
      </c>
      <c r="DL5" s="1">
        <f t="shared" si="66"/>
        <v>0.40105070315108637</v>
      </c>
      <c r="DN5" s="33" t="s">
        <v>418</v>
      </c>
      <c r="DO5" s="39">
        <v>5.5</v>
      </c>
      <c r="DP5" s="39">
        <v>5.7249999999999996</v>
      </c>
      <c r="DQ5" s="1">
        <v>16</v>
      </c>
      <c r="DR5" s="1">
        <f t="shared" si="7"/>
        <v>0.14285714285714285</v>
      </c>
      <c r="DS5" s="1">
        <f t="shared" si="44"/>
        <v>-2.8073549220576046</v>
      </c>
      <c r="DT5" s="1">
        <f t="shared" si="45"/>
        <v>2.8073549220576046</v>
      </c>
      <c r="DU5" s="1">
        <f t="shared" si="67"/>
        <v>0.40105070315108637</v>
      </c>
      <c r="DW5" s="33" t="s">
        <v>418</v>
      </c>
      <c r="DX5" s="39">
        <v>2.9</v>
      </c>
      <c r="DY5" s="39">
        <v>3.08</v>
      </c>
      <c r="DZ5" s="1">
        <v>16</v>
      </c>
      <c r="EA5" s="1">
        <f t="shared" si="8"/>
        <v>0.14285714285714285</v>
      </c>
      <c r="EB5" s="1">
        <f t="shared" si="46"/>
        <v>-2.8073549220576046</v>
      </c>
      <c r="EC5" s="1">
        <f t="shared" si="47"/>
        <v>2.8073549220576046</v>
      </c>
      <c r="ED5" s="1">
        <f t="shared" si="68"/>
        <v>0.40105070315108637</v>
      </c>
      <c r="EF5" s="33" t="s">
        <v>418</v>
      </c>
      <c r="EG5" s="39">
        <v>2.5</v>
      </c>
      <c r="EH5" s="39">
        <v>2.58</v>
      </c>
      <c r="EI5" s="1">
        <v>16</v>
      </c>
      <c r="EJ5" s="1">
        <f t="shared" si="9"/>
        <v>0.14285714285714285</v>
      </c>
      <c r="EK5" s="1">
        <f t="shared" si="48"/>
        <v>-2.8073549220576046</v>
      </c>
      <c r="EL5" s="1">
        <f t="shared" si="49"/>
        <v>2.8073549220576046</v>
      </c>
      <c r="EM5" s="1">
        <f t="shared" si="69"/>
        <v>0.40105070315108637</v>
      </c>
      <c r="EO5" s="33" t="s">
        <v>418</v>
      </c>
      <c r="EP5" s="39">
        <v>28.6</v>
      </c>
      <c r="EQ5" s="39">
        <v>32.494999999999997</v>
      </c>
      <c r="ER5" s="1">
        <v>16</v>
      </c>
      <c r="ES5" s="1">
        <f t="shared" si="10"/>
        <v>0.14285714285714285</v>
      </c>
      <c r="ET5" s="1">
        <f t="shared" si="50"/>
        <v>-2.8073549220576046</v>
      </c>
      <c r="EU5" s="1">
        <f t="shared" si="51"/>
        <v>2.8073549220576046</v>
      </c>
      <c r="EV5" s="1">
        <f t="shared" si="70"/>
        <v>0.40105070315108637</v>
      </c>
      <c r="EX5" s="33" t="s">
        <v>418</v>
      </c>
      <c r="EY5" s="39">
        <v>1</v>
      </c>
      <c r="EZ5" s="39">
        <v>1.1850000000000001</v>
      </c>
      <c r="FA5" s="1">
        <v>16</v>
      </c>
      <c r="FB5" s="1">
        <f t="shared" si="11"/>
        <v>0.14285714285714285</v>
      </c>
      <c r="FC5" s="1">
        <f t="shared" si="52"/>
        <v>-2.8073549220576046</v>
      </c>
      <c r="FD5" s="1">
        <f t="shared" si="53"/>
        <v>2.8073549220576046</v>
      </c>
      <c r="FE5" s="1">
        <f t="shared" si="71"/>
        <v>0.40105070315108637</v>
      </c>
    </row>
    <row r="6" spans="1:161" ht="16" thickBot="1" x14ac:dyDescent="0.4">
      <c r="A6" s="37" t="s">
        <v>419</v>
      </c>
      <c r="B6" s="43">
        <v>16.5</v>
      </c>
      <c r="C6" s="22">
        <v>18.61</v>
      </c>
      <c r="D6" s="1">
        <v>16</v>
      </c>
      <c r="E6" s="1">
        <f t="shared" si="12"/>
        <v>0.14285714285714285</v>
      </c>
      <c r="F6" s="1">
        <f t="shared" si="13"/>
        <v>-2.8073549220576046</v>
      </c>
      <c r="G6" s="1">
        <f t="shared" si="14"/>
        <v>2.8073549220576046</v>
      </c>
      <c r="H6" s="1">
        <f t="shared" si="54"/>
        <v>0.40105070315108637</v>
      </c>
      <c r="J6" s="33" t="s">
        <v>419</v>
      </c>
      <c r="K6" s="43">
        <v>105</v>
      </c>
      <c r="L6" s="22">
        <v>108.11</v>
      </c>
      <c r="M6" s="1">
        <v>16</v>
      </c>
      <c r="N6" s="1">
        <f t="shared" si="15"/>
        <v>0.14285714285714285</v>
      </c>
      <c r="O6" s="1">
        <f t="shared" si="16"/>
        <v>-2.8073549220576046</v>
      </c>
      <c r="P6" s="1">
        <f t="shared" si="17"/>
        <v>2.8073549220576046</v>
      </c>
      <c r="Q6" s="1">
        <f t="shared" si="55"/>
        <v>0.40105070315108637</v>
      </c>
      <c r="S6" s="33" t="s">
        <v>419</v>
      </c>
      <c r="T6" s="43">
        <v>109.9</v>
      </c>
      <c r="U6" s="22">
        <v>113.61</v>
      </c>
      <c r="V6" s="1">
        <v>16</v>
      </c>
      <c r="W6" s="1">
        <f t="shared" si="18"/>
        <v>0.14285714285714285</v>
      </c>
      <c r="X6" s="1">
        <f t="shared" si="19"/>
        <v>-2.8073549220576046</v>
      </c>
      <c r="Y6" s="1">
        <f t="shared" si="20"/>
        <v>2.8073549220576046</v>
      </c>
      <c r="Z6" s="1">
        <f t="shared" si="56"/>
        <v>0.40105070315108637</v>
      </c>
      <c r="AB6" s="33" t="s">
        <v>419</v>
      </c>
      <c r="AC6" s="43">
        <v>140.38</v>
      </c>
      <c r="AD6" s="22">
        <v>144.38</v>
      </c>
      <c r="AE6" s="1">
        <v>16</v>
      </c>
      <c r="AF6" s="1">
        <f t="shared" si="21"/>
        <v>0.14285714285714285</v>
      </c>
      <c r="AG6" s="1">
        <f t="shared" si="22"/>
        <v>-2.8073549220576046</v>
      </c>
      <c r="AH6" s="1">
        <f t="shared" si="23"/>
        <v>2.8073549220576046</v>
      </c>
      <c r="AI6" s="1">
        <f t="shared" si="57"/>
        <v>0.40105070315108637</v>
      </c>
      <c r="AK6" s="33" t="s">
        <v>419</v>
      </c>
      <c r="AL6">
        <v>84.82</v>
      </c>
      <c r="AM6">
        <v>92.33</v>
      </c>
      <c r="AN6" s="1">
        <v>16</v>
      </c>
      <c r="AO6" s="1">
        <f t="shared" si="24"/>
        <v>0.14285714285714285</v>
      </c>
      <c r="AP6" s="1">
        <f t="shared" si="25"/>
        <v>-2.8073549220576046</v>
      </c>
      <c r="AQ6" s="1">
        <f t="shared" si="26"/>
        <v>2.8073549220576046</v>
      </c>
      <c r="AR6" s="1">
        <f t="shared" si="58"/>
        <v>0.40105070315108637</v>
      </c>
      <c r="AT6" s="33" t="s">
        <v>419</v>
      </c>
      <c r="AU6" s="43"/>
      <c r="AV6" s="22">
        <v>15.2</v>
      </c>
      <c r="AW6" s="1">
        <v>16</v>
      </c>
      <c r="AX6" s="1">
        <f t="shared" si="27"/>
        <v>0.14285714285714285</v>
      </c>
      <c r="AY6" s="1">
        <f t="shared" si="28"/>
        <v>-2.8073549220576046</v>
      </c>
      <c r="AZ6" s="1">
        <f t="shared" si="29"/>
        <v>2.8073549220576046</v>
      </c>
      <c r="BA6" s="1">
        <f t="shared" si="59"/>
        <v>0.40105070315108637</v>
      </c>
      <c r="BC6" s="33" t="s">
        <v>419</v>
      </c>
      <c r="BD6" s="43">
        <v>8.3000000000000007</v>
      </c>
      <c r="BE6" s="22">
        <v>9.1</v>
      </c>
      <c r="BF6" s="1">
        <v>16</v>
      </c>
      <c r="BG6" s="1">
        <f t="shared" si="0"/>
        <v>0.14285714285714285</v>
      </c>
      <c r="BH6" s="1">
        <f t="shared" si="30"/>
        <v>-2.8073549220576046</v>
      </c>
      <c r="BI6" s="1">
        <f t="shared" si="31"/>
        <v>2.8073549220576046</v>
      </c>
      <c r="BJ6" s="1">
        <f t="shared" si="60"/>
        <v>0.40105070315108637</v>
      </c>
      <c r="BL6" s="33" t="s">
        <v>419</v>
      </c>
      <c r="BM6" s="43">
        <v>11.2</v>
      </c>
      <c r="BN6" s="22">
        <v>12.31</v>
      </c>
      <c r="BO6" s="1">
        <v>16</v>
      </c>
      <c r="BP6" s="1">
        <f t="shared" si="1"/>
        <v>0.14285714285714285</v>
      </c>
      <c r="BQ6" s="1">
        <f t="shared" si="32"/>
        <v>-2.8073549220576046</v>
      </c>
      <c r="BR6" s="1">
        <f t="shared" si="33"/>
        <v>2.8073549220576046</v>
      </c>
      <c r="BS6" s="1">
        <f t="shared" si="61"/>
        <v>0.40105070315108637</v>
      </c>
      <c r="BU6" s="33" t="s">
        <v>419</v>
      </c>
      <c r="BV6" s="43">
        <v>0.9</v>
      </c>
      <c r="BW6" s="22">
        <v>1.04</v>
      </c>
      <c r="BX6" s="1">
        <v>16</v>
      </c>
      <c r="BY6" s="1">
        <f t="shared" si="2"/>
        <v>0.14285714285714285</v>
      </c>
      <c r="BZ6" s="1">
        <f t="shared" si="34"/>
        <v>-2.8073549220576046</v>
      </c>
      <c r="CA6" s="1">
        <f t="shared" si="35"/>
        <v>2.8073549220576046</v>
      </c>
      <c r="CB6" s="1">
        <f t="shared" si="62"/>
        <v>0.40105070315108637</v>
      </c>
      <c r="CD6" s="33" t="s">
        <v>419</v>
      </c>
      <c r="CE6" s="43">
        <v>6.5</v>
      </c>
      <c r="CF6" s="22">
        <v>8.2899999999999991</v>
      </c>
      <c r="CG6" s="1">
        <v>16</v>
      </c>
      <c r="CH6" s="1">
        <f t="shared" si="3"/>
        <v>0.14285714285714285</v>
      </c>
      <c r="CI6" s="1">
        <f t="shared" si="36"/>
        <v>-2.8073549220576046</v>
      </c>
      <c r="CJ6" s="1">
        <f t="shared" si="37"/>
        <v>2.8073549220576046</v>
      </c>
      <c r="CK6" s="1">
        <f t="shared" si="63"/>
        <v>0.40105070315108637</v>
      </c>
      <c r="CM6" s="33" t="s">
        <v>419</v>
      </c>
      <c r="CN6" s="43">
        <v>9</v>
      </c>
      <c r="CO6" s="22">
        <v>9.44</v>
      </c>
      <c r="CP6" s="1">
        <v>16</v>
      </c>
      <c r="CQ6" s="1">
        <f t="shared" si="4"/>
        <v>0.14285714285714285</v>
      </c>
      <c r="CR6" s="1">
        <f t="shared" si="38"/>
        <v>-2.8073549220576046</v>
      </c>
      <c r="CS6" s="1">
        <f t="shared" si="39"/>
        <v>2.8073549220576046</v>
      </c>
      <c r="CT6" s="1">
        <f t="shared" si="64"/>
        <v>0.40105070315108637</v>
      </c>
      <c r="CV6" s="33" t="s">
        <v>419</v>
      </c>
      <c r="CW6" s="43">
        <v>2.7</v>
      </c>
      <c r="CX6" s="22">
        <v>2.91</v>
      </c>
      <c r="CY6" s="1">
        <v>16</v>
      </c>
      <c r="CZ6" s="1">
        <f t="shared" si="5"/>
        <v>0.14285714285714285</v>
      </c>
      <c r="DA6" s="1">
        <f t="shared" si="40"/>
        <v>-2.8073549220576046</v>
      </c>
      <c r="DB6" s="1">
        <f t="shared" si="41"/>
        <v>2.8073549220576046</v>
      </c>
      <c r="DC6" s="1">
        <f t="shared" si="65"/>
        <v>0.40105070315108637</v>
      </c>
      <c r="DE6" s="33" t="s">
        <v>419</v>
      </c>
      <c r="DF6" s="43">
        <v>37.6</v>
      </c>
      <c r="DG6" s="22">
        <v>40.96</v>
      </c>
      <c r="DH6" s="1">
        <v>16</v>
      </c>
      <c r="DI6" s="1">
        <f t="shared" si="6"/>
        <v>0.14285714285714285</v>
      </c>
      <c r="DJ6" s="1">
        <f t="shared" si="42"/>
        <v>-2.8073549220576046</v>
      </c>
      <c r="DK6" s="1">
        <f t="shared" si="43"/>
        <v>2.8073549220576046</v>
      </c>
      <c r="DL6" s="1">
        <f t="shared" si="66"/>
        <v>0.40105070315108637</v>
      </c>
      <c r="DN6" s="33" t="s">
        <v>419</v>
      </c>
      <c r="DO6" s="43">
        <v>5.7</v>
      </c>
      <c r="DP6" s="22">
        <v>5.96</v>
      </c>
      <c r="DQ6" s="1">
        <v>16</v>
      </c>
      <c r="DR6" s="1">
        <f t="shared" si="7"/>
        <v>0.14285714285714285</v>
      </c>
      <c r="DS6" s="1">
        <f t="shared" si="44"/>
        <v>-2.8073549220576046</v>
      </c>
      <c r="DT6" s="1">
        <f t="shared" si="45"/>
        <v>2.8073549220576046</v>
      </c>
      <c r="DU6" s="1">
        <f t="shared" si="67"/>
        <v>0.40105070315108637</v>
      </c>
      <c r="DW6" s="33" t="s">
        <v>419</v>
      </c>
      <c r="DX6" s="43">
        <v>3.1</v>
      </c>
      <c r="DY6" s="22">
        <v>3.23</v>
      </c>
      <c r="DZ6" s="1">
        <v>16</v>
      </c>
      <c r="EA6" s="1">
        <f t="shared" si="8"/>
        <v>0.14285714285714285</v>
      </c>
      <c r="EB6" s="1">
        <f t="shared" si="46"/>
        <v>-2.8073549220576046</v>
      </c>
      <c r="EC6" s="1">
        <f t="shared" si="47"/>
        <v>2.8073549220576046</v>
      </c>
      <c r="ED6" s="1">
        <f t="shared" si="68"/>
        <v>0.40105070315108637</v>
      </c>
      <c r="EF6" s="33" t="s">
        <v>419</v>
      </c>
      <c r="EG6" s="43">
        <v>2.6</v>
      </c>
      <c r="EH6" s="22">
        <v>2.71</v>
      </c>
      <c r="EI6" s="1">
        <v>16</v>
      </c>
      <c r="EJ6" s="1">
        <f t="shared" si="9"/>
        <v>0.14285714285714285</v>
      </c>
      <c r="EK6" s="1">
        <f t="shared" si="48"/>
        <v>-2.8073549220576046</v>
      </c>
      <c r="EL6" s="1">
        <f t="shared" si="49"/>
        <v>2.8073549220576046</v>
      </c>
      <c r="EM6" s="1">
        <f t="shared" si="69"/>
        <v>0.40105070315108637</v>
      </c>
      <c r="EO6" s="33" t="s">
        <v>419</v>
      </c>
      <c r="EP6" s="43">
        <v>32.5</v>
      </c>
      <c r="EQ6" s="22">
        <v>36.409999999999997</v>
      </c>
      <c r="ER6" s="1">
        <v>16</v>
      </c>
      <c r="ES6" s="1">
        <f t="shared" si="10"/>
        <v>0.14285714285714285</v>
      </c>
      <c r="ET6" s="1">
        <f t="shared" si="50"/>
        <v>-2.8073549220576046</v>
      </c>
      <c r="EU6" s="1">
        <f t="shared" si="51"/>
        <v>2.8073549220576046</v>
      </c>
      <c r="EV6" s="1">
        <f t="shared" si="70"/>
        <v>0.40105070315108637</v>
      </c>
      <c r="EX6" s="33" t="s">
        <v>419</v>
      </c>
      <c r="EY6" s="43">
        <v>1.2</v>
      </c>
      <c r="EZ6" s="22">
        <v>1.42</v>
      </c>
      <c r="FA6" s="1">
        <v>16</v>
      </c>
      <c r="FB6" s="1">
        <f t="shared" si="11"/>
        <v>0.14285714285714285</v>
      </c>
      <c r="FC6" s="1">
        <f t="shared" si="52"/>
        <v>-2.8073549220576046</v>
      </c>
      <c r="FD6" s="1">
        <f t="shared" si="53"/>
        <v>2.8073549220576046</v>
      </c>
      <c r="FE6" s="1">
        <f t="shared" si="71"/>
        <v>0.40105070315108637</v>
      </c>
    </row>
    <row r="7" spans="1:161" ht="16" thickBot="1" x14ac:dyDescent="0.4">
      <c r="A7" s="37" t="s">
        <v>420</v>
      </c>
      <c r="B7" s="22">
        <v>18.61</v>
      </c>
      <c r="C7" s="39">
        <v>20.73</v>
      </c>
      <c r="D7" s="1">
        <v>33</v>
      </c>
      <c r="E7" s="1">
        <f t="shared" si="12"/>
        <v>0.29464285714285715</v>
      </c>
      <c r="F7" s="1">
        <f t="shared" si="13"/>
        <v>-1.7629608026991508</v>
      </c>
      <c r="G7" s="1">
        <f t="shared" si="14"/>
        <v>1.7629608026991508</v>
      </c>
      <c r="H7" s="1">
        <f t="shared" si="54"/>
        <v>0.51944380793814271</v>
      </c>
      <c r="J7" s="33" t="s">
        <v>420</v>
      </c>
      <c r="K7" s="22">
        <v>108.11</v>
      </c>
      <c r="L7" s="39">
        <v>111.205</v>
      </c>
      <c r="M7" s="1">
        <v>33</v>
      </c>
      <c r="N7" s="1">
        <f t="shared" si="15"/>
        <v>0.29464285714285715</v>
      </c>
      <c r="O7" s="1">
        <f t="shared" si="16"/>
        <v>-1.7629608026991508</v>
      </c>
      <c r="P7" s="1">
        <f t="shared" si="17"/>
        <v>1.7629608026991508</v>
      </c>
      <c r="Q7" s="1">
        <f t="shared" si="55"/>
        <v>0.51944380793814271</v>
      </c>
      <c r="S7" s="33" t="s">
        <v>420</v>
      </c>
      <c r="T7" s="22">
        <v>113.61</v>
      </c>
      <c r="U7" s="39">
        <v>117.37</v>
      </c>
      <c r="V7" s="1">
        <v>33</v>
      </c>
      <c r="W7" s="1">
        <f t="shared" si="18"/>
        <v>0.29464285714285715</v>
      </c>
      <c r="X7" s="1">
        <f t="shared" si="19"/>
        <v>-1.7629608026991508</v>
      </c>
      <c r="Y7" s="1">
        <f t="shared" si="20"/>
        <v>1.7629608026991508</v>
      </c>
      <c r="Z7" s="1">
        <f t="shared" si="56"/>
        <v>0.51944380793814271</v>
      </c>
      <c r="AB7" s="33" t="s">
        <v>420</v>
      </c>
      <c r="AC7" s="22">
        <v>144.38</v>
      </c>
      <c r="AD7" s="39">
        <v>147.93</v>
      </c>
      <c r="AE7" s="1">
        <v>33</v>
      </c>
      <c r="AF7" s="1">
        <f t="shared" si="21"/>
        <v>0.29464285714285715</v>
      </c>
      <c r="AG7" s="1">
        <f t="shared" si="22"/>
        <v>-1.7629608026991508</v>
      </c>
      <c r="AH7" s="1">
        <f t="shared" si="23"/>
        <v>1.7629608026991508</v>
      </c>
      <c r="AI7" s="1">
        <f t="shared" si="57"/>
        <v>0.51944380793814271</v>
      </c>
      <c r="AK7" s="33" t="s">
        <v>420</v>
      </c>
      <c r="AL7">
        <v>92.33</v>
      </c>
      <c r="AM7">
        <v>99.834999999999994</v>
      </c>
      <c r="AN7" s="1">
        <v>33</v>
      </c>
      <c r="AO7" s="1">
        <f t="shared" si="24"/>
        <v>0.29464285714285715</v>
      </c>
      <c r="AP7" s="1">
        <f t="shared" si="25"/>
        <v>-1.7629608026991508</v>
      </c>
      <c r="AQ7" s="1">
        <f t="shared" si="26"/>
        <v>1.7629608026991508</v>
      </c>
      <c r="AR7" s="1">
        <f t="shared" si="58"/>
        <v>0.51944380793814271</v>
      </c>
      <c r="AT7" s="33" t="s">
        <v>420</v>
      </c>
      <c r="AU7" s="22"/>
      <c r="AV7" s="39">
        <v>17.96</v>
      </c>
      <c r="AW7" s="1">
        <v>33</v>
      </c>
      <c r="AX7" s="1">
        <f t="shared" si="27"/>
        <v>0.29464285714285715</v>
      </c>
      <c r="AY7" s="1">
        <f t="shared" si="28"/>
        <v>-1.7629608026991508</v>
      </c>
      <c r="AZ7" s="1">
        <f t="shared" si="29"/>
        <v>1.7629608026991508</v>
      </c>
      <c r="BA7" s="1">
        <f t="shared" si="59"/>
        <v>0.51944380793814271</v>
      </c>
      <c r="BC7" s="33" t="s">
        <v>420</v>
      </c>
      <c r="BD7" s="22">
        <v>9.1</v>
      </c>
      <c r="BE7" s="39">
        <v>9.8650000000000002</v>
      </c>
      <c r="BF7" s="1">
        <v>33</v>
      </c>
      <c r="BG7" s="1">
        <f t="shared" si="0"/>
        <v>0.29464285714285715</v>
      </c>
      <c r="BH7" s="1">
        <f t="shared" si="30"/>
        <v>-1.7629608026991508</v>
      </c>
      <c r="BI7" s="1">
        <f t="shared" si="31"/>
        <v>1.7629608026991508</v>
      </c>
      <c r="BJ7" s="1">
        <f t="shared" si="60"/>
        <v>0.51944380793814271</v>
      </c>
      <c r="BL7" s="33" t="s">
        <v>420</v>
      </c>
      <c r="BM7" s="22">
        <v>12.31</v>
      </c>
      <c r="BN7" s="39">
        <v>13.38</v>
      </c>
      <c r="BO7" s="1">
        <v>33</v>
      </c>
      <c r="BP7" s="1">
        <f t="shared" si="1"/>
        <v>0.29464285714285715</v>
      </c>
      <c r="BQ7" s="1">
        <f t="shared" si="32"/>
        <v>-1.7629608026991508</v>
      </c>
      <c r="BR7" s="1">
        <f t="shared" si="33"/>
        <v>1.7629608026991508</v>
      </c>
      <c r="BS7" s="1">
        <f t="shared" si="61"/>
        <v>0.51944380793814271</v>
      </c>
      <c r="BU7" s="33" t="s">
        <v>420</v>
      </c>
      <c r="BV7" s="22">
        <v>1.04</v>
      </c>
      <c r="BW7" s="39">
        <v>1.145</v>
      </c>
      <c r="BX7" s="1">
        <v>33</v>
      </c>
      <c r="BY7" s="1">
        <f t="shared" si="2"/>
        <v>0.29464285714285715</v>
      </c>
      <c r="BZ7" s="1">
        <f t="shared" si="34"/>
        <v>-1.7629608026991508</v>
      </c>
      <c r="CA7" s="1">
        <f t="shared" si="35"/>
        <v>1.7629608026991508</v>
      </c>
      <c r="CB7" s="1">
        <f t="shared" si="62"/>
        <v>0.51944380793814271</v>
      </c>
      <c r="CD7" s="33" t="s">
        <v>420</v>
      </c>
      <c r="CE7" s="22">
        <v>8.2899999999999991</v>
      </c>
      <c r="CF7" s="39">
        <v>10.1</v>
      </c>
      <c r="CG7" s="1">
        <v>33</v>
      </c>
      <c r="CH7" s="1">
        <f t="shared" si="3"/>
        <v>0.29464285714285715</v>
      </c>
      <c r="CI7" s="1">
        <f t="shared" si="36"/>
        <v>-1.7629608026991508</v>
      </c>
      <c r="CJ7" s="1">
        <f t="shared" si="37"/>
        <v>1.7629608026991508</v>
      </c>
      <c r="CK7" s="1">
        <f t="shared" si="63"/>
        <v>0.51944380793814271</v>
      </c>
      <c r="CM7" s="33" t="s">
        <v>420</v>
      </c>
      <c r="CN7" s="22">
        <v>9.44</v>
      </c>
      <c r="CO7" s="39">
        <v>9.8949999999999996</v>
      </c>
      <c r="CP7" s="1">
        <v>33</v>
      </c>
      <c r="CQ7" s="1">
        <f t="shared" si="4"/>
        <v>0.29464285714285715</v>
      </c>
      <c r="CR7" s="1">
        <f t="shared" si="38"/>
        <v>-1.7629608026991508</v>
      </c>
      <c r="CS7" s="1">
        <f t="shared" si="39"/>
        <v>1.7629608026991508</v>
      </c>
      <c r="CT7" s="1">
        <f t="shared" si="64"/>
        <v>0.51944380793814271</v>
      </c>
      <c r="CV7" s="33" t="s">
        <v>420</v>
      </c>
      <c r="CW7" s="22">
        <v>2.91</v>
      </c>
      <c r="CX7" s="39">
        <v>3.105</v>
      </c>
      <c r="CY7" s="1">
        <v>33</v>
      </c>
      <c r="CZ7" s="1">
        <f t="shared" si="5"/>
        <v>0.29464285714285715</v>
      </c>
      <c r="DA7" s="1">
        <f t="shared" si="40"/>
        <v>-1.7629608026991508</v>
      </c>
      <c r="DB7" s="1">
        <f t="shared" si="41"/>
        <v>1.7629608026991508</v>
      </c>
      <c r="DC7" s="1">
        <f t="shared" si="65"/>
        <v>0.51944380793814271</v>
      </c>
      <c r="DE7" s="33" t="s">
        <v>420</v>
      </c>
      <c r="DF7" s="22">
        <v>40.96</v>
      </c>
      <c r="DG7" s="39">
        <v>44.31</v>
      </c>
      <c r="DH7" s="1">
        <v>33</v>
      </c>
      <c r="DI7" s="1">
        <f t="shared" si="6"/>
        <v>0.29464285714285715</v>
      </c>
      <c r="DJ7" s="1">
        <f t="shared" si="42"/>
        <v>-1.7629608026991508</v>
      </c>
      <c r="DK7" s="1">
        <f t="shared" si="43"/>
        <v>1.7629608026991508</v>
      </c>
      <c r="DL7" s="1">
        <f t="shared" si="66"/>
        <v>0.51944380793814271</v>
      </c>
      <c r="DN7" s="33" t="s">
        <v>420</v>
      </c>
      <c r="DO7" s="22">
        <v>5.96</v>
      </c>
      <c r="DP7" s="39">
        <v>6.1950000000000003</v>
      </c>
      <c r="DQ7" s="1">
        <v>33</v>
      </c>
      <c r="DR7" s="1">
        <f t="shared" si="7"/>
        <v>0.29464285714285715</v>
      </c>
      <c r="DS7" s="1">
        <f t="shared" si="44"/>
        <v>-1.7629608026991508</v>
      </c>
      <c r="DT7" s="1">
        <f t="shared" si="45"/>
        <v>1.7629608026991508</v>
      </c>
      <c r="DU7" s="1">
        <f t="shared" si="67"/>
        <v>0.51944380793814271</v>
      </c>
      <c r="DW7" s="33" t="s">
        <v>420</v>
      </c>
      <c r="DX7" s="22">
        <v>3.23</v>
      </c>
      <c r="DY7" s="39">
        <v>3.38</v>
      </c>
      <c r="DZ7" s="1">
        <v>33</v>
      </c>
      <c r="EA7" s="1">
        <f t="shared" si="8"/>
        <v>0.29464285714285715</v>
      </c>
      <c r="EB7" s="1">
        <f t="shared" si="46"/>
        <v>-1.7629608026991508</v>
      </c>
      <c r="EC7" s="1">
        <f t="shared" si="47"/>
        <v>1.7629608026991508</v>
      </c>
      <c r="ED7" s="1">
        <f t="shared" si="68"/>
        <v>0.51944380793814271</v>
      </c>
      <c r="EF7" s="33" t="s">
        <v>420</v>
      </c>
      <c r="EG7" s="22">
        <v>2.71</v>
      </c>
      <c r="EH7" s="39">
        <v>2.84</v>
      </c>
      <c r="EI7" s="1">
        <v>33</v>
      </c>
      <c r="EJ7" s="1">
        <f t="shared" si="9"/>
        <v>0.29464285714285715</v>
      </c>
      <c r="EK7" s="1">
        <f t="shared" si="48"/>
        <v>-1.7629608026991508</v>
      </c>
      <c r="EL7" s="1">
        <f t="shared" si="49"/>
        <v>1.7629608026991508</v>
      </c>
      <c r="EM7" s="1">
        <f t="shared" si="69"/>
        <v>0.51944380793814271</v>
      </c>
      <c r="EO7" s="33" t="s">
        <v>420</v>
      </c>
      <c r="EP7" s="22">
        <v>36.409999999999997</v>
      </c>
      <c r="EQ7" s="39">
        <v>40.324999999999996</v>
      </c>
      <c r="ER7" s="1">
        <v>33</v>
      </c>
      <c r="ES7" s="1">
        <f t="shared" si="10"/>
        <v>0.29464285714285715</v>
      </c>
      <c r="ET7" s="1">
        <f t="shared" si="50"/>
        <v>-1.7629608026991508</v>
      </c>
      <c r="EU7" s="1">
        <f t="shared" si="51"/>
        <v>1.7629608026991508</v>
      </c>
      <c r="EV7" s="1">
        <f t="shared" si="70"/>
        <v>0.51944380793814271</v>
      </c>
      <c r="EX7" s="33" t="s">
        <v>420</v>
      </c>
      <c r="EY7" s="22">
        <v>1.42</v>
      </c>
      <c r="EZ7" s="39">
        <v>1.6549999999999998</v>
      </c>
      <c r="FA7" s="1">
        <v>33</v>
      </c>
      <c r="FB7" s="1">
        <f t="shared" si="11"/>
        <v>0.29464285714285715</v>
      </c>
      <c r="FC7" s="1">
        <f t="shared" si="52"/>
        <v>-1.7629608026991508</v>
      </c>
      <c r="FD7" s="1">
        <f t="shared" si="53"/>
        <v>1.7629608026991508</v>
      </c>
      <c r="FE7" s="1">
        <f t="shared" si="71"/>
        <v>0.51944380793814271</v>
      </c>
    </row>
    <row r="8" spans="1:161" x14ac:dyDescent="0.35">
      <c r="A8" s="37" t="s">
        <v>421</v>
      </c>
      <c r="B8" s="39">
        <v>20.7</v>
      </c>
      <c r="C8" s="39">
        <v>22.85</v>
      </c>
      <c r="D8" s="1">
        <v>25</v>
      </c>
      <c r="E8" s="1">
        <f>D8/D$11</f>
        <v>0.22321428571428573</v>
      </c>
      <c r="F8" s="1">
        <f t="shared" si="13"/>
        <v>-2.1634987322828794</v>
      </c>
      <c r="G8" s="1">
        <f t="shared" si="14"/>
        <v>2.1634987322828794</v>
      </c>
      <c r="H8" s="1">
        <f t="shared" si="54"/>
        <v>0.48292382417028562</v>
      </c>
      <c r="J8" s="33" t="s">
        <v>421</v>
      </c>
      <c r="K8" s="39">
        <v>11.2</v>
      </c>
      <c r="L8" s="39">
        <v>114.3</v>
      </c>
      <c r="M8" s="1">
        <v>25</v>
      </c>
      <c r="N8" s="1">
        <f>M8/M$11</f>
        <v>0.22321428571428573</v>
      </c>
      <c r="O8" s="1">
        <f t="shared" si="16"/>
        <v>-2.1634987322828794</v>
      </c>
      <c r="P8" s="1">
        <f t="shared" si="17"/>
        <v>2.1634987322828794</v>
      </c>
      <c r="Q8" s="1">
        <f t="shared" si="55"/>
        <v>0.48292382417028562</v>
      </c>
      <c r="S8" s="33" t="s">
        <v>421</v>
      </c>
      <c r="T8" s="39">
        <v>117.4</v>
      </c>
      <c r="U8" s="39">
        <v>121.13</v>
      </c>
      <c r="V8" s="1">
        <v>25</v>
      </c>
      <c r="W8" s="1">
        <f>V8/V$11</f>
        <v>0.22321428571428573</v>
      </c>
      <c r="X8" s="1">
        <f t="shared" si="19"/>
        <v>-2.1634987322828794</v>
      </c>
      <c r="Y8" s="1">
        <f t="shared" si="20"/>
        <v>2.1634987322828794</v>
      </c>
      <c r="Z8" s="1">
        <f t="shared" si="56"/>
        <v>0.48292382417028562</v>
      </c>
      <c r="AB8" s="33" t="s">
        <v>421</v>
      </c>
      <c r="AC8" s="39">
        <v>147.9</v>
      </c>
      <c r="AD8" s="39">
        <v>151.47999999999999</v>
      </c>
      <c r="AE8" s="1">
        <v>25</v>
      </c>
      <c r="AF8" s="1">
        <f>AE8/AE$11</f>
        <v>0.22321428571428573</v>
      </c>
      <c r="AG8" s="1">
        <f t="shared" si="22"/>
        <v>-2.1634987322828794</v>
      </c>
      <c r="AH8" s="1">
        <f t="shared" si="23"/>
        <v>2.1634987322828794</v>
      </c>
      <c r="AI8" s="1">
        <f t="shared" si="57"/>
        <v>0.48292382417028562</v>
      </c>
      <c r="AK8" s="33" t="s">
        <v>421</v>
      </c>
      <c r="AL8">
        <v>99.83</v>
      </c>
      <c r="AM8">
        <v>107.34</v>
      </c>
      <c r="AN8" s="1">
        <v>25</v>
      </c>
      <c r="AO8" s="1">
        <f>AN8/AN$11</f>
        <v>0.22321428571428573</v>
      </c>
      <c r="AP8" s="1">
        <f t="shared" si="25"/>
        <v>-2.1634987322828794</v>
      </c>
      <c r="AQ8" s="1">
        <f t="shared" si="26"/>
        <v>2.1634987322828794</v>
      </c>
      <c r="AR8" s="1">
        <f t="shared" si="58"/>
        <v>0.48292382417028562</v>
      </c>
      <c r="AT8" s="33" t="s">
        <v>421</v>
      </c>
      <c r="AU8" s="39"/>
      <c r="AV8" s="39">
        <v>20.72</v>
      </c>
      <c r="AW8" s="1">
        <v>25</v>
      </c>
      <c r="AX8" s="1">
        <f>AW8/AW$11</f>
        <v>0.22321428571428573</v>
      </c>
      <c r="AY8" s="1">
        <f t="shared" si="28"/>
        <v>-2.1634987322828794</v>
      </c>
      <c r="AZ8" s="1">
        <f t="shared" si="29"/>
        <v>2.1634987322828794</v>
      </c>
      <c r="BA8" s="1">
        <f t="shared" si="59"/>
        <v>0.48292382417028562</v>
      </c>
      <c r="BC8" s="33" t="s">
        <v>421</v>
      </c>
      <c r="BD8" s="39">
        <v>9.9</v>
      </c>
      <c r="BE8" s="39">
        <v>10.629999999999999</v>
      </c>
      <c r="BF8" s="1">
        <v>25</v>
      </c>
      <c r="BG8" s="1">
        <f t="shared" si="0"/>
        <v>0.22321428571428573</v>
      </c>
      <c r="BH8" s="1">
        <f t="shared" si="30"/>
        <v>-2.1634987322828794</v>
      </c>
      <c r="BI8" s="1">
        <f t="shared" si="31"/>
        <v>2.1634987322828794</v>
      </c>
      <c r="BJ8" s="1">
        <f t="shared" si="60"/>
        <v>0.48292382417028562</v>
      </c>
      <c r="BL8" s="33" t="s">
        <v>421</v>
      </c>
      <c r="BM8" s="39">
        <v>13.4</v>
      </c>
      <c r="BN8" s="39">
        <v>14.450000000000001</v>
      </c>
      <c r="BO8" s="1">
        <v>25</v>
      </c>
      <c r="BP8" s="1">
        <f t="shared" si="1"/>
        <v>0.22321428571428573</v>
      </c>
      <c r="BQ8" s="1">
        <f t="shared" si="32"/>
        <v>-2.1634987322828794</v>
      </c>
      <c r="BR8" s="1">
        <f t="shared" si="33"/>
        <v>2.1634987322828794</v>
      </c>
      <c r="BS8" s="1">
        <f t="shared" si="61"/>
        <v>0.48292382417028562</v>
      </c>
      <c r="BU8" s="33" t="s">
        <v>421</v>
      </c>
      <c r="BV8" s="39">
        <v>1.1000000000000001</v>
      </c>
      <c r="BW8" s="39">
        <v>1.25</v>
      </c>
      <c r="BX8" s="1">
        <v>25</v>
      </c>
      <c r="BY8" s="1">
        <f t="shared" si="2"/>
        <v>0.22321428571428573</v>
      </c>
      <c r="BZ8" s="1">
        <f t="shared" si="34"/>
        <v>-2.1634987322828794</v>
      </c>
      <c r="CA8" s="1">
        <f t="shared" si="35"/>
        <v>2.1634987322828794</v>
      </c>
      <c r="CB8" s="1">
        <f t="shared" si="62"/>
        <v>0.48292382417028562</v>
      </c>
      <c r="CD8" s="33" t="s">
        <v>421</v>
      </c>
      <c r="CE8" s="39">
        <v>10.1</v>
      </c>
      <c r="CF8" s="39">
        <v>11.91</v>
      </c>
      <c r="CG8" s="1">
        <v>25</v>
      </c>
      <c r="CH8" s="1">
        <f t="shared" si="3"/>
        <v>0.22321428571428573</v>
      </c>
      <c r="CI8" s="1">
        <f t="shared" si="36"/>
        <v>-2.1634987322828794</v>
      </c>
      <c r="CJ8" s="1">
        <f t="shared" si="37"/>
        <v>2.1634987322828794</v>
      </c>
      <c r="CK8" s="1">
        <f t="shared" si="63"/>
        <v>0.48292382417028562</v>
      </c>
      <c r="CM8" s="33" t="s">
        <v>421</v>
      </c>
      <c r="CN8" s="39">
        <v>9.9</v>
      </c>
      <c r="CO8" s="39">
        <v>10.35</v>
      </c>
      <c r="CP8" s="1">
        <v>25</v>
      </c>
      <c r="CQ8" s="1">
        <f t="shared" si="4"/>
        <v>0.22321428571428573</v>
      </c>
      <c r="CR8" s="1">
        <f t="shared" si="38"/>
        <v>-2.1634987322828794</v>
      </c>
      <c r="CS8" s="1">
        <f t="shared" si="39"/>
        <v>2.1634987322828794</v>
      </c>
      <c r="CT8" s="1">
        <f t="shared" si="64"/>
        <v>0.48292382417028562</v>
      </c>
      <c r="CV8" s="33" t="s">
        <v>421</v>
      </c>
      <c r="CW8" s="39">
        <v>3.1</v>
      </c>
      <c r="CX8" s="39">
        <v>3.3000000000000003</v>
      </c>
      <c r="CY8" s="1">
        <v>25</v>
      </c>
      <c r="CZ8" s="1">
        <f t="shared" si="5"/>
        <v>0.22321428571428573</v>
      </c>
      <c r="DA8" s="1">
        <f t="shared" si="40"/>
        <v>-2.1634987322828794</v>
      </c>
      <c r="DB8" s="1">
        <f t="shared" si="41"/>
        <v>2.1634987322828794</v>
      </c>
      <c r="DC8" s="1">
        <f t="shared" si="65"/>
        <v>0.48292382417028562</v>
      </c>
      <c r="DE8" s="33" t="s">
        <v>421</v>
      </c>
      <c r="DF8" s="39">
        <v>44.3</v>
      </c>
      <c r="DG8" s="39">
        <v>47.660000000000004</v>
      </c>
      <c r="DH8" s="1">
        <v>25</v>
      </c>
      <c r="DI8" s="1">
        <f t="shared" si="6"/>
        <v>0.22321428571428573</v>
      </c>
      <c r="DJ8" s="1">
        <f t="shared" si="42"/>
        <v>-2.1634987322828794</v>
      </c>
      <c r="DK8" s="1">
        <f t="shared" si="43"/>
        <v>2.1634987322828794</v>
      </c>
      <c r="DL8" s="1">
        <f t="shared" si="66"/>
        <v>0.48292382417028562</v>
      </c>
      <c r="DN8" s="33" t="s">
        <v>421</v>
      </c>
      <c r="DO8" s="39">
        <v>6.2</v>
      </c>
      <c r="DP8" s="39">
        <v>6.43</v>
      </c>
      <c r="DQ8" s="1">
        <v>25</v>
      </c>
      <c r="DR8" s="1">
        <f t="shared" si="7"/>
        <v>0.22321428571428573</v>
      </c>
      <c r="DS8" s="1">
        <f t="shared" si="44"/>
        <v>-2.1634987322828794</v>
      </c>
      <c r="DT8" s="1">
        <f t="shared" si="45"/>
        <v>2.1634987322828794</v>
      </c>
      <c r="DU8" s="1">
        <f t="shared" si="67"/>
        <v>0.48292382417028562</v>
      </c>
      <c r="DW8" s="33" t="s">
        <v>421</v>
      </c>
      <c r="DX8" s="39">
        <v>3.4</v>
      </c>
      <c r="DY8" s="39">
        <v>3.53</v>
      </c>
      <c r="DZ8" s="1">
        <v>25</v>
      </c>
      <c r="EA8" s="1">
        <f t="shared" si="8"/>
        <v>0.22321428571428573</v>
      </c>
      <c r="EB8" s="1">
        <f t="shared" si="46"/>
        <v>-2.1634987322828794</v>
      </c>
      <c r="EC8" s="1">
        <f t="shared" si="47"/>
        <v>2.1634987322828794</v>
      </c>
      <c r="ED8" s="1">
        <f t="shared" si="68"/>
        <v>0.48292382417028562</v>
      </c>
      <c r="EF8" s="33" t="s">
        <v>421</v>
      </c>
      <c r="EG8" s="39">
        <v>2.8</v>
      </c>
      <c r="EH8" s="39">
        <v>2.9699999999999998</v>
      </c>
      <c r="EI8" s="1">
        <v>25</v>
      </c>
      <c r="EJ8" s="1">
        <f t="shared" si="9"/>
        <v>0.22321428571428573</v>
      </c>
      <c r="EK8" s="1">
        <f t="shared" si="48"/>
        <v>-2.1634987322828794</v>
      </c>
      <c r="EL8" s="1">
        <f t="shared" si="49"/>
        <v>2.1634987322828794</v>
      </c>
      <c r="EM8" s="1">
        <f t="shared" si="69"/>
        <v>0.48292382417028562</v>
      </c>
      <c r="EO8" s="33" t="s">
        <v>421</v>
      </c>
      <c r="EP8" s="39">
        <v>40.299999999999997</v>
      </c>
      <c r="EQ8" s="39">
        <v>44.239999999999995</v>
      </c>
      <c r="ER8" s="1">
        <v>25</v>
      </c>
      <c r="ES8" s="1">
        <f t="shared" si="10"/>
        <v>0.22321428571428573</v>
      </c>
      <c r="ET8" s="1">
        <f t="shared" si="50"/>
        <v>-2.1634987322828794</v>
      </c>
      <c r="EU8" s="1">
        <f t="shared" si="51"/>
        <v>2.1634987322828794</v>
      </c>
      <c r="EV8" s="1">
        <f t="shared" si="70"/>
        <v>0.48292382417028562</v>
      </c>
      <c r="EX8" s="33" t="s">
        <v>421</v>
      </c>
      <c r="EY8" s="39">
        <v>1.7</v>
      </c>
      <c r="EZ8" s="39">
        <v>1.89</v>
      </c>
      <c r="FA8" s="1">
        <v>25</v>
      </c>
      <c r="FB8" s="1">
        <f t="shared" si="11"/>
        <v>0.22321428571428573</v>
      </c>
      <c r="FC8" s="1">
        <f t="shared" si="52"/>
        <v>-2.1634987322828794</v>
      </c>
      <c r="FD8" s="1">
        <f t="shared" si="53"/>
        <v>2.1634987322828794</v>
      </c>
      <c r="FE8" s="1">
        <f t="shared" si="71"/>
        <v>0.48292382417028562</v>
      </c>
    </row>
    <row r="9" spans="1:161" x14ac:dyDescent="0.35">
      <c r="A9" s="37" t="s">
        <v>422</v>
      </c>
      <c r="B9" s="39">
        <v>22.9</v>
      </c>
      <c r="C9" s="39">
        <v>24.97</v>
      </c>
      <c r="D9" s="1">
        <v>3</v>
      </c>
      <c r="E9" s="1">
        <f t="shared" si="12"/>
        <v>2.6785714285714284E-2</v>
      </c>
      <c r="F9" s="1">
        <f t="shared" si="13"/>
        <v>-5.2223924213364485</v>
      </c>
      <c r="G9" s="1">
        <f t="shared" si="14"/>
        <v>5.2223924213364485</v>
      </c>
      <c r="H9" s="1">
        <f t="shared" si="54"/>
        <v>0.13988551128579771</v>
      </c>
      <c r="J9" s="33" t="s">
        <v>422</v>
      </c>
      <c r="K9" s="39">
        <v>114.3</v>
      </c>
      <c r="L9" s="39">
        <v>117.395</v>
      </c>
      <c r="M9" s="1">
        <v>3</v>
      </c>
      <c r="N9" s="1">
        <f t="shared" si="15"/>
        <v>2.6785714285714284E-2</v>
      </c>
      <c r="O9" s="1">
        <f t="shared" si="16"/>
        <v>-5.2223924213364485</v>
      </c>
      <c r="P9" s="1">
        <f t="shared" si="17"/>
        <v>5.2223924213364485</v>
      </c>
      <c r="Q9" s="1">
        <f t="shared" si="55"/>
        <v>0.13988551128579771</v>
      </c>
      <c r="S9" s="33" t="s">
        <v>422</v>
      </c>
      <c r="T9" s="39">
        <v>121.1</v>
      </c>
      <c r="U9" s="39">
        <v>124.89</v>
      </c>
      <c r="V9" s="1">
        <v>3</v>
      </c>
      <c r="W9" s="1">
        <f t="shared" si="18"/>
        <v>2.6785714285714284E-2</v>
      </c>
      <c r="X9" s="1">
        <f t="shared" si="19"/>
        <v>-5.2223924213364485</v>
      </c>
      <c r="Y9" s="1">
        <f t="shared" si="20"/>
        <v>5.2223924213364485</v>
      </c>
      <c r="Z9" s="1">
        <f t="shared" si="56"/>
        <v>0.13988551128579771</v>
      </c>
      <c r="AB9" s="33" t="s">
        <v>422</v>
      </c>
      <c r="AC9" s="39">
        <v>151.5</v>
      </c>
      <c r="AD9" s="39">
        <v>155.03</v>
      </c>
      <c r="AE9" s="1">
        <v>3</v>
      </c>
      <c r="AF9" s="1">
        <f t="shared" si="21"/>
        <v>2.6785714285714284E-2</v>
      </c>
      <c r="AG9" s="1">
        <f t="shared" si="22"/>
        <v>-5.2223924213364485</v>
      </c>
      <c r="AH9" s="1">
        <f t="shared" si="23"/>
        <v>5.2223924213364485</v>
      </c>
      <c r="AI9" s="1">
        <f t="shared" si="57"/>
        <v>0.13988551128579771</v>
      </c>
      <c r="AK9" s="33" t="s">
        <v>422</v>
      </c>
      <c r="AL9">
        <v>107.34</v>
      </c>
      <c r="AM9">
        <v>114.845</v>
      </c>
      <c r="AN9" s="1">
        <v>3</v>
      </c>
      <c r="AO9" s="1">
        <f t="shared" ref="AO9:AO10" si="72">AN9/AN$11</f>
        <v>2.6785714285714284E-2</v>
      </c>
      <c r="AP9" s="1">
        <f t="shared" si="25"/>
        <v>-5.2223924213364485</v>
      </c>
      <c r="AQ9" s="1">
        <f t="shared" si="26"/>
        <v>5.2223924213364485</v>
      </c>
      <c r="AR9" s="1">
        <f t="shared" si="58"/>
        <v>0.13988551128579771</v>
      </c>
      <c r="AT9" s="33" t="s">
        <v>422</v>
      </c>
      <c r="AU9" s="39"/>
      <c r="AV9" s="39">
        <v>23.479999999999997</v>
      </c>
      <c r="AW9" s="1">
        <v>3</v>
      </c>
      <c r="AX9" s="1">
        <f t="shared" si="27"/>
        <v>2.6785714285714284E-2</v>
      </c>
      <c r="AY9" s="1">
        <f t="shared" si="28"/>
        <v>-5.2223924213364485</v>
      </c>
      <c r="AZ9" s="1">
        <f t="shared" si="29"/>
        <v>5.2223924213364485</v>
      </c>
      <c r="BA9" s="1">
        <f t="shared" si="59"/>
        <v>0.13988551128579771</v>
      </c>
      <c r="BC9" s="33" t="s">
        <v>422</v>
      </c>
      <c r="BD9" s="39">
        <v>10.6</v>
      </c>
      <c r="BE9" s="39">
        <v>11.395</v>
      </c>
      <c r="BF9" s="1">
        <v>3</v>
      </c>
      <c r="BG9" s="1">
        <f t="shared" ref="BG9:BG10" si="73">BF9/BF$11</f>
        <v>2.6785714285714284E-2</v>
      </c>
      <c r="BH9" s="1">
        <f t="shared" si="30"/>
        <v>-5.2223924213364485</v>
      </c>
      <c r="BI9" s="1">
        <f t="shared" si="31"/>
        <v>5.2223924213364485</v>
      </c>
      <c r="BJ9" s="1">
        <f t="shared" si="60"/>
        <v>0.13988551128579771</v>
      </c>
      <c r="BL9" s="33" t="s">
        <v>422</v>
      </c>
      <c r="BM9" s="39">
        <v>14.5</v>
      </c>
      <c r="BN9" s="39">
        <v>15.52</v>
      </c>
      <c r="BO9" s="1">
        <v>3</v>
      </c>
      <c r="BP9" s="1">
        <f t="shared" ref="BP9:BP10" si="74">BO9/BO$11</f>
        <v>2.6785714285714284E-2</v>
      </c>
      <c r="BQ9" s="1">
        <f t="shared" si="32"/>
        <v>-5.2223924213364485</v>
      </c>
      <c r="BR9" s="1">
        <f t="shared" si="33"/>
        <v>5.2223924213364485</v>
      </c>
      <c r="BS9" s="1">
        <f t="shared" si="61"/>
        <v>0.13988551128579771</v>
      </c>
      <c r="BU9" s="33" t="s">
        <v>422</v>
      </c>
      <c r="BV9" s="39">
        <v>1.3</v>
      </c>
      <c r="BW9" s="39">
        <v>1.355</v>
      </c>
      <c r="BX9" s="1">
        <v>3</v>
      </c>
      <c r="BY9" s="1">
        <f t="shared" ref="BY9:BY10" si="75">BX9/BX$11</f>
        <v>2.6785714285714284E-2</v>
      </c>
      <c r="BZ9" s="1">
        <f t="shared" si="34"/>
        <v>-5.2223924213364485</v>
      </c>
      <c r="CA9" s="1">
        <f t="shared" si="35"/>
        <v>5.2223924213364485</v>
      </c>
      <c r="CB9" s="1">
        <f t="shared" si="62"/>
        <v>0.13988551128579771</v>
      </c>
      <c r="CD9" s="33" t="s">
        <v>422</v>
      </c>
      <c r="CE9" s="39">
        <v>11.9</v>
      </c>
      <c r="CF9" s="39">
        <v>13.719999999999999</v>
      </c>
      <c r="CG9" s="1">
        <v>3</v>
      </c>
      <c r="CH9" s="1">
        <f t="shared" ref="CH9:CH10" si="76">CG9/CG$11</f>
        <v>2.6785714285714284E-2</v>
      </c>
      <c r="CI9" s="1">
        <f t="shared" si="36"/>
        <v>-5.2223924213364485</v>
      </c>
      <c r="CJ9" s="1">
        <f t="shared" si="37"/>
        <v>5.2223924213364485</v>
      </c>
      <c r="CK9" s="1">
        <f t="shared" si="63"/>
        <v>0.13988551128579771</v>
      </c>
      <c r="CM9" s="33" t="s">
        <v>422</v>
      </c>
      <c r="CN9" s="39">
        <v>10.4</v>
      </c>
      <c r="CO9" s="39">
        <v>10.805</v>
      </c>
      <c r="CP9" s="1">
        <v>3</v>
      </c>
      <c r="CQ9" s="1">
        <f t="shared" ref="CQ9:CQ10" si="77">CP9/CP$11</f>
        <v>2.6785714285714284E-2</v>
      </c>
      <c r="CR9" s="1">
        <f t="shared" si="38"/>
        <v>-5.2223924213364485</v>
      </c>
      <c r="CS9" s="1">
        <f t="shared" si="39"/>
        <v>5.2223924213364485</v>
      </c>
      <c r="CT9" s="1">
        <f t="shared" si="64"/>
        <v>0.13988551128579771</v>
      </c>
      <c r="CV9" s="33" t="s">
        <v>422</v>
      </c>
      <c r="CW9" s="39">
        <v>3.3</v>
      </c>
      <c r="CX9" s="39">
        <v>3.4950000000000001</v>
      </c>
      <c r="CY9" s="1">
        <v>3</v>
      </c>
      <c r="CZ9" s="1">
        <f t="shared" ref="CZ9:CZ10" si="78">CY9/CY$11</f>
        <v>2.6785714285714284E-2</v>
      </c>
      <c r="DA9" s="1">
        <f t="shared" si="40"/>
        <v>-5.2223924213364485</v>
      </c>
      <c r="DB9" s="1">
        <f t="shared" si="41"/>
        <v>5.2223924213364485</v>
      </c>
      <c r="DC9" s="1">
        <f t="shared" si="65"/>
        <v>0.13988551128579771</v>
      </c>
      <c r="DE9" s="33" t="s">
        <v>422</v>
      </c>
      <c r="DF9" s="39">
        <v>47.7</v>
      </c>
      <c r="DG9" s="39">
        <v>51.010000000000005</v>
      </c>
      <c r="DH9" s="1">
        <v>3</v>
      </c>
      <c r="DI9" s="1">
        <f t="shared" ref="DI9:DI10" si="79">DH9/DH$11</f>
        <v>2.6785714285714284E-2</v>
      </c>
      <c r="DJ9" s="1">
        <f t="shared" si="42"/>
        <v>-5.2223924213364485</v>
      </c>
      <c r="DK9" s="1">
        <f t="shared" si="43"/>
        <v>5.2223924213364485</v>
      </c>
      <c r="DL9" s="1">
        <f t="shared" si="66"/>
        <v>0.13988551128579771</v>
      </c>
      <c r="DN9" s="33" t="s">
        <v>422</v>
      </c>
      <c r="DO9" s="39">
        <v>6.4</v>
      </c>
      <c r="DP9" s="39">
        <v>6.665</v>
      </c>
      <c r="DQ9" s="1">
        <v>3</v>
      </c>
      <c r="DR9" s="1">
        <f t="shared" ref="DR9:DR10" si="80">DQ9/DQ$11</f>
        <v>2.6785714285714284E-2</v>
      </c>
      <c r="DS9" s="1">
        <f t="shared" si="44"/>
        <v>-5.2223924213364485</v>
      </c>
      <c r="DT9" s="1">
        <f t="shared" si="45"/>
        <v>5.2223924213364485</v>
      </c>
      <c r="DU9" s="1">
        <f t="shared" si="67"/>
        <v>0.13988551128579771</v>
      </c>
      <c r="DW9" s="33" t="s">
        <v>422</v>
      </c>
      <c r="DX9" s="39">
        <v>3.5</v>
      </c>
      <c r="DY9" s="39">
        <v>3.6799999999999997</v>
      </c>
      <c r="DZ9" s="1">
        <v>3</v>
      </c>
      <c r="EA9" s="1">
        <f t="shared" ref="EA9:EA10" si="81">DZ9/DZ$11</f>
        <v>2.6785714285714284E-2</v>
      </c>
      <c r="EB9" s="1">
        <f t="shared" si="46"/>
        <v>-5.2223924213364485</v>
      </c>
      <c r="EC9" s="1">
        <f t="shared" si="47"/>
        <v>5.2223924213364485</v>
      </c>
      <c r="ED9" s="1">
        <f t="shared" si="68"/>
        <v>0.13988551128579771</v>
      </c>
      <c r="EF9" s="33" t="s">
        <v>422</v>
      </c>
      <c r="EG9" s="39">
        <v>3</v>
      </c>
      <c r="EH9" s="39">
        <v>3.1</v>
      </c>
      <c r="EI9" s="1">
        <v>3</v>
      </c>
      <c r="EJ9" s="1">
        <f t="shared" ref="EJ9:EJ10" si="82">EI9/EI$11</f>
        <v>2.6785714285714284E-2</v>
      </c>
      <c r="EK9" s="1">
        <f t="shared" si="48"/>
        <v>-5.2223924213364485</v>
      </c>
      <c r="EL9" s="1">
        <f t="shared" si="49"/>
        <v>5.2223924213364485</v>
      </c>
      <c r="EM9" s="1">
        <f t="shared" si="69"/>
        <v>0.13988551128579771</v>
      </c>
      <c r="EO9" s="33" t="s">
        <v>422</v>
      </c>
      <c r="EP9" s="39">
        <v>44.2</v>
      </c>
      <c r="EQ9" s="39">
        <v>48.155000000000001</v>
      </c>
      <c r="ER9" s="1">
        <v>3</v>
      </c>
      <c r="ES9" s="1">
        <f t="shared" ref="ES9:ES10" si="83">ER9/ER$11</f>
        <v>2.6785714285714284E-2</v>
      </c>
      <c r="ET9" s="1">
        <f t="shared" si="50"/>
        <v>-5.2223924213364485</v>
      </c>
      <c r="EU9" s="1">
        <f t="shared" si="51"/>
        <v>5.2223924213364485</v>
      </c>
      <c r="EV9" s="1">
        <f t="shared" si="70"/>
        <v>0.13988551128579771</v>
      </c>
      <c r="EX9" s="33" t="s">
        <v>422</v>
      </c>
      <c r="EY9" s="39">
        <v>1.9</v>
      </c>
      <c r="EZ9" s="39">
        <v>2.125</v>
      </c>
      <c r="FA9" s="1">
        <v>3</v>
      </c>
      <c r="FB9" s="1">
        <f t="shared" ref="FB9:FB10" si="84">FA9/FA$11</f>
        <v>2.6785714285714284E-2</v>
      </c>
      <c r="FC9" s="1">
        <f t="shared" si="52"/>
        <v>-5.2223924213364485</v>
      </c>
      <c r="FD9" s="1">
        <f t="shared" si="53"/>
        <v>5.2223924213364485</v>
      </c>
      <c r="FE9" s="1">
        <f t="shared" si="71"/>
        <v>0.13988551128579771</v>
      </c>
    </row>
    <row r="10" spans="1:161" x14ac:dyDescent="0.35">
      <c r="A10" s="37" t="s">
        <v>423</v>
      </c>
      <c r="B10" s="39">
        <v>25</v>
      </c>
      <c r="C10" s="39">
        <v>27.09</v>
      </c>
      <c r="D10" s="1">
        <v>2</v>
      </c>
      <c r="E10" s="1">
        <f t="shared" si="12"/>
        <v>1.7857142857142856E-2</v>
      </c>
      <c r="F10" s="1">
        <f t="shared" si="13"/>
        <v>-5.8073549220576046</v>
      </c>
      <c r="G10" s="1">
        <f>F10*-1</f>
        <v>5.8073549220576046</v>
      </c>
      <c r="H10" s="1">
        <f t="shared" si="54"/>
        <v>0.10370276646531436</v>
      </c>
      <c r="J10" s="33" t="s">
        <v>423</v>
      </c>
      <c r="K10" s="39">
        <v>117.4</v>
      </c>
      <c r="L10" s="39">
        <v>120.49</v>
      </c>
      <c r="M10" s="1">
        <v>2</v>
      </c>
      <c r="N10" s="1">
        <f t="shared" si="15"/>
        <v>1.7857142857142856E-2</v>
      </c>
      <c r="O10" s="1">
        <f t="shared" si="16"/>
        <v>-5.8073549220576046</v>
      </c>
      <c r="P10" s="1">
        <f>O10*-1</f>
        <v>5.8073549220576046</v>
      </c>
      <c r="Q10" s="1">
        <f t="shared" si="55"/>
        <v>0.10370276646531436</v>
      </c>
      <c r="S10" s="33" t="s">
        <v>423</v>
      </c>
      <c r="T10" s="39">
        <v>124.9</v>
      </c>
      <c r="U10" s="39">
        <v>128.65</v>
      </c>
      <c r="V10" s="1">
        <v>2</v>
      </c>
      <c r="W10" s="1">
        <f t="shared" si="18"/>
        <v>1.7857142857142856E-2</v>
      </c>
      <c r="X10" s="1">
        <f t="shared" si="19"/>
        <v>-5.8073549220576046</v>
      </c>
      <c r="Y10" s="1">
        <f>X10*-1</f>
        <v>5.8073549220576046</v>
      </c>
      <c r="Z10" s="1">
        <f t="shared" si="56"/>
        <v>0.10370276646531436</v>
      </c>
      <c r="AB10" s="33" t="s">
        <v>423</v>
      </c>
      <c r="AC10" s="39">
        <v>155</v>
      </c>
      <c r="AD10" s="39">
        <v>158.57999999999998</v>
      </c>
      <c r="AE10" s="1">
        <v>2</v>
      </c>
      <c r="AF10" s="1">
        <f t="shared" si="21"/>
        <v>1.7857142857142856E-2</v>
      </c>
      <c r="AG10" s="1">
        <f t="shared" si="22"/>
        <v>-5.8073549220576046</v>
      </c>
      <c r="AH10" s="1">
        <f>AG10*-1</f>
        <v>5.8073549220576046</v>
      </c>
      <c r="AI10" s="1">
        <f t="shared" si="57"/>
        <v>0.10370276646531436</v>
      </c>
      <c r="AK10" s="33" t="s">
        <v>423</v>
      </c>
      <c r="AL10">
        <v>114.84</v>
      </c>
      <c r="AM10">
        <v>122.35</v>
      </c>
      <c r="AN10" s="1">
        <v>2</v>
      </c>
      <c r="AO10" s="1">
        <f t="shared" si="72"/>
        <v>1.7857142857142856E-2</v>
      </c>
      <c r="AP10" s="1">
        <f t="shared" si="25"/>
        <v>-5.8073549220576046</v>
      </c>
      <c r="AQ10" s="1">
        <f>AP10*-1</f>
        <v>5.8073549220576046</v>
      </c>
      <c r="AR10" s="1">
        <f t="shared" si="58"/>
        <v>0.10370276646531436</v>
      </c>
      <c r="AT10" s="33" t="s">
        <v>423</v>
      </c>
      <c r="AU10" s="39"/>
      <c r="AV10" s="39">
        <v>26.24</v>
      </c>
      <c r="AW10" s="1">
        <v>2</v>
      </c>
      <c r="AX10" s="1">
        <f t="shared" si="27"/>
        <v>1.7857142857142856E-2</v>
      </c>
      <c r="AY10" s="1">
        <f t="shared" si="28"/>
        <v>-5.8073549220576046</v>
      </c>
      <c r="AZ10" s="1">
        <f>AY10*-1</f>
        <v>5.8073549220576046</v>
      </c>
      <c r="BA10" s="1">
        <f t="shared" si="59"/>
        <v>0.10370276646531436</v>
      </c>
      <c r="BC10" s="33" t="s">
        <v>423</v>
      </c>
      <c r="BD10" s="39">
        <v>11.4</v>
      </c>
      <c r="BE10" s="39">
        <v>12.16</v>
      </c>
      <c r="BF10" s="1">
        <v>2</v>
      </c>
      <c r="BG10" s="1">
        <f t="shared" si="73"/>
        <v>1.7857142857142856E-2</v>
      </c>
      <c r="BH10" s="1">
        <f t="shared" si="30"/>
        <v>-5.8073549220576046</v>
      </c>
      <c r="BI10" s="1">
        <f>BH10*-1</f>
        <v>5.8073549220576046</v>
      </c>
      <c r="BJ10" s="1">
        <f t="shared" si="60"/>
        <v>0.10370276646531436</v>
      </c>
      <c r="BL10" s="33" t="s">
        <v>423</v>
      </c>
      <c r="BM10" s="39">
        <v>15.5</v>
      </c>
      <c r="BN10" s="39">
        <v>16.59</v>
      </c>
      <c r="BO10" s="1">
        <v>2</v>
      </c>
      <c r="BP10" s="1">
        <f t="shared" si="74"/>
        <v>1.7857142857142856E-2</v>
      </c>
      <c r="BQ10" s="1">
        <f t="shared" si="32"/>
        <v>-5.8073549220576046</v>
      </c>
      <c r="BR10" s="1">
        <f>BQ10*-1</f>
        <v>5.8073549220576046</v>
      </c>
      <c r="BS10" s="1">
        <f t="shared" si="61"/>
        <v>0.10370276646531436</v>
      </c>
      <c r="BU10" s="33" t="s">
        <v>423</v>
      </c>
      <c r="BV10" s="39">
        <v>1.4</v>
      </c>
      <c r="BW10" s="39">
        <v>1.46</v>
      </c>
      <c r="BX10" s="1">
        <v>2</v>
      </c>
      <c r="BY10" s="1">
        <f t="shared" si="75"/>
        <v>1.7857142857142856E-2</v>
      </c>
      <c r="BZ10" s="1">
        <f t="shared" si="34"/>
        <v>-5.8073549220576046</v>
      </c>
      <c r="CA10" s="1">
        <f>BZ10*-1</f>
        <v>5.8073549220576046</v>
      </c>
      <c r="CB10" s="1">
        <f t="shared" si="62"/>
        <v>0.10370276646531436</v>
      </c>
      <c r="CD10" s="33" t="s">
        <v>423</v>
      </c>
      <c r="CE10" s="39">
        <v>13.7</v>
      </c>
      <c r="CF10" s="39">
        <v>15.53</v>
      </c>
      <c r="CG10" s="1">
        <v>2</v>
      </c>
      <c r="CH10" s="1">
        <f t="shared" si="76"/>
        <v>1.7857142857142856E-2</v>
      </c>
      <c r="CI10" s="1">
        <f t="shared" si="36"/>
        <v>-5.8073549220576046</v>
      </c>
      <c r="CJ10" s="1">
        <f>CI10*-1</f>
        <v>5.8073549220576046</v>
      </c>
      <c r="CK10" s="1">
        <f t="shared" si="63"/>
        <v>0.10370276646531436</v>
      </c>
      <c r="CM10" s="33" t="s">
        <v>423</v>
      </c>
      <c r="CN10" s="39">
        <v>10.8</v>
      </c>
      <c r="CO10" s="39">
        <v>11.26</v>
      </c>
      <c r="CP10" s="1">
        <v>2</v>
      </c>
      <c r="CQ10" s="1">
        <f t="shared" si="77"/>
        <v>1.7857142857142856E-2</v>
      </c>
      <c r="CR10" s="1">
        <f t="shared" si="38"/>
        <v>-5.8073549220576046</v>
      </c>
      <c r="CS10" s="1">
        <f>CR10*-1</f>
        <v>5.8073549220576046</v>
      </c>
      <c r="CT10" s="1">
        <f t="shared" si="64"/>
        <v>0.10370276646531436</v>
      </c>
      <c r="CV10" s="33" t="s">
        <v>423</v>
      </c>
      <c r="CW10" s="39">
        <v>3.5</v>
      </c>
      <c r="CX10" s="39">
        <v>3.6900000000000004</v>
      </c>
      <c r="CY10" s="1">
        <v>2</v>
      </c>
      <c r="CZ10" s="1">
        <f t="shared" si="78"/>
        <v>1.7857142857142856E-2</v>
      </c>
      <c r="DA10" s="1">
        <f t="shared" si="40"/>
        <v>-5.8073549220576046</v>
      </c>
      <c r="DB10" s="1">
        <f>DA10*-1</f>
        <v>5.8073549220576046</v>
      </c>
      <c r="DC10" s="1">
        <f t="shared" si="65"/>
        <v>0.10370276646531436</v>
      </c>
      <c r="DE10" s="33" t="s">
        <v>423</v>
      </c>
      <c r="DF10" s="39">
        <v>51</v>
      </c>
      <c r="DG10" s="39">
        <v>54.36</v>
      </c>
      <c r="DH10" s="1">
        <v>2</v>
      </c>
      <c r="DI10" s="1">
        <f t="shared" si="79"/>
        <v>1.7857142857142856E-2</v>
      </c>
      <c r="DJ10" s="1">
        <f t="shared" si="42"/>
        <v>-5.8073549220576046</v>
      </c>
      <c r="DK10" s="1">
        <f>DJ10*-1</f>
        <v>5.8073549220576046</v>
      </c>
      <c r="DL10" s="1">
        <f t="shared" si="66"/>
        <v>0.10370276646531436</v>
      </c>
      <c r="DN10" s="33" t="s">
        <v>423</v>
      </c>
      <c r="DO10" s="39">
        <v>6.7</v>
      </c>
      <c r="DP10" s="39">
        <v>6.9</v>
      </c>
      <c r="DQ10" s="1">
        <v>2</v>
      </c>
      <c r="DR10" s="1">
        <f t="shared" si="80"/>
        <v>1.7857142857142856E-2</v>
      </c>
      <c r="DS10" s="1">
        <f t="shared" si="44"/>
        <v>-5.8073549220576046</v>
      </c>
      <c r="DT10" s="1">
        <f>DS10*-1</f>
        <v>5.8073549220576046</v>
      </c>
      <c r="DU10" s="1">
        <f t="shared" si="67"/>
        <v>0.10370276646531436</v>
      </c>
      <c r="DW10" s="33" t="s">
        <v>423</v>
      </c>
      <c r="DX10" s="39">
        <v>3.7</v>
      </c>
      <c r="DY10" s="39">
        <v>3.83</v>
      </c>
      <c r="DZ10" s="1">
        <v>2</v>
      </c>
      <c r="EA10" s="1">
        <f t="shared" si="81"/>
        <v>1.7857142857142856E-2</v>
      </c>
      <c r="EB10" s="1">
        <f t="shared" si="46"/>
        <v>-5.8073549220576046</v>
      </c>
      <c r="EC10" s="1">
        <f>EB10*-1</f>
        <v>5.8073549220576046</v>
      </c>
      <c r="ED10" s="1">
        <f t="shared" si="68"/>
        <v>0.10370276646531436</v>
      </c>
      <c r="EF10" s="33" t="s">
        <v>423</v>
      </c>
      <c r="EG10" s="39">
        <v>3.1</v>
      </c>
      <c r="EH10" s="39">
        <v>3.23</v>
      </c>
      <c r="EI10" s="1">
        <v>2</v>
      </c>
      <c r="EJ10" s="1">
        <f t="shared" si="82"/>
        <v>1.7857142857142856E-2</v>
      </c>
      <c r="EK10" s="1">
        <f t="shared" si="48"/>
        <v>-5.8073549220576046</v>
      </c>
      <c r="EL10" s="1">
        <f>EK10*-1</f>
        <v>5.8073549220576046</v>
      </c>
      <c r="EM10" s="1">
        <f t="shared" si="69"/>
        <v>0.10370276646531436</v>
      </c>
      <c r="EO10" s="33" t="s">
        <v>423</v>
      </c>
      <c r="EP10" s="39">
        <v>48.2</v>
      </c>
      <c r="EQ10" s="39">
        <v>52.069999999999993</v>
      </c>
      <c r="ER10" s="1">
        <v>2</v>
      </c>
      <c r="ES10" s="1">
        <f t="shared" si="83"/>
        <v>1.7857142857142856E-2</v>
      </c>
      <c r="ET10" s="1">
        <f t="shared" si="50"/>
        <v>-5.8073549220576046</v>
      </c>
      <c r="EU10" s="1">
        <f>ET10*-1</f>
        <v>5.8073549220576046</v>
      </c>
      <c r="EV10" s="1">
        <f t="shared" si="70"/>
        <v>0.10370276646531436</v>
      </c>
      <c r="EX10" s="33" t="s">
        <v>423</v>
      </c>
      <c r="EY10" s="39">
        <v>2.1</v>
      </c>
      <c r="EZ10" s="39">
        <v>2.36</v>
      </c>
      <c r="FA10" s="1">
        <v>2</v>
      </c>
      <c r="FB10" s="1">
        <f t="shared" si="84"/>
        <v>1.7857142857142856E-2</v>
      </c>
      <c r="FC10" s="1">
        <f t="shared" si="52"/>
        <v>-5.8073549220576046</v>
      </c>
      <c r="FD10" s="1">
        <f>FC10*-1</f>
        <v>5.8073549220576046</v>
      </c>
      <c r="FE10" s="1">
        <f t="shared" si="71"/>
        <v>0.10370276646531436</v>
      </c>
    </row>
    <row r="11" spans="1:161" x14ac:dyDescent="0.35">
      <c r="A11" s="37" t="s">
        <v>405</v>
      </c>
      <c r="B11" s="39"/>
      <c r="C11" s="1"/>
      <c r="D11" s="1">
        <f>SUM(D2:D10)</f>
        <v>112</v>
      </c>
      <c r="E11" s="1"/>
      <c r="F11" s="1"/>
      <c r="G11" s="1"/>
      <c r="H11" s="1">
        <f>SUM(H2:H10)</f>
        <v>2.6632011755516136</v>
      </c>
      <c r="J11" s="1"/>
      <c r="K11" s="39"/>
      <c r="L11" s="1"/>
      <c r="M11" s="1">
        <f>SUM(M2:M10)</f>
        <v>112</v>
      </c>
      <c r="N11" s="1"/>
      <c r="O11" s="1"/>
      <c r="P11" s="1"/>
      <c r="Q11" s="1">
        <f>SUM(Q2:Q10)</f>
        <v>2.6632011755516136</v>
      </c>
      <c r="S11" s="1"/>
      <c r="T11" s="39"/>
      <c r="U11" s="1"/>
      <c r="V11" s="1">
        <f>SUM(V2:V10)</f>
        <v>112</v>
      </c>
      <c r="W11" s="1"/>
      <c r="X11" s="1"/>
      <c r="Y11" s="1"/>
      <c r="Z11" s="1">
        <f>SUM(Z2:Z10)</f>
        <v>2.6632011755516136</v>
      </c>
      <c r="AB11" s="1"/>
      <c r="AC11" s="39"/>
      <c r="AD11" s="1"/>
      <c r="AE11" s="1">
        <f>SUM(AE2:AE10)</f>
        <v>112</v>
      </c>
      <c r="AF11" s="1"/>
      <c r="AG11" s="1"/>
      <c r="AH11" s="1"/>
      <c r="AI11" s="1">
        <f>SUM(AI2:AI10)</f>
        <v>2.6632011755516136</v>
      </c>
      <c r="AK11" s="1"/>
      <c r="AN11" s="1">
        <f>SUM(AN2:AN10)</f>
        <v>112</v>
      </c>
      <c r="AO11" s="1"/>
      <c r="AP11" s="1"/>
      <c r="AQ11" s="1"/>
      <c r="AR11" s="1">
        <f>SUM(AR2:AR10)</f>
        <v>2.6632011755516136</v>
      </c>
      <c r="AT11" s="1"/>
      <c r="AU11" s="39"/>
      <c r="AV11" s="1"/>
      <c r="AW11" s="1">
        <f>SUM(AW2:AW10)</f>
        <v>112</v>
      </c>
      <c r="AX11" s="1"/>
      <c r="AY11" s="1"/>
      <c r="AZ11" s="1"/>
      <c r="BA11" s="1">
        <f>SUM(BA2:BA10)</f>
        <v>2.6632011755516136</v>
      </c>
      <c r="BC11" s="1"/>
      <c r="BD11" s="39"/>
      <c r="BE11" s="1"/>
      <c r="BF11" s="1">
        <f>SUM(BF2:BF10)</f>
        <v>112</v>
      </c>
      <c r="BG11" s="1"/>
      <c r="BH11" s="1"/>
      <c r="BI11" s="1"/>
      <c r="BJ11" s="1">
        <f>SUM(BJ2:BJ10)</f>
        <v>2.6632011755516136</v>
      </c>
      <c r="BL11" s="1"/>
      <c r="BM11" s="39"/>
      <c r="BN11" s="1"/>
      <c r="BO11" s="1">
        <f>SUM(BO2:BO10)</f>
        <v>112</v>
      </c>
      <c r="BP11" s="1"/>
      <c r="BQ11" s="1"/>
      <c r="BR11" s="1"/>
      <c r="BS11" s="1">
        <f>SUM(BS2:BS10)</f>
        <v>2.6632011755516136</v>
      </c>
      <c r="BU11" s="1"/>
      <c r="BV11" s="39"/>
      <c r="BW11" s="1"/>
      <c r="BX11" s="1">
        <f>SUM(BX2:BX10)</f>
        <v>112</v>
      </c>
      <c r="BY11" s="1"/>
      <c r="BZ11" s="1"/>
      <c r="CA11" s="1"/>
      <c r="CB11" s="1">
        <f>SUM(CB2:CB10)</f>
        <v>2.6632011755516136</v>
      </c>
      <c r="CD11" s="1"/>
      <c r="CE11" s="39"/>
      <c r="CF11" s="1"/>
      <c r="CG11" s="1">
        <f>SUM(CG2:CG10)</f>
        <v>112</v>
      </c>
      <c r="CH11" s="1"/>
      <c r="CI11" s="1"/>
      <c r="CJ11" s="1"/>
      <c r="CK11" s="1">
        <f>SUM(CK2:CK10)</f>
        <v>2.6632011755516136</v>
      </c>
      <c r="CM11" s="1"/>
      <c r="CN11" s="39"/>
      <c r="CO11" s="1"/>
      <c r="CP11" s="1">
        <f>SUM(CP2:CP10)</f>
        <v>112</v>
      </c>
      <c r="CQ11" s="1"/>
      <c r="CR11" s="1"/>
      <c r="CS11" s="1"/>
      <c r="CT11" s="1">
        <f>SUM(CT2:CT10)</f>
        <v>2.6632011755516136</v>
      </c>
      <c r="CV11" s="1"/>
      <c r="CW11" s="39"/>
      <c r="CX11" s="1"/>
      <c r="CY11" s="1">
        <f>SUM(CY2:CY10)</f>
        <v>112</v>
      </c>
      <c r="CZ11" s="1"/>
      <c r="DA11" s="1"/>
      <c r="DB11" s="1"/>
      <c r="DC11" s="1">
        <f>SUM(DC2:DC10)</f>
        <v>2.6632011755516136</v>
      </c>
      <c r="DE11" s="1"/>
      <c r="DF11" s="39"/>
      <c r="DG11" s="1"/>
      <c r="DH11" s="1">
        <f>SUM(DH2:DH10)</f>
        <v>112</v>
      </c>
      <c r="DI11" s="1"/>
      <c r="DJ11" s="1"/>
      <c r="DK11" s="1"/>
      <c r="DL11" s="1">
        <f>SUM(DL2:DL10)</f>
        <v>2.6632011755516136</v>
      </c>
      <c r="DN11" s="1"/>
      <c r="DO11" s="39"/>
      <c r="DP11" s="1"/>
      <c r="DQ11" s="1">
        <f>SUM(DQ2:DQ10)</f>
        <v>112</v>
      </c>
      <c r="DR11" s="1"/>
      <c r="DS11" s="1"/>
      <c r="DT11" s="1"/>
      <c r="DU11" s="1">
        <f>SUM(DU2:DU10)</f>
        <v>2.6632011755516136</v>
      </c>
      <c r="DW11" s="1"/>
      <c r="DX11" s="39"/>
      <c r="DY11" s="1"/>
      <c r="DZ11" s="1">
        <f>SUM(DZ2:DZ10)</f>
        <v>112</v>
      </c>
      <c r="EA11" s="1"/>
      <c r="EB11" s="1"/>
      <c r="EC11" s="1"/>
      <c r="ED11" s="1">
        <f>SUM(ED2:ED10)</f>
        <v>2.6632011755516136</v>
      </c>
      <c r="EF11" s="1"/>
      <c r="EG11" s="39"/>
      <c r="EH11" s="1"/>
      <c r="EI11" s="1">
        <f>SUM(EI2:EI10)</f>
        <v>112</v>
      </c>
      <c r="EJ11" s="1"/>
      <c r="EK11" s="1"/>
      <c r="EL11" s="1"/>
      <c r="EM11" s="1">
        <f>SUM(EM2:EM10)</f>
        <v>2.6632011755516136</v>
      </c>
      <c r="EO11" s="1"/>
      <c r="EP11" s="39"/>
      <c r="EQ11" s="1"/>
      <c r="ER11" s="1">
        <f>SUM(ER2:ER10)</f>
        <v>112</v>
      </c>
      <c r="ES11" s="1"/>
      <c r="ET11" s="1"/>
      <c r="EU11" s="1"/>
      <c r="EV11" s="1">
        <f>SUM(EV2:EV10)</f>
        <v>2.6632011755516136</v>
      </c>
      <c r="EX11" s="1"/>
      <c r="EY11" s="39"/>
      <c r="EZ11" s="1"/>
      <c r="FA11" s="1">
        <f>SUM(FA2:FA10)</f>
        <v>112</v>
      </c>
      <c r="FB11" s="1"/>
      <c r="FC11" s="1"/>
      <c r="FD11" s="1"/>
      <c r="FE11" s="1">
        <f>SUM(FE2:FE10)</f>
        <v>2.6632011755516136</v>
      </c>
    </row>
    <row r="12" spans="1:161" x14ac:dyDescent="0.35">
      <c r="A12" s="37" t="s">
        <v>406</v>
      </c>
      <c r="D12" s="40"/>
      <c r="E12" s="1"/>
      <c r="F12" s="1"/>
      <c r="G12" s="1"/>
      <c r="H12" s="1">
        <f>LOG(9,2)</f>
        <v>3.1699250014423126</v>
      </c>
      <c r="J12" s="33" t="s">
        <v>405</v>
      </c>
      <c r="M12" s="40"/>
      <c r="N12" s="1"/>
      <c r="O12" s="1"/>
      <c r="P12" s="1"/>
      <c r="S12" s="33" t="s">
        <v>405</v>
      </c>
      <c r="V12" s="40"/>
      <c r="W12" s="1"/>
      <c r="X12" s="1"/>
      <c r="Y12" s="1"/>
      <c r="AB12" s="33" t="s">
        <v>405</v>
      </c>
      <c r="AE12" s="40"/>
      <c r="AF12" s="1"/>
      <c r="AG12" s="1"/>
      <c r="AH12" s="1"/>
      <c r="AK12" s="33" t="s">
        <v>405</v>
      </c>
      <c r="AN12" s="40"/>
      <c r="AO12" s="1"/>
      <c r="AP12" s="1"/>
      <c r="AQ12" s="1"/>
      <c r="AT12" s="33" t="s">
        <v>405</v>
      </c>
      <c r="AW12" s="40"/>
      <c r="AX12" s="1"/>
      <c r="AY12" s="1"/>
      <c r="AZ12" s="1"/>
      <c r="BC12" s="33" t="s">
        <v>405</v>
      </c>
      <c r="BF12" s="40"/>
      <c r="BG12" s="1"/>
      <c r="BH12" s="1"/>
      <c r="BI12" s="1"/>
      <c r="BL12" s="33" t="s">
        <v>405</v>
      </c>
      <c r="BO12" s="40"/>
      <c r="BP12" s="1"/>
      <c r="BQ12" s="1"/>
      <c r="BR12" s="1"/>
      <c r="BU12" s="33" t="s">
        <v>405</v>
      </c>
      <c r="BX12" s="40"/>
      <c r="BY12" s="1"/>
      <c r="BZ12" s="1"/>
      <c r="CA12" s="1"/>
      <c r="CD12" s="33" t="s">
        <v>405</v>
      </c>
      <c r="CG12" s="40"/>
      <c r="CH12" s="1"/>
      <c r="CI12" s="1"/>
      <c r="CJ12" s="1"/>
      <c r="CM12" s="33" t="s">
        <v>405</v>
      </c>
      <c r="CP12" s="40"/>
      <c r="CQ12" s="1"/>
      <c r="CR12" s="1"/>
      <c r="CS12" s="1"/>
      <c r="CV12" s="33" t="s">
        <v>405</v>
      </c>
      <c r="CY12" s="40"/>
      <c r="CZ12" s="1"/>
      <c r="DA12" s="1"/>
      <c r="DB12" s="1"/>
      <c r="DE12" s="33" t="s">
        <v>405</v>
      </c>
      <c r="DH12" s="40"/>
      <c r="DI12" s="1"/>
      <c r="DJ12" s="1"/>
      <c r="DK12" s="1"/>
      <c r="DN12" s="33" t="s">
        <v>405</v>
      </c>
      <c r="DQ12" s="40"/>
      <c r="DR12" s="1"/>
      <c r="DS12" s="1"/>
      <c r="DT12" s="1"/>
      <c r="DW12" s="33" t="s">
        <v>405</v>
      </c>
      <c r="DZ12" s="40"/>
      <c r="EA12" s="1"/>
      <c r="EB12" s="1"/>
      <c r="EC12" s="1"/>
      <c r="EF12" s="33" t="s">
        <v>405</v>
      </c>
      <c r="EI12" s="40"/>
      <c r="EJ12" s="1"/>
      <c r="EK12" s="1"/>
      <c r="EL12" s="1"/>
      <c r="EO12" s="33" t="s">
        <v>405</v>
      </c>
      <c r="ER12" s="40"/>
      <c r="ES12" s="1"/>
      <c r="ET12" s="1"/>
      <c r="EU12" s="1"/>
      <c r="EX12" s="33" t="s">
        <v>405</v>
      </c>
      <c r="FA12" s="40"/>
      <c r="FB12" s="1"/>
      <c r="FC12" s="1"/>
      <c r="FD12" s="1"/>
    </row>
    <row r="13" spans="1:161" x14ac:dyDescent="0.35">
      <c r="A13" s="37" t="s">
        <v>407</v>
      </c>
      <c r="D13" s="1"/>
      <c r="E13" s="1"/>
      <c r="F13" s="1"/>
      <c r="G13" s="1"/>
      <c r="H13" s="41">
        <f>H11/H12</f>
        <v>0.84014643070099759</v>
      </c>
      <c r="J13" s="33" t="s">
        <v>406</v>
      </c>
      <c r="M13" s="1"/>
      <c r="N13" s="1"/>
      <c r="O13" s="1"/>
      <c r="P13" s="1"/>
      <c r="Q13" s="1">
        <f>LOG(9,2)</f>
        <v>3.1699250014423126</v>
      </c>
      <c r="S13" s="33" t="s">
        <v>406</v>
      </c>
      <c r="V13" s="1"/>
      <c r="W13" s="1"/>
      <c r="X13" s="1"/>
      <c r="Y13" s="1"/>
      <c r="Z13" s="1">
        <f>LOG(9,2)</f>
        <v>3.1699250014423126</v>
      </c>
      <c r="AB13" s="33" t="s">
        <v>406</v>
      </c>
      <c r="AE13" s="1"/>
      <c r="AF13" s="1"/>
      <c r="AG13" s="1"/>
      <c r="AH13" s="1"/>
      <c r="AI13" s="1">
        <f>LOG(9,2)</f>
        <v>3.1699250014423126</v>
      </c>
      <c r="AK13" s="33" t="s">
        <v>406</v>
      </c>
      <c r="AN13" s="1"/>
      <c r="AO13" s="1"/>
      <c r="AP13" s="1"/>
      <c r="AQ13" s="1"/>
      <c r="AR13" s="1">
        <f>LOG(9,2)</f>
        <v>3.1699250014423126</v>
      </c>
      <c r="AT13" s="33" t="s">
        <v>406</v>
      </c>
      <c r="AW13" s="1"/>
      <c r="AX13" s="1"/>
      <c r="AY13" s="1"/>
      <c r="AZ13" s="1"/>
      <c r="BA13" s="1">
        <f>LOG(9,2)</f>
        <v>3.1699250014423126</v>
      </c>
      <c r="BC13" s="33" t="s">
        <v>406</v>
      </c>
      <c r="BF13" s="1"/>
      <c r="BG13" s="1"/>
      <c r="BH13" s="1"/>
      <c r="BI13" s="1"/>
      <c r="BJ13" s="1">
        <f>LOG(9,2)</f>
        <v>3.1699250014423126</v>
      </c>
      <c r="BL13" s="33" t="s">
        <v>406</v>
      </c>
      <c r="BO13" s="1"/>
      <c r="BP13" s="1"/>
      <c r="BQ13" s="1"/>
      <c r="BR13" s="1"/>
      <c r="BS13" s="1">
        <f>LOG(9,2)</f>
        <v>3.1699250014423126</v>
      </c>
      <c r="BU13" s="33" t="s">
        <v>406</v>
      </c>
      <c r="BX13" s="1"/>
      <c r="BY13" s="1"/>
      <c r="BZ13" s="1"/>
      <c r="CA13" s="1"/>
      <c r="CB13" s="1">
        <f>LOG(9,2)</f>
        <v>3.1699250014423126</v>
      </c>
      <c r="CD13" s="33" t="s">
        <v>406</v>
      </c>
      <c r="CG13" s="1"/>
      <c r="CH13" s="1"/>
      <c r="CI13" s="1"/>
      <c r="CJ13" s="1"/>
      <c r="CK13" s="1">
        <f>LOG(9,2)</f>
        <v>3.1699250014423126</v>
      </c>
      <c r="CM13" s="33" t="s">
        <v>406</v>
      </c>
      <c r="CP13" s="1"/>
      <c r="CQ13" s="1"/>
      <c r="CR13" s="1"/>
      <c r="CS13" s="1"/>
      <c r="CT13" s="1">
        <f>LOG(9,2)</f>
        <v>3.1699250014423126</v>
      </c>
      <c r="CV13" s="33" t="s">
        <v>406</v>
      </c>
      <c r="CY13" s="1"/>
      <c r="CZ13" s="1"/>
      <c r="DA13" s="1"/>
      <c r="DB13" s="1"/>
      <c r="DC13" s="1">
        <f>LOG(9,2)</f>
        <v>3.1699250014423126</v>
      </c>
      <c r="DE13" s="33" t="s">
        <v>406</v>
      </c>
      <c r="DH13" s="1"/>
      <c r="DI13" s="1"/>
      <c r="DJ13" s="1"/>
      <c r="DK13" s="1"/>
      <c r="DL13" s="1">
        <f>LOG(9,2)</f>
        <v>3.1699250014423126</v>
      </c>
      <c r="DN13" s="33" t="s">
        <v>406</v>
      </c>
      <c r="DQ13" s="1"/>
      <c r="DR13" s="1"/>
      <c r="DS13" s="1"/>
      <c r="DT13" s="1"/>
      <c r="DU13" s="1">
        <f>LOG(9,2)</f>
        <v>3.1699250014423126</v>
      </c>
      <c r="DW13" s="33" t="s">
        <v>406</v>
      </c>
      <c r="DZ13" s="1"/>
      <c r="EA13" s="1"/>
      <c r="EB13" s="1"/>
      <c r="EC13" s="1"/>
      <c r="ED13" s="1">
        <f>LOG(9,2)</f>
        <v>3.1699250014423126</v>
      </c>
      <c r="EF13" s="33" t="s">
        <v>406</v>
      </c>
      <c r="EI13" s="1"/>
      <c r="EJ13" s="1"/>
      <c r="EK13" s="1"/>
      <c r="EL13" s="1"/>
      <c r="EM13" s="1">
        <f>LOG(9,2)</f>
        <v>3.1699250014423126</v>
      </c>
      <c r="EO13" s="33" t="s">
        <v>406</v>
      </c>
      <c r="ER13" s="1"/>
      <c r="ES13" s="1"/>
      <c r="ET13" s="1"/>
      <c r="EU13" s="1"/>
      <c r="EV13" s="1">
        <f>LOG(9,2)</f>
        <v>3.1699250014423126</v>
      </c>
      <c r="EX13" s="33" t="s">
        <v>406</v>
      </c>
      <c r="FA13" s="1"/>
      <c r="FB13" s="1"/>
      <c r="FC13" s="1"/>
      <c r="FD13" s="1"/>
      <c r="FE13" s="1">
        <f>LOG(9,2)</f>
        <v>3.1699250014423126</v>
      </c>
    </row>
    <row r="14" spans="1:161" x14ac:dyDescent="0.35">
      <c r="D14" s="1"/>
      <c r="E14" s="1"/>
      <c r="F14" s="1"/>
      <c r="G14" s="1"/>
      <c r="J14" s="33" t="s">
        <v>407</v>
      </c>
      <c r="M14" s="1"/>
      <c r="N14" s="1"/>
      <c r="O14" s="1"/>
      <c r="P14" s="1"/>
      <c r="Q14" s="41">
        <f>Q11/Q13</f>
        <v>0.84014643070099759</v>
      </c>
      <c r="S14" s="33" t="s">
        <v>407</v>
      </c>
      <c r="V14" s="1"/>
      <c r="W14" s="1"/>
      <c r="X14" s="1"/>
      <c r="Y14" s="1"/>
      <c r="Z14" s="41">
        <f>Z11/Z13</f>
        <v>0.84014643070099759</v>
      </c>
      <c r="AB14" s="33" t="s">
        <v>407</v>
      </c>
      <c r="AE14" s="1"/>
      <c r="AF14" s="1"/>
      <c r="AG14" s="1"/>
      <c r="AH14" s="1"/>
      <c r="AI14" s="41">
        <f>AI11/AI13</f>
        <v>0.84014643070099759</v>
      </c>
      <c r="AK14" s="33" t="s">
        <v>407</v>
      </c>
      <c r="AN14" s="1"/>
      <c r="AO14" s="1"/>
      <c r="AP14" s="1"/>
      <c r="AQ14" s="1"/>
      <c r="AR14" s="41">
        <f>AR11/AR13</f>
        <v>0.84014643070099759</v>
      </c>
      <c r="AT14" s="33" t="s">
        <v>407</v>
      </c>
      <c r="AW14" s="1"/>
      <c r="AX14" s="1"/>
      <c r="AY14" s="1"/>
      <c r="AZ14" s="1"/>
      <c r="BA14" s="41">
        <f>BA11/BA13</f>
        <v>0.84014643070099759</v>
      </c>
      <c r="BC14" s="33" t="s">
        <v>407</v>
      </c>
      <c r="BF14" s="1"/>
      <c r="BG14" s="1"/>
      <c r="BH14" s="1"/>
      <c r="BI14" s="1"/>
      <c r="BJ14" s="41">
        <f>BJ11/BJ13</f>
        <v>0.84014643070099759</v>
      </c>
      <c r="BL14" s="33" t="s">
        <v>407</v>
      </c>
      <c r="BO14" s="1"/>
      <c r="BP14" s="1"/>
      <c r="BQ14" s="1"/>
      <c r="BR14" s="1"/>
      <c r="BS14" s="41">
        <f>BS11/BS13</f>
        <v>0.84014643070099759</v>
      </c>
      <c r="BU14" s="33" t="s">
        <v>407</v>
      </c>
      <c r="BX14" s="1"/>
      <c r="BY14" s="1"/>
      <c r="BZ14" s="1"/>
      <c r="CA14" s="1"/>
      <c r="CB14" s="41">
        <f>CB11/CB13</f>
        <v>0.84014643070099759</v>
      </c>
      <c r="CD14" s="33" t="s">
        <v>407</v>
      </c>
      <c r="CG14" s="1"/>
      <c r="CH14" s="1"/>
      <c r="CI14" s="1"/>
      <c r="CJ14" s="1"/>
      <c r="CK14" s="41">
        <f>CK11/CK13</f>
        <v>0.84014643070099759</v>
      </c>
      <c r="CM14" s="33" t="s">
        <v>407</v>
      </c>
      <c r="CP14" s="1"/>
      <c r="CQ14" s="1"/>
      <c r="CR14" s="1"/>
      <c r="CS14" s="1"/>
      <c r="CT14" s="41">
        <f>CT11/CT13</f>
        <v>0.84014643070099759</v>
      </c>
      <c r="CV14" s="33" t="s">
        <v>407</v>
      </c>
      <c r="CY14" s="1"/>
      <c r="CZ14" s="1"/>
      <c r="DA14" s="1"/>
      <c r="DB14" s="1"/>
      <c r="DC14" s="41">
        <f>DC11/DC13</f>
        <v>0.84014643070099759</v>
      </c>
      <c r="DE14" s="33" t="s">
        <v>407</v>
      </c>
      <c r="DH14" s="1"/>
      <c r="DI14" s="1"/>
      <c r="DJ14" s="1"/>
      <c r="DK14" s="1"/>
      <c r="DL14" s="41">
        <f>DL11/DL13</f>
        <v>0.84014643070099759</v>
      </c>
      <c r="DN14" s="33" t="s">
        <v>407</v>
      </c>
      <c r="DQ14" s="1"/>
      <c r="DR14" s="1"/>
      <c r="DS14" s="1"/>
      <c r="DT14" s="1"/>
      <c r="DU14" s="41">
        <f>DU11/DU13</f>
        <v>0.84014643070099759</v>
      </c>
      <c r="DW14" s="33" t="s">
        <v>407</v>
      </c>
      <c r="DZ14" s="1"/>
      <c r="EA14" s="1"/>
      <c r="EB14" s="1"/>
      <c r="EC14" s="1"/>
      <c r="ED14" s="41">
        <f>ED11/ED13</f>
        <v>0.84014643070099759</v>
      </c>
      <c r="EF14" s="33" t="s">
        <v>407</v>
      </c>
      <c r="EI14" s="1"/>
      <c r="EJ14" s="1"/>
      <c r="EK14" s="1"/>
      <c r="EL14" s="1"/>
      <c r="EM14" s="41">
        <f>EM11/EM13</f>
        <v>0.84014643070099759</v>
      </c>
      <c r="EO14" s="33" t="s">
        <v>407</v>
      </c>
      <c r="ER14" s="1"/>
      <c r="ES14" s="1"/>
      <c r="ET14" s="1"/>
      <c r="EU14" s="1"/>
      <c r="EV14" s="41">
        <f>EV11/EV13</f>
        <v>0.84014643070099759</v>
      </c>
      <c r="EX14" s="33" t="s">
        <v>407</v>
      </c>
      <c r="FA14" s="1"/>
      <c r="FB14" s="1"/>
      <c r="FC14" s="1"/>
      <c r="FD14" s="1"/>
      <c r="FE14" s="41">
        <f>FE11/FE13</f>
        <v>0.84014643070099759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21E2-F4DF-49B8-954F-F3ADA6A8ADDE}">
  <dimension ref="B1:G117"/>
  <sheetViews>
    <sheetView tabSelected="1" workbookViewId="0">
      <selection activeCell="B1" sqref="B1:B3"/>
    </sheetView>
  </sheetViews>
  <sheetFormatPr defaultRowHeight="14.5" x14ac:dyDescent="0.35"/>
  <cols>
    <col min="1" max="1" width="8.7265625" customWidth="1"/>
    <col min="2" max="2" width="25.36328125" customWidth="1"/>
    <col min="5" max="7" width="16.7265625" style="1" customWidth="1"/>
  </cols>
  <sheetData>
    <row r="1" spans="2:7" ht="15.5" x14ac:dyDescent="0.35">
      <c r="B1" s="16" t="s">
        <v>253</v>
      </c>
      <c r="C1" t="s">
        <v>268</v>
      </c>
      <c r="E1" s="16" t="s">
        <v>125</v>
      </c>
      <c r="F1" s="16" t="s">
        <v>49</v>
      </c>
      <c r="G1" s="16" t="s">
        <v>50</v>
      </c>
    </row>
    <row r="2" spans="2:7" ht="15.5" x14ac:dyDescent="0.35">
      <c r="B2" s="17" t="s">
        <v>20</v>
      </c>
      <c r="C2" t="s">
        <v>269</v>
      </c>
      <c r="E2" s="1" t="s">
        <v>126</v>
      </c>
      <c r="F2" s="16" t="s">
        <v>51</v>
      </c>
      <c r="G2" s="16" t="s">
        <v>80</v>
      </c>
    </row>
    <row r="3" spans="2:7" ht="15.5" x14ac:dyDescent="0.35">
      <c r="B3" s="16" t="s">
        <v>21</v>
      </c>
      <c r="C3" t="s">
        <v>267</v>
      </c>
      <c r="E3" s="1" t="s">
        <v>127</v>
      </c>
      <c r="F3" s="16" t="s">
        <v>52</v>
      </c>
      <c r="G3" s="16" t="s">
        <v>81</v>
      </c>
    </row>
    <row r="4" spans="2:7" ht="15.5" x14ac:dyDescent="0.35">
      <c r="E4" s="1" t="s">
        <v>128</v>
      </c>
      <c r="F4" s="16" t="s">
        <v>53</v>
      </c>
      <c r="G4" s="16" t="s">
        <v>82</v>
      </c>
    </row>
    <row r="5" spans="2:7" ht="15.5" x14ac:dyDescent="0.35">
      <c r="E5" s="1" t="s">
        <v>129</v>
      </c>
      <c r="F5" s="16"/>
      <c r="G5" s="16" t="s">
        <v>83</v>
      </c>
    </row>
    <row r="6" spans="2:7" ht="15.5" x14ac:dyDescent="0.35">
      <c r="E6" s="1" t="s">
        <v>130</v>
      </c>
      <c r="F6" s="16" t="s">
        <v>54</v>
      </c>
      <c r="G6" s="16" t="s">
        <v>84</v>
      </c>
    </row>
    <row r="7" spans="2:7" ht="15.5" x14ac:dyDescent="0.35">
      <c r="E7" s="1" t="s">
        <v>131</v>
      </c>
      <c r="F7" s="16" t="s">
        <v>55</v>
      </c>
      <c r="G7" s="16" t="s">
        <v>84</v>
      </c>
    </row>
    <row r="8" spans="2:7" ht="15.5" x14ac:dyDescent="0.35">
      <c r="E8" s="1" t="s">
        <v>132</v>
      </c>
      <c r="F8" s="16"/>
      <c r="G8" s="16"/>
    </row>
    <row r="9" spans="2:7" ht="15.5" x14ac:dyDescent="0.35">
      <c r="E9" s="1" t="s">
        <v>133</v>
      </c>
      <c r="F9" s="16" t="s">
        <v>56</v>
      </c>
      <c r="G9" s="16" t="s">
        <v>85</v>
      </c>
    </row>
    <row r="10" spans="2:7" ht="15.5" x14ac:dyDescent="0.35">
      <c r="E10" s="1" t="s">
        <v>134</v>
      </c>
      <c r="F10" s="16" t="s">
        <v>57</v>
      </c>
      <c r="G10" s="16" t="s">
        <v>86</v>
      </c>
    </row>
    <row r="11" spans="2:7" ht="15.5" x14ac:dyDescent="0.35">
      <c r="E11" s="1" t="s">
        <v>135</v>
      </c>
      <c r="F11" s="16" t="s">
        <v>58</v>
      </c>
      <c r="G11" s="16" t="s">
        <v>86</v>
      </c>
    </row>
    <row r="12" spans="2:7" ht="15.5" x14ac:dyDescent="0.35">
      <c r="E12" s="1" t="s">
        <v>136</v>
      </c>
      <c r="F12" s="16"/>
      <c r="G12" s="16"/>
    </row>
    <row r="13" spans="2:7" ht="15.5" x14ac:dyDescent="0.35">
      <c r="E13" s="1" t="s">
        <v>137</v>
      </c>
      <c r="F13" s="16" t="s">
        <v>57</v>
      </c>
      <c r="G13" s="16" t="s">
        <v>86</v>
      </c>
    </row>
    <row r="14" spans="2:7" ht="15.5" x14ac:dyDescent="0.35">
      <c r="E14" s="1" t="s">
        <v>138</v>
      </c>
      <c r="F14" s="16" t="s">
        <v>59</v>
      </c>
      <c r="G14" s="16" t="s">
        <v>86</v>
      </c>
    </row>
    <row r="15" spans="2:7" ht="15.5" x14ac:dyDescent="0.35">
      <c r="E15" s="1" t="s">
        <v>139</v>
      </c>
      <c r="F15" s="16"/>
      <c r="G15" s="16"/>
    </row>
    <row r="16" spans="2:7" ht="15.5" x14ac:dyDescent="0.35">
      <c r="E16" s="1" t="s">
        <v>140</v>
      </c>
      <c r="F16" s="16" t="s">
        <v>60</v>
      </c>
      <c r="G16" s="16" t="s">
        <v>81</v>
      </c>
    </row>
    <row r="17" spans="5:7" ht="15.5" x14ac:dyDescent="0.35">
      <c r="E17" s="1" t="s">
        <v>141</v>
      </c>
      <c r="F17" s="16" t="s">
        <v>61</v>
      </c>
      <c r="G17" s="16" t="s">
        <v>81</v>
      </c>
    </row>
    <row r="18" spans="5:7" ht="15.5" x14ac:dyDescent="0.35">
      <c r="E18" s="1" t="s">
        <v>142</v>
      </c>
      <c r="F18" s="16"/>
      <c r="G18" s="16"/>
    </row>
    <row r="19" spans="5:7" ht="15.5" x14ac:dyDescent="0.35">
      <c r="E19" s="1" t="s">
        <v>143</v>
      </c>
      <c r="F19" s="16"/>
      <c r="G19" s="16"/>
    </row>
    <row r="20" spans="5:7" ht="15.5" x14ac:dyDescent="0.35">
      <c r="E20" s="1" t="s">
        <v>144</v>
      </c>
      <c r="F20" s="16" t="s">
        <v>52</v>
      </c>
      <c r="G20" s="16" t="s">
        <v>84</v>
      </c>
    </row>
    <row r="21" spans="5:7" ht="15.5" x14ac:dyDescent="0.35">
      <c r="E21" s="1" t="s">
        <v>145</v>
      </c>
      <c r="F21" s="16" t="s">
        <v>52</v>
      </c>
      <c r="G21" s="16" t="s">
        <v>87</v>
      </c>
    </row>
    <row r="22" spans="5:7" ht="15.5" x14ac:dyDescent="0.35">
      <c r="E22" s="1" t="s">
        <v>146</v>
      </c>
      <c r="F22" s="16" t="s">
        <v>52</v>
      </c>
      <c r="G22" s="16" t="s">
        <v>88</v>
      </c>
    </row>
    <row r="23" spans="5:7" ht="15.5" x14ac:dyDescent="0.35">
      <c r="E23" s="1" t="s">
        <v>147</v>
      </c>
      <c r="F23" s="16" t="s">
        <v>52</v>
      </c>
      <c r="G23" s="16" t="s">
        <v>85</v>
      </c>
    </row>
    <row r="24" spans="5:7" ht="15.5" x14ac:dyDescent="0.35">
      <c r="E24" s="1" t="s">
        <v>148</v>
      </c>
      <c r="F24" s="16" t="s">
        <v>52</v>
      </c>
      <c r="G24" s="16" t="s">
        <v>89</v>
      </c>
    </row>
    <row r="25" spans="5:7" ht="15.5" x14ac:dyDescent="0.35">
      <c r="E25" s="1" t="s">
        <v>149</v>
      </c>
      <c r="F25" s="16" t="s">
        <v>52</v>
      </c>
      <c r="G25" s="16" t="s">
        <v>90</v>
      </c>
    </row>
    <row r="26" spans="5:7" ht="15.5" x14ac:dyDescent="0.35">
      <c r="E26" s="1" t="s">
        <v>150</v>
      </c>
      <c r="F26" s="16" t="s">
        <v>52</v>
      </c>
      <c r="G26" s="16" t="s">
        <v>81</v>
      </c>
    </row>
    <row r="27" spans="5:7" ht="15.5" x14ac:dyDescent="0.35">
      <c r="E27" s="1" t="s">
        <v>151</v>
      </c>
      <c r="F27" s="16" t="s">
        <v>52</v>
      </c>
      <c r="G27" s="16" t="s">
        <v>91</v>
      </c>
    </row>
    <row r="28" spans="5:7" ht="15.5" x14ac:dyDescent="0.35">
      <c r="E28" s="1" t="s">
        <v>152</v>
      </c>
      <c r="F28" s="16" t="s">
        <v>52</v>
      </c>
      <c r="G28" s="16" t="s">
        <v>91</v>
      </c>
    </row>
    <row r="29" spans="5:7" ht="15.5" x14ac:dyDescent="0.35">
      <c r="E29" s="1" t="s">
        <v>153</v>
      </c>
      <c r="F29" s="16" t="s">
        <v>52</v>
      </c>
      <c r="G29" s="16" t="s">
        <v>92</v>
      </c>
    </row>
    <row r="30" spans="5:7" ht="15.5" x14ac:dyDescent="0.35">
      <c r="E30" s="1" t="s">
        <v>154</v>
      </c>
      <c r="F30" s="16" t="s">
        <v>52</v>
      </c>
      <c r="G30" s="16" t="s">
        <v>93</v>
      </c>
    </row>
    <row r="31" spans="5:7" ht="15.5" x14ac:dyDescent="0.35">
      <c r="E31" s="1" t="s">
        <v>155</v>
      </c>
      <c r="F31" s="16" t="s">
        <v>52</v>
      </c>
      <c r="G31" s="16" t="s">
        <v>94</v>
      </c>
    </row>
    <row r="32" spans="5:7" ht="15.5" x14ac:dyDescent="0.35">
      <c r="E32" s="1" t="s">
        <v>156</v>
      </c>
      <c r="F32" s="16" t="s">
        <v>52</v>
      </c>
      <c r="G32" s="16" t="s">
        <v>80</v>
      </c>
    </row>
    <row r="33" spans="5:7" ht="15.5" x14ac:dyDescent="0.35">
      <c r="E33" s="1" t="s">
        <v>157</v>
      </c>
      <c r="F33" s="16" t="s">
        <v>52</v>
      </c>
      <c r="G33" s="16" t="s">
        <v>95</v>
      </c>
    </row>
    <row r="34" spans="5:7" ht="15.5" x14ac:dyDescent="0.35">
      <c r="E34" s="1" t="s">
        <v>158</v>
      </c>
      <c r="F34" s="16" t="s">
        <v>52</v>
      </c>
      <c r="G34" s="16" t="s">
        <v>95</v>
      </c>
    </row>
    <row r="35" spans="5:7" ht="15.5" x14ac:dyDescent="0.35">
      <c r="E35" s="1" t="s">
        <v>159</v>
      </c>
      <c r="F35" s="16" t="s">
        <v>52</v>
      </c>
      <c r="G35" s="16" t="s">
        <v>96</v>
      </c>
    </row>
    <row r="36" spans="5:7" ht="15.5" x14ac:dyDescent="0.35">
      <c r="E36" s="1" t="s">
        <v>160</v>
      </c>
      <c r="F36" s="16" t="s">
        <v>52</v>
      </c>
      <c r="G36" s="16" t="s">
        <v>97</v>
      </c>
    </row>
    <row r="37" spans="5:7" ht="15.5" x14ac:dyDescent="0.35">
      <c r="E37" s="1" t="s">
        <v>161</v>
      </c>
      <c r="F37" s="16" t="s">
        <v>52</v>
      </c>
      <c r="G37" s="16" t="s">
        <v>98</v>
      </c>
    </row>
    <row r="38" spans="5:7" ht="15.5" x14ac:dyDescent="0.35">
      <c r="E38" s="1" t="s">
        <v>162</v>
      </c>
      <c r="F38" s="16" t="s">
        <v>52</v>
      </c>
      <c r="G38" s="16" t="s">
        <v>98</v>
      </c>
    </row>
    <row r="39" spans="5:7" ht="15.5" x14ac:dyDescent="0.35">
      <c r="E39" s="1" t="s">
        <v>163</v>
      </c>
      <c r="F39" s="16" t="s">
        <v>52</v>
      </c>
      <c r="G39" s="16" t="s">
        <v>98</v>
      </c>
    </row>
    <row r="40" spans="5:7" ht="15.5" x14ac:dyDescent="0.35">
      <c r="E40" s="1" t="s">
        <v>164</v>
      </c>
      <c r="F40" s="16" t="s">
        <v>52</v>
      </c>
      <c r="G40" s="16" t="s">
        <v>98</v>
      </c>
    </row>
    <row r="41" spans="5:7" ht="15.5" x14ac:dyDescent="0.35">
      <c r="E41" s="1" t="s">
        <v>165</v>
      </c>
      <c r="F41" s="16" t="s">
        <v>52</v>
      </c>
      <c r="G41" s="16" t="s">
        <v>98</v>
      </c>
    </row>
    <row r="42" spans="5:7" ht="15.5" x14ac:dyDescent="0.35">
      <c r="E42" s="1" t="s">
        <v>166</v>
      </c>
      <c r="F42" s="16" t="s">
        <v>52</v>
      </c>
      <c r="G42" s="16" t="s">
        <v>99</v>
      </c>
    </row>
    <row r="43" spans="5:7" ht="15.5" x14ac:dyDescent="0.35">
      <c r="E43" s="1" t="s">
        <v>167</v>
      </c>
      <c r="F43" s="16" t="s">
        <v>52</v>
      </c>
      <c r="G43" s="16" t="s">
        <v>100</v>
      </c>
    </row>
    <row r="44" spans="5:7" ht="15.5" x14ac:dyDescent="0.35">
      <c r="E44" s="1" t="s">
        <v>168</v>
      </c>
      <c r="F44" s="16" t="s">
        <v>52</v>
      </c>
      <c r="G44" s="16" t="s">
        <v>100</v>
      </c>
    </row>
    <row r="45" spans="5:7" ht="15.5" x14ac:dyDescent="0.35">
      <c r="E45" s="1" t="s">
        <v>169</v>
      </c>
      <c r="F45" s="16" t="s">
        <v>52</v>
      </c>
      <c r="G45" s="16" t="s">
        <v>100</v>
      </c>
    </row>
    <row r="46" spans="5:7" ht="15.5" x14ac:dyDescent="0.35">
      <c r="E46" s="1" t="s">
        <v>170</v>
      </c>
      <c r="F46" s="16" t="s">
        <v>52</v>
      </c>
      <c r="G46" s="16"/>
    </row>
    <row r="47" spans="5:7" ht="15.5" x14ac:dyDescent="0.35">
      <c r="E47" s="1" t="s">
        <v>171</v>
      </c>
      <c r="F47" s="16" t="s">
        <v>52</v>
      </c>
      <c r="G47" s="16" t="s">
        <v>100</v>
      </c>
    </row>
    <row r="48" spans="5:7" ht="15.5" x14ac:dyDescent="0.35">
      <c r="E48" s="1" t="s">
        <v>172</v>
      </c>
      <c r="F48" s="16" t="s">
        <v>52</v>
      </c>
      <c r="G48" s="16" t="s">
        <v>100</v>
      </c>
    </row>
    <row r="49" spans="5:7" ht="15.5" x14ac:dyDescent="0.35">
      <c r="E49" s="1" t="s">
        <v>173</v>
      </c>
      <c r="F49" s="16" t="s">
        <v>52</v>
      </c>
      <c r="G49" s="16" t="s">
        <v>101</v>
      </c>
    </row>
    <row r="50" spans="5:7" ht="15.5" x14ac:dyDescent="0.35">
      <c r="E50" s="1" t="s">
        <v>174</v>
      </c>
      <c r="F50" s="16" t="s">
        <v>52</v>
      </c>
      <c r="G50" s="16" t="s">
        <v>101</v>
      </c>
    </row>
    <row r="51" spans="5:7" ht="15.5" x14ac:dyDescent="0.35">
      <c r="E51" s="1" t="s">
        <v>175</v>
      </c>
      <c r="F51" s="16" t="s">
        <v>52</v>
      </c>
      <c r="G51" s="16" t="s">
        <v>101</v>
      </c>
    </row>
    <row r="52" spans="5:7" ht="15.5" x14ac:dyDescent="0.35">
      <c r="E52" s="1" t="s">
        <v>176</v>
      </c>
      <c r="F52" s="16" t="s">
        <v>52</v>
      </c>
      <c r="G52" s="16" t="s">
        <v>102</v>
      </c>
    </row>
    <row r="53" spans="5:7" ht="15.5" x14ac:dyDescent="0.35">
      <c r="E53" s="1" t="s">
        <v>177</v>
      </c>
      <c r="F53" s="16" t="s">
        <v>52</v>
      </c>
      <c r="G53" s="16" t="s">
        <v>103</v>
      </c>
    </row>
    <row r="54" spans="5:7" ht="15.5" x14ac:dyDescent="0.35">
      <c r="E54" s="1" t="s">
        <v>178</v>
      </c>
      <c r="F54" s="16" t="s">
        <v>52</v>
      </c>
      <c r="G54" s="16" t="s">
        <v>104</v>
      </c>
    </row>
    <row r="55" spans="5:7" ht="15.5" x14ac:dyDescent="0.35">
      <c r="E55" s="1" t="s">
        <v>179</v>
      </c>
      <c r="F55" s="16" t="s">
        <v>52</v>
      </c>
      <c r="G55" s="16" t="s">
        <v>105</v>
      </c>
    </row>
    <row r="56" spans="5:7" ht="15.5" x14ac:dyDescent="0.35">
      <c r="E56" s="1" t="s">
        <v>180</v>
      </c>
      <c r="F56" s="16" t="s">
        <v>52</v>
      </c>
      <c r="G56" s="16"/>
    </row>
    <row r="57" spans="5:7" ht="15.5" x14ac:dyDescent="0.35">
      <c r="E57" s="1" t="s">
        <v>181</v>
      </c>
      <c r="F57" s="16" t="s">
        <v>52</v>
      </c>
      <c r="G57" s="16" t="s">
        <v>106</v>
      </c>
    </row>
    <row r="58" spans="5:7" ht="15.5" x14ac:dyDescent="0.35">
      <c r="E58" s="1" t="s">
        <v>182</v>
      </c>
      <c r="F58" s="16" t="s">
        <v>52</v>
      </c>
      <c r="G58" s="16" t="s">
        <v>107</v>
      </c>
    </row>
    <row r="59" spans="5:7" ht="15.5" x14ac:dyDescent="0.35">
      <c r="E59" s="1" t="s">
        <v>183</v>
      </c>
      <c r="F59" s="16" t="s">
        <v>52</v>
      </c>
      <c r="G59" s="16" t="s">
        <v>97</v>
      </c>
    </row>
    <row r="60" spans="5:7" ht="15.5" x14ac:dyDescent="0.35">
      <c r="E60" s="1" t="s">
        <v>184</v>
      </c>
      <c r="F60" s="16" t="s">
        <v>52</v>
      </c>
      <c r="G60" s="16" t="s">
        <v>97</v>
      </c>
    </row>
    <row r="61" spans="5:7" ht="15.5" x14ac:dyDescent="0.35">
      <c r="E61" s="1" t="s">
        <v>185</v>
      </c>
      <c r="F61" s="16" t="s">
        <v>52</v>
      </c>
      <c r="G61" s="16" t="s">
        <v>108</v>
      </c>
    </row>
    <row r="62" spans="5:7" ht="15.5" x14ac:dyDescent="0.35">
      <c r="E62" s="1" t="s">
        <v>186</v>
      </c>
      <c r="F62" s="16" t="s">
        <v>52</v>
      </c>
      <c r="G62" s="16" t="s">
        <v>108</v>
      </c>
    </row>
    <row r="63" spans="5:7" ht="15.5" x14ac:dyDescent="0.35">
      <c r="E63" s="1" t="s">
        <v>187</v>
      </c>
      <c r="F63" s="16" t="s">
        <v>52</v>
      </c>
      <c r="G63" s="16"/>
    </row>
    <row r="64" spans="5:7" ht="15.5" x14ac:dyDescent="0.35">
      <c r="E64" s="1" t="s">
        <v>188</v>
      </c>
      <c r="F64" s="16" t="s">
        <v>66</v>
      </c>
      <c r="G64" s="16" t="s">
        <v>117</v>
      </c>
    </row>
    <row r="65" spans="5:7" ht="15.5" x14ac:dyDescent="0.35">
      <c r="E65" s="1" t="s">
        <v>189</v>
      </c>
      <c r="F65" s="16" t="s">
        <v>57</v>
      </c>
      <c r="G65" s="16"/>
    </row>
    <row r="66" spans="5:7" ht="15.5" x14ac:dyDescent="0.35">
      <c r="E66" s="1" t="s">
        <v>190</v>
      </c>
      <c r="F66" s="16" t="s">
        <v>67</v>
      </c>
      <c r="G66" s="16" t="s">
        <v>80</v>
      </c>
    </row>
    <row r="67" spans="5:7" ht="15.5" x14ac:dyDescent="0.35">
      <c r="E67" s="1" t="s">
        <v>191</v>
      </c>
      <c r="F67" s="16" t="s">
        <v>68</v>
      </c>
      <c r="G67" s="16" t="s">
        <v>114</v>
      </c>
    </row>
    <row r="68" spans="5:7" ht="15.5" x14ac:dyDescent="0.35">
      <c r="E68" s="1" t="s">
        <v>192</v>
      </c>
      <c r="F68" s="16" t="s">
        <v>70</v>
      </c>
      <c r="G68" s="16" t="s">
        <v>115</v>
      </c>
    </row>
    <row r="69" spans="5:7" ht="15.5" x14ac:dyDescent="0.35">
      <c r="E69" s="1" t="s">
        <v>193</v>
      </c>
      <c r="F69" s="16" t="s">
        <v>64</v>
      </c>
      <c r="G69" s="16" t="s">
        <v>112</v>
      </c>
    </row>
    <row r="70" spans="5:7" ht="15.5" x14ac:dyDescent="0.35">
      <c r="E70" s="1" t="s">
        <v>194</v>
      </c>
      <c r="F70" s="16" t="s">
        <v>62</v>
      </c>
      <c r="G70" s="16" t="s">
        <v>84</v>
      </c>
    </row>
    <row r="71" spans="5:7" ht="15.5" x14ac:dyDescent="0.35">
      <c r="E71" s="1" t="s">
        <v>195</v>
      </c>
      <c r="F71" s="16" t="s">
        <v>52</v>
      </c>
      <c r="G71" s="16" t="s">
        <v>104</v>
      </c>
    </row>
    <row r="72" spans="5:7" ht="15.5" x14ac:dyDescent="0.35">
      <c r="E72" s="1" t="s">
        <v>196</v>
      </c>
      <c r="F72" s="16" t="s">
        <v>52</v>
      </c>
      <c r="G72" s="16" t="s">
        <v>104</v>
      </c>
    </row>
    <row r="73" spans="5:7" ht="15.5" x14ac:dyDescent="0.35">
      <c r="E73" s="1" t="s">
        <v>197</v>
      </c>
      <c r="F73" s="16" t="s">
        <v>65</v>
      </c>
      <c r="G73" s="16" t="s">
        <v>118</v>
      </c>
    </row>
    <row r="74" spans="5:7" ht="15.5" x14ac:dyDescent="0.35">
      <c r="E74" s="1" t="s">
        <v>198</v>
      </c>
      <c r="F74" s="16" t="s">
        <v>69</v>
      </c>
      <c r="G74" s="16" t="s">
        <v>116</v>
      </c>
    </row>
    <row r="75" spans="5:7" ht="15.5" x14ac:dyDescent="0.35">
      <c r="E75" s="1" t="s">
        <v>199</v>
      </c>
      <c r="F75" s="16" t="s">
        <v>69</v>
      </c>
      <c r="G75" s="16" t="s">
        <v>116</v>
      </c>
    </row>
    <row r="76" spans="5:7" ht="15.5" x14ac:dyDescent="0.35">
      <c r="E76" s="1" t="s">
        <v>200</v>
      </c>
      <c r="F76" s="16" t="s">
        <v>69</v>
      </c>
      <c r="G76" s="16" t="s">
        <v>116</v>
      </c>
    </row>
    <row r="77" spans="5:7" ht="15.5" x14ac:dyDescent="0.35">
      <c r="E77" s="1" t="s">
        <v>201</v>
      </c>
      <c r="F77" s="16" t="s">
        <v>52</v>
      </c>
      <c r="G77" s="16" t="s">
        <v>119</v>
      </c>
    </row>
    <row r="78" spans="5:7" ht="15.5" x14ac:dyDescent="0.35">
      <c r="E78" s="1" t="s">
        <v>202</v>
      </c>
      <c r="F78" s="16" t="s">
        <v>71</v>
      </c>
      <c r="G78" s="16" t="s">
        <v>110</v>
      </c>
    </row>
    <row r="79" spans="5:7" ht="15.5" x14ac:dyDescent="0.35">
      <c r="E79" s="1" t="s">
        <v>203</v>
      </c>
      <c r="F79" s="16"/>
      <c r="G79" s="16"/>
    </row>
    <row r="80" spans="5:7" ht="15.5" x14ac:dyDescent="0.35">
      <c r="E80" s="1" t="s">
        <v>204</v>
      </c>
      <c r="F80" s="16"/>
      <c r="G80" s="16" t="s">
        <v>109</v>
      </c>
    </row>
    <row r="81" spans="5:7" ht="15.5" x14ac:dyDescent="0.35">
      <c r="E81" s="1" t="s">
        <v>205</v>
      </c>
      <c r="F81" s="16" t="s">
        <v>72</v>
      </c>
      <c r="G81" s="16" t="s">
        <v>113</v>
      </c>
    </row>
    <row r="82" spans="5:7" ht="15.5" x14ac:dyDescent="0.35">
      <c r="E82" s="1" t="s">
        <v>206</v>
      </c>
      <c r="F82" s="16" t="s">
        <v>73</v>
      </c>
      <c r="G82" s="16" t="s">
        <v>113</v>
      </c>
    </row>
    <row r="83" spans="5:7" ht="15.5" x14ac:dyDescent="0.35">
      <c r="E83" s="1" t="s">
        <v>207</v>
      </c>
      <c r="F83" s="16" t="s">
        <v>63</v>
      </c>
      <c r="G83" s="16" t="s">
        <v>113</v>
      </c>
    </row>
    <row r="84" spans="5:7" ht="15.5" x14ac:dyDescent="0.35">
      <c r="E84" s="1" t="s">
        <v>208</v>
      </c>
      <c r="F84" s="16" t="s">
        <v>52</v>
      </c>
      <c r="G84" s="16" t="s">
        <v>111</v>
      </c>
    </row>
    <row r="85" spans="5:7" ht="15.5" x14ac:dyDescent="0.35">
      <c r="E85" s="1" t="s">
        <v>209</v>
      </c>
      <c r="F85" s="16" t="s">
        <v>74</v>
      </c>
      <c r="G85" s="16" t="s">
        <v>111</v>
      </c>
    </row>
    <row r="86" spans="5:7" ht="15.5" x14ac:dyDescent="0.35">
      <c r="E86" s="1" t="s">
        <v>210</v>
      </c>
      <c r="F86" s="16" t="s">
        <v>52</v>
      </c>
      <c r="G86" s="16" t="s">
        <v>120</v>
      </c>
    </row>
    <row r="87" spans="5:7" ht="15.5" x14ac:dyDescent="0.35">
      <c r="E87" s="1" t="s">
        <v>211</v>
      </c>
      <c r="F87" s="16" t="s">
        <v>75</v>
      </c>
      <c r="G87" s="16"/>
    </row>
    <row r="88" spans="5:7" ht="15.5" x14ac:dyDescent="0.35">
      <c r="E88" s="1" t="s">
        <v>212</v>
      </c>
      <c r="F88" s="16" t="s">
        <v>76</v>
      </c>
      <c r="G88" s="16"/>
    </row>
    <row r="89" spans="5:7" ht="15.5" x14ac:dyDescent="0.35">
      <c r="E89" s="1" t="s">
        <v>213</v>
      </c>
      <c r="F89" s="16"/>
      <c r="G89" s="16" t="s">
        <v>91</v>
      </c>
    </row>
    <row r="90" spans="5:7" ht="15.5" x14ac:dyDescent="0.35">
      <c r="E90" s="1" t="s">
        <v>214</v>
      </c>
      <c r="F90" s="16"/>
      <c r="G90" s="16"/>
    </row>
    <row r="91" spans="5:7" ht="15.5" x14ac:dyDescent="0.35">
      <c r="E91" s="1" t="s">
        <v>215</v>
      </c>
      <c r="F91" s="16"/>
      <c r="G91" s="16" t="s">
        <v>99</v>
      </c>
    </row>
    <row r="92" spans="5:7" ht="15.5" x14ac:dyDescent="0.35">
      <c r="E92" s="1" t="s">
        <v>216</v>
      </c>
      <c r="F92" s="16" t="s">
        <v>52</v>
      </c>
      <c r="G92" s="16" t="s">
        <v>121</v>
      </c>
    </row>
    <row r="93" spans="5:7" ht="15.5" x14ac:dyDescent="0.35">
      <c r="E93" s="1" t="s">
        <v>217</v>
      </c>
      <c r="F93" s="16" t="s">
        <v>52</v>
      </c>
      <c r="G93" s="16" t="s">
        <v>121</v>
      </c>
    </row>
    <row r="94" spans="5:7" ht="15.5" x14ac:dyDescent="0.35">
      <c r="E94" s="1" t="s">
        <v>218</v>
      </c>
      <c r="F94" s="16" t="s">
        <v>52</v>
      </c>
      <c r="G94" s="16" t="s">
        <v>121</v>
      </c>
    </row>
    <row r="95" spans="5:7" ht="15.5" x14ac:dyDescent="0.35">
      <c r="E95" s="1" t="s">
        <v>219</v>
      </c>
      <c r="F95" s="16" t="s">
        <v>52</v>
      </c>
      <c r="G95" s="16" t="s">
        <v>121</v>
      </c>
    </row>
    <row r="96" spans="5:7" ht="15.5" x14ac:dyDescent="0.35">
      <c r="E96" s="1" t="s">
        <v>220</v>
      </c>
      <c r="F96" s="16" t="s">
        <v>52</v>
      </c>
      <c r="G96" s="16" t="s">
        <v>122</v>
      </c>
    </row>
    <row r="97" spans="5:7" ht="15.5" x14ac:dyDescent="0.35">
      <c r="E97" s="1" t="s">
        <v>221</v>
      </c>
      <c r="F97" s="16" t="s">
        <v>52</v>
      </c>
      <c r="G97" s="16" t="s">
        <v>121</v>
      </c>
    </row>
    <row r="98" spans="5:7" ht="15.5" x14ac:dyDescent="0.35">
      <c r="E98" s="1" t="s">
        <v>222</v>
      </c>
      <c r="F98" s="16" t="s">
        <v>52</v>
      </c>
      <c r="G98" s="16" t="s">
        <v>121</v>
      </c>
    </row>
    <row r="99" spans="5:7" ht="15.5" x14ac:dyDescent="0.35">
      <c r="E99" s="1" t="s">
        <v>223</v>
      </c>
      <c r="F99" s="16" t="s">
        <v>52</v>
      </c>
      <c r="G99" s="16" t="s">
        <v>121</v>
      </c>
    </row>
    <row r="100" spans="5:7" ht="15.5" x14ac:dyDescent="0.35">
      <c r="E100" s="1" t="s">
        <v>224</v>
      </c>
      <c r="F100" s="16" t="s">
        <v>52</v>
      </c>
      <c r="G100" s="16" t="s">
        <v>121</v>
      </c>
    </row>
    <row r="101" spans="5:7" ht="15.5" x14ac:dyDescent="0.35">
      <c r="E101" s="1" t="s">
        <v>225</v>
      </c>
      <c r="F101" s="16" t="s">
        <v>52</v>
      </c>
      <c r="G101" s="16" t="s">
        <v>121</v>
      </c>
    </row>
    <row r="102" spans="5:7" ht="15.5" x14ac:dyDescent="0.35">
      <c r="E102" s="1" t="s">
        <v>226</v>
      </c>
      <c r="F102" s="16" t="s">
        <v>52</v>
      </c>
      <c r="G102" s="16" t="s">
        <v>121</v>
      </c>
    </row>
    <row r="103" spans="5:7" ht="15.5" x14ac:dyDescent="0.35">
      <c r="E103" s="1" t="s">
        <v>227</v>
      </c>
      <c r="F103" s="16" t="s">
        <v>52</v>
      </c>
      <c r="G103" s="16" t="s">
        <v>121</v>
      </c>
    </row>
    <row r="104" spans="5:7" ht="15.5" x14ac:dyDescent="0.35">
      <c r="E104" s="1" t="s">
        <v>228</v>
      </c>
      <c r="F104" s="16" t="s">
        <v>52</v>
      </c>
      <c r="G104" s="16" t="s">
        <v>121</v>
      </c>
    </row>
    <row r="105" spans="5:7" ht="15.5" x14ac:dyDescent="0.35">
      <c r="E105" s="1" t="s">
        <v>229</v>
      </c>
      <c r="F105" s="16" t="s">
        <v>52</v>
      </c>
      <c r="G105" s="16" t="s">
        <v>121</v>
      </c>
    </row>
    <row r="106" spans="5:7" ht="15.5" x14ac:dyDescent="0.35">
      <c r="E106" s="1" t="s">
        <v>230</v>
      </c>
      <c r="F106" s="16" t="s">
        <v>52</v>
      </c>
      <c r="G106" s="16" t="s">
        <v>121</v>
      </c>
    </row>
    <row r="107" spans="5:7" ht="15.5" x14ac:dyDescent="0.35">
      <c r="E107" s="1" t="s">
        <v>231</v>
      </c>
      <c r="F107" s="16" t="s">
        <v>52</v>
      </c>
      <c r="G107" s="16" t="s">
        <v>122</v>
      </c>
    </row>
    <row r="108" spans="5:7" ht="15.5" x14ac:dyDescent="0.35">
      <c r="E108" s="1" t="s">
        <v>232</v>
      </c>
      <c r="F108" s="16" t="s">
        <v>52</v>
      </c>
      <c r="G108" s="16" t="s">
        <v>122</v>
      </c>
    </row>
    <row r="109" spans="5:7" ht="15.5" x14ac:dyDescent="0.35">
      <c r="E109" s="1" t="s">
        <v>233</v>
      </c>
      <c r="F109" s="16" t="s">
        <v>52</v>
      </c>
      <c r="G109" s="16" t="s">
        <v>121</v>
      </c>
    </row>
    <row r="110" spans="5:7" ht="15.5" x14ac:dyDescent="0.35">
      <c r="E110" s="1" t="s">
        <v>234</v>
      </c>
      <c r="F110" s="16" t="s">
        <v>52</v>
      </c>
      <c r="G110" s="16" t="s">
        <v>121</v>
      </c>
    </row>
    <row r="111" spans="5:7" ht="15.5" x14ac:dyDescent="0.35">
      <c r="E111" s="1" t="s">
        <v>235</v>
      </c>
      <c r="F111" s="16" t="s">
        <v>52</v>
      </c>
      <c r="G111" s="16" t="s">
        <v>123</v>
      </c>
    </row>
    <row r="112" spans="5:7" ht="15.5" x14ac:dyDescent="0.35">
      <c r="E112" s="1" t="s">
        <v>236</v>
      </c>
      <c r="F112" s="16" t="s">
        <v>77</v>
      </c>
      <c r="G112" s="16" t="s">
        <v>86</v>
      </c>
    </row>
    <row r="113" spans="5:7" ht="15.5" x14ac:dyDescent="0.35">
      <c r="E113" s="1" t="s">
        <v>237</v>
      </c>
      <c r="F113" s="16" t="s">
        <v>78</v>
      </c>
      <c r="G113" s="16" t="s">
        <v>81</v>
      </c>
    </row>
    <row r="114" spans="5:7" ht="15.5" x14ac:dyDescent="0.35">
      <c r="E114" s="1" t="s">
        <v>238</v>
      </c>
      <c r="F114" s="16" t="s">
        <v>79</v>
      </c>
      <c r="G114" s="16" t="s">
        <v>124</v>
      </c>
    </row>
    <row r="115" spans="5:7" ht="15.5" x14ac:dyDescent="0.35">
      <c r="E115" s="1" t="s">
        <v>239</v>
      </c>
      <c r="F115" s="16" t="s">
        <v>79</v>
      </c>
      <c r="G115" s="16" t="s">
        <v>124</v>
      </c>
    </row>
    <row r="116" spans="5:7" ht="15.5" x14ac:dyDescent="0.35">
      <c r="E116" s="1" t="s">
        <v>240</v>
      </c>
      <c r="F116" s="16" t="s">
        <v>79</v>
      </c>
      <c r="G116" s="16" t="s">
        <v>124</v>
      </c>
    </row>
    <row r="117" spans="5:7" x14ac:dyDescent="0.35">
      <c r="E117" s="1" t="s">
        <v>241</v>
      </c>
      <c r="G117" s="1" t="s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F2AE-0906-457C-B8B5-601181455706}">
  <dimension ref="A1:J117"/>
  <sheetViews>
    <sheetView topLeftCell="A60" workbookViewId="0">
      <selection activeCell="F3" sqref="F3"/>
    </sheetView>
  </sheetViews>
  <sheetFormatPr defaultRowHeight="15.5" x14ac:dyDescent="0.35"/>
  <cols>
    <col min="1" max="1" width="18.08984375" style="16" customWidth="1"/>
    <col min="2" max="2" width="13.7265625" style="16" customWidth="1"/>
    <col min="3" max="3" width="10.7265625" style="16" customWidth="1"/>
    <col min="4" max="5" width="12.1796875" style="16" customWidth="1"/>
    <col min="6" max="6" width="13.26953125" style="16" customWidth="1"/>
    <col min="7" max="7" width="13.1796875" style="16" customWidth="1"/>
    <col min="8" max="8" width="14.81640625" style="16" customWidth="1"/>
    <col min="9" max="10" width="10.81640625" style="16" customWidth="1"/>
    <col min="11" max="16384" width="8.7265625" style="16"/>
  </cols>
  <sheetData>
    <row r="1" spans="1:10" x14ac:dyDescent="0.35">
      <c r="A1" s="16" t="s">
        <v>383</v>
      </c>
      <c r="B1" s="16" t="s">
        <v>47</v>
      </c>
      <c r="C1" s="16" t="s">
        <v>12</v>
      </c>
      <c r="D1" s="16" t="s">
        <v>10</v>
      </c>
      <c r="E1" s="16" t="s">
        <v>11</v>
      </c>
      <c r="F1" s="16" t="s">
        <v>16</v>
      </c>
      <c r="G1" s="16" t="s">
        <v>18</v>
      </c>
      <c r="H1" s="16" t="s">
        <v>19</v>
      </c>
      <c r="I1" s="16" t="s">
        <v>22</v>
      </c>
      <c r="J1" s="16" t="s">
        <v>23</v>
      </c>
    </row>
    <row r="2" spans="1:10" x14ac:dyDescent="0.35">
      <c r="A2" s="16" t="s">
        <v>126</v>
      </c>
      <c r="B2" s="16">
        <v>5</v>
      </c>
      <c r="C2" s="16">
        <v>3</v>
      </c>
      <c r="D2" s="16">
        <v>3</v>
      </c>
      <c r="E2" s="16">
        <v>3</v>
      </c>
      <c r="F2" s="16">
        <v>9</v>
      </c>
      <c r="G2" s="16">
        <v>1</v>
      </c>
      <c r="H2" s="16">
        <v>3</v>
      </c>
      <c r="I2" s="16">
        <v>2</v>
      </c>
      <c r="J2" s="16">
        <v>5</v>
      </c>
    </row>
    <row r="3" spans="1:10" x14ac:dyDescent="0.35">
      <c r="A3" s="16" t="s">
        <v>127</v>
      </c>
      <c r="B3" s="16">
        <v>3</v>
      </c>
      <c r="C3" s="16">
        <v>0</v>
      </c>
      <c r="D3" s="16">
        <v>5</v>
      </c>
      <c r="E3" s="16">
        <v>3</v>
      </c>
      <c r="F3" s="16">
        <v>5</v>
      </c>
      <c r="G3" s="16">
        <v>1</v>
      </c>
      <c r="H3" s="16">
        <v>3</v>
      </c>
      <c r="I3" s="16">
        <v>1</v>
      </c>
      <c r="J3" s="16">
        <v>5</v>
      </c>
    </row>
    <row r="4" spans="1:10" x14ac:dyDescent="0.35">
      <c r="A4" s="16" t="s">
        <v>128</v>
      </c>
      <c r="B4" s="16">
        <v>7</v>
      </c>
      <c r="C4" s="16">
        <v>7</v>
      </c>
      <c r="D4" s="16">
        <v>3</v>
      </c>
      <c r="E4" s="16">
        <v>5</v>
      </c>
      <c r="F4" s="16">
        <v>5</v>
      </c>
      <c r="G4" s="16">
        <v>1</v>
      </c>
      <c r="H4" s="16">
        <v>0</v>
      </c>
      <c r="I4" s="16">
        <v>2</v>
      </c>
      <c r="J4" s="16">
        <v>5</v>
      </c>
    </row>
    <row r="5" spans="1:10" x14ac:dyDescent="0.35">
      <c r="A5" s="16" t="s">
        <v>129</v>
      </c>
      <c r="B5" s="16">
        <v>7</v>
      </c>
      <c r="C5" s="16">
        <v>0</v>
      </c>
      <c r="D5" s="16">
        <v>5</v>
      </c>
      <c r="E5" s="16">
        <v>5</v>
      </c>
      <c r="F5" s="16">
        <v>5</v>
      </c>
      <c r="G5" s="16">
        <v>1</v>
      </c>
      <c r="H5" s="16">
        <v>0</v>
      </c>
      <c r="I5" s="16">
        <v>2</v>
      </c>
      <c r="J5" s="16">
        <v>5</v>
      </c>
    </row>
    <row r="6" spans="1:10" x14ac:dyDescent="0.35">
      <c r="A6" s="16" t="s">
        <v>130</v>
      </c>
      <c r="B6" s="16">
        <v>7</v>
      </c>
      <c r="C6" s="16">
        <v>0</v>
      </c>
      <c r="D6" s="16">
        <v>3</v>
      </c>
      <c r="E6" s="16">
        <v>3</v>
      </c>
      <c r="F6" s="16">
        <v>3</v>
      </c>
      <c r="G6" s="16">
        <v>2</v>
      </c>
      <c r="H6" s="16">
        <v>0</v>
      </c>
      <c r="I6" s="16">
        <v>2</v>
      </c>
      <c r="J6" s="16">
        <v>5</v>
      </c>
    </row>
    <row r="7" spans="1:10" x14ac:dyDescent="0.35">
      <c r="A7" s="16" t="s">
        <v>131</v>
      </c>
      <c r="B7" s="16">
        <v>7</v>
      </c>
      <c r="C7" s="16">
        <v>0</v>
      </c>
      <c r="D7" s="16">
        <v>3</v>
      </c>
      <c r="E7" s="16">
        <v>5</v>
      </c>
      <c r="F7" s="16">
        <v>3</v>
      </c>
      <c r="G7" s="16">
        <v>1</v>
      </c>
      <c r="H7" s="16">
        <v>0</v>
      </c>
      <c r="I7" s="16">
        <v>2</v>
      </c>
      <c r="J7" s="16">
        <v>5</v>
      </c>
    </row>
    <row r="8" spans="1:10" x14ac:dyDescent="0.35">
      <c r="A8" s="16" t="s">
        <v>132</v>
      </c>
      <c r="B8" s="16">
        <v>5</v>
      </c>
      <c r="C8" s="16">
        <v>3</v>
      </c>
      <c r="D8" s="16">
        <v>3</v>
      </c>
      <c r="E8" s="16">
        <v>5</v>
      </c>
      <c r="F8" s="16">
        <v>7</v>
      </c>
      <c r="G8" s="16">
        <v>2</v>
      </c>
      <c r="H8" s="16">
        <v>0</v>
      </c>
      <c r="I8" s="16">
        <v>2</v>
      </c>
      <c r="J8" s="16">
        <v>5</v>
      </c>
    </row>
    <row r="9" spans="1:10" x14ac:dyDescent="0.35">
      <c r="A9" s="16" t="s">
        <v>133</v>
      </c>
      <c r="B9" s="16">
        <v>7</v>
      </c>
      <c r="C9" s="16">
        <v>7</v>
      </c>
      <c r="D9" s="16">
        <v>3</v>
      </c>
      <c r="E9" s="16">
        <v>5</v>
      </c>
      <c r="F9" s="16">
        <v>5</v>
      </c>
      <c r="G9" s="16">
        <v>1</v>
      </c>
      <c r="H9" s="16">
        <v>0</v>
      </c>
      <c r="I9" s="16">
        <v>2</v>
      </c>
      <c r="J9" s="16">
        <v>5</v>
      </c>
    </row>
    <row r="10" spans="1:10" x14ac:dyDescent="0.35">
      <c r="A10" s="16" t="s">
        <v>134</v>
      </c>
      <c r="B10" s="16">
        <v>5</v>
      </c>
      <c r="C10" s="16">
        <v>7</v>
      </c>
      <c r="D10" s="16">
        <v>5</v>
      </c>
      <c r="E10" s="16">
        <v>3</v>
      </c>
      <c r="F10" s="16">
        <v>9</v>
      </c>
      <c r="G10" s="16">
        <v>3</v>
      </c>
      <c r="H10" s="16">
        <v>0</v>
      </c>
      <c r="I10" s="16">
        <v>1</v>
      </c>
      <c r="J10" s="16">
        <v>5</v>
      </c>
    </row>
    <row r="11" spans="1:10" x14ac:dyDescent="0.35">
      <c r="A11" s="16" t="s">
        <v>135</v>
      </c>
      <c r="B11" s="16">
        <v>7</v>
      </c>
      <c r="C11" s="16">
        <v>0</v>
      </c>
      <c r="D11" s="16">
        <v>3</v>
      </c>
      <c r="E11" s="16">
        <v>3</v>
      </c>
      <c r="F11" s="16">
        <v>5</v>
      </c>
      <c r="G11" s="16">
        <v>2</v>
      </c>
      <c r="H11" s="16">
        <v>3</v>
      </c>
      <c r="I11" s="16">
        <v>1</v>
      </c>
      <c r="J11" s="16">
        <v>5</v>
      </c>
    </row>
    <row r="12" spans="1:10" x14ac:dyDescent="0.35">
      <c r="A12" s="16" t="s">
        <v>136</v>
      </c>
      <c r="B12" s="16">
        <v>5</v>
      </c>
      <c r="C12" s="16">
        <v>7</v>
      </c>
      <c r="D12" s="16">
        <v>3</v>
      </c>
      <c r="E12" s="16">
        <v>3</v>
      </c>
      <c r="F12" s="16">
        <v>7</v>
      </c>
      <c r="G12" s="16">
        <v>1</v>
      </c>
      <c r="H12" s="16">
        <v>0</v>
      </c>
      <c r="I12" s="16">
        <v>2</v>
      </c>
      <c r="J12" s="16">
        <v>5</v>
      </c>
    </row>
    <row r="13" spans="1:10" x14ac:dyDescent="0.35">
      <c r="A13" s="16" t="s">
        <v>137</v>
      </c>
      <c r="B13" s="16">
        <v>5</v>
      </c>
      <c r="C13" s="16">
        <v>7</v>
      </c>
      <c r="D13" s="16">
        <v>7</v>
      </c>
      <c r="E13" s="16">
        <v>3</v>
      </c>
      <c r="F13" s="16">
        <v>5</v>
      </c>
      <c r="G13" s="16">
        <v>1</v>
      </c>
      <c r="H13" s="16">
        <v>0</v>
      </c>
      <c r="I13" s="16">
        <v>2</v>
      </c>
      <c r="J13" s="16">
        <v>5</v>
      </c>
    </row>
    <row r="14" spans="1:10" x14ac:dyDescent="0.35">
      <c r="A14" s="16" t="s">
        <v>138</v>
      </c>
      <c r="B14" s="16">
        <v>3</v>
      </c>
      <c r="C14" s="16">
        <v>7</v>
      </c>
      <c r="D14" s="16">
        <v>5</v>
      </c>
      <c r="E14" s="16">
        <v>3</v>
      </c>
      <c r="F14" s="16">
        <v>5</v>
      </c>
      <c r="G14" s="16">
        <v>1</v>
      </c>
      <c r="H14" s="16">
        <v>3</v>
      </c>
      <c r="I14" s="16">
        <v>1</v>
      </c>
      <c r="J14" s="16">
        <v>5</v>
      </c>
    </row>
    <row r="15" spans="1:10" x14ac:dyDescent="0.35">
      <c r="A15" s="16" t="s">
        <v>139</v>
      </c>
      <c r="B15" s="16">
        <v>7</v>
      </c>
      <c r="C15" s="16">
        <v>7</v>
      </c>
      <c r="D15" s="16">
        <v>5</v>
      </c>
      <c r="E15" s="16">
        <v>3</v>
      </c>
      <c r="F15" s="16">
        <v>7</v>
      </c>
      <c r="G15" s="16">
        <v>1</v>
      </c>
      <c r="H15" s="16">
        <v>0</v>
      </c>
      <c r="I15" s="16">
        <v>1</v>
      </c>
      <c r="J15" s="16">
        <v>7</v>
      </c>
    </row>
    <row r="16" spans="1:10" x14ac:dyDescent="0.35">
      <c r="A16" s="16" t="s">
        <v>140</v>
      </c>
      <c r="B16" s="16">
        <v>7</v>
      </c>
      <c r="C16" s="16">
        <v>7</v>
      </c>
      <c r="D16" s="16">
        <v>5</v>
      </c>
      <c r="E16" s="16">
        <v>3</v>
      </c>
      <c r="F16" s="16">
        <v>5</v>
      </c>
      <c r="G16" s="16">
        <v>1</v>
      </c>
      <c r="H16" s="16">
        <v>0</v>
      </c>
      <c r="I16" s="16">
        <v>1</v>
      </c>
      <c r="J16" s="16">
        <v>5</v>
      </c>
    </row>
    <row r="17" spans="1:10" x14ac:dyDescent="0.35">
      <c r="A17" s="16" t="s">
        <v>141</v>
      </c>
      <c r="B17" s="16">
        <v>7</v>
      </c>
      <c r="C17" s="16">
        <v>7</v>
      </c>
      <c r="D17" s="16">
        <v>5</v>
      </c>
      <c r="E17" s="16">
        <v>3</v>
      </c>
      <c r="F17" s="16">
        <v>5</v>
      </c>
      <c r="G17" s="16">
        <v>1</v>
      </c>
      <c r="H17" s="16">
        <v>0</v>
      </c>
      <c r="I17" s="16">
        <v>1</v>
      </c>
      <c r="J17" s="16">
        <v>7</v>
      </c>
    </row>
    <row r="18" spans="1:10" x14ac:dyDescent="0.35">
      <c r="A18" s="16" t="s">
        <v>142</v>
      </c>
      <c r="B18" s="16">
        <v>7</v>
      </c>
      <c r="C18" s="16">
        <v>0</v>
      </c>
      <c r="D18" s="16">
        <v>3</v>
      </c>
      <c r="E18" s="16">
        <v>3</v>
      </c>
      <c r="F18" s="16">
        <v>7</v>
      </c>
      <c r="G18" s="16">
        <v>1</v>
      </c>
      <c r="H18" s="16">
        <v>0</v>
      </c>
      <c r="I18" s="16">
        <v>1</v>
      </c>
      <c r="J18" s="16">
        <v>5</v>
      </c>
    </row>
    <row r="19" spans="1:10" x14ac:dyDescent="0.35">
      <c r="A19" s="16" t="s">
        <v>143</v>
      </c>
      <c r="B19" s="16">
        <v>7</v>
      </c>
      <c r="C19" s="16">
        <v>7</v>
      </c>
      <c r="D19" s="16">
        <v>5</v>
      </c>
      <c r="E19" s="16">
        <v>3</v>
      </c>
      <c r="F19" s="16">
        <v>3</v>
      </c>
      <c r="G19" s="16">
        <v>1</v>
      </c>
      <c r="H19" s="16">
        <v>3</v>
      </c>
      <c r="I19" s="16">
        <v>1</v>
      </c>
      <c r="J19" s="16">
        <v>5</v>
      </c>
    </row>
    <row r="20" spans="1:10" x14ac:dyDescent="0.35">
      <c r="A20" s="16" t="s">
        <v>144</v>
      </c>
      <c r="B20" s="16">
        <v>7</v>
      </c>
      <c r="C20" s="16">
        <v>0</v>
      </c>
      <c r="D20" s="16">
        <v>3</v>
      </c>
      <c r="E20" s="16">
        <v>3</v>
      </c>
      <c r="F20" s="16">
        <v>9</v>
      </c>
      <c r="G20" s="16">
        <v>1</v>
      </c>
      <c r="H20" s="16">
        <v>0</v>
      </c>
      <c r="I20" s="16">
        <v>1</v>
      </c>
      <c r="J20" s="16">
        <v>5</v>
      </c>
    </row>
    <row r="21" spans="1:10" x14ac:dyDescent="0.35">
      <c r="A21" s="16" t="s">
        <v>145</v>
      </c>
      <c r="B21" s="16">
        <v>5</v>
      </c>
      <c r="C21" s="16">
        <v>7</v>
      </c>
      <c r="D21" s="16">
        <v>7</v>
      </c>
      <c r="E21" s="16">
        <v>3</v>
      </c>
      <c r="F21" s="16">
        <v>7</v>
      </c>
      <c r="G21" s="16">
        <v>1</v>
      </c>
      <c r="H21" s="16">
        <v>0</v>
      </c>
      <c r="I21" s="16">
        <v>1</v>
      </c>
      <c r="J21" s="16">
        <v>7</v>
      </c>
    </row>
    <row r="22" spans="1:10" x14ac:dyDescent="0.35">
      <c r="A22" s="16" t="s">
        <v>146</v>
      </c>
      <c r="B22" s="16">
        <v>7</v>
      </c>
      <c r="C22" s="16">
        <v>0</v>
      </c>
      <c r="D22" s="16">
        <v>3</v>
      </c>
      <c r="E22" s="16">
        <v>3</v>
      </c>
      <c r="F22" s="16">
        <v>7</v>
      </c>
      <c r="G22" s="16">
        <v>1</v>
      </c>
      <c r="H22" s="16">
        <v>3</v>
      </c>
      <c r="I22" s="16">
        <v>2</v>
      </c>
      <c r="J22" s="16">
        <v>5</v>
      </c>
    </row>
    <row r="23" spans="1:10" x14ac:dyDescent="0.35">
      <c r="A23" s="16" t="s">
        <v>147</v>
      </c>
      <c r="B23" s="16">
        <v>7</v>
      </c>
      <c r="C23" s="16">
        <v>0</v>
      </c>
      <c r="D23" s="16">
        <v>5</v>
      </c>
      <c r="E23" s="16">
        <v>3</v>
      </c>
      <c r="F23" s="16">
        <v>5</v>
      </c>
      <c r="G23" s="16">
        <v>1</v>
      </c>
      <c r="H23" s="16">
        <v>0</v>
      </c>
      <c r="I23" s="16">
        <v>1</v>
      </c>
      <c r="J23" s="16">
        <v>7</v>
      </c>
    </row>
    <row r="24" spans="1:10" x14ac:dyDescent="0.35">
      <c r="A24" s="16" t="s">
        <v>148</v>
      </c>
      <c r="B24" s="16">
        <v>7</v>
      </c>
      <c r="C24" s="16">
        <v>0</v>
      </c>
      <c r="D24" s="16">
        <v>7</v>
      </c>
      <c r="E24" s="16">
        <v>3</v>
      </c>
      <c r="F24" s="16">
        <v>7</v>
      </c>
      <c r="G24" s="16">
        <v>3</v>
      </c>
      <c r="H24" s="16">
        <v>0</v>
      </c>
      <c r="I24" s="16">
        <v>1</v>
      </c>
      <c r="J24" s="16">
        <v>3</v>
      </c>
    </row>
    <row r="25" spans="1:10" x14ac:dyDescent="0.35">
      <c r="A25" s="16" t="s">
        <v>149</v>
      </c>
      <c r="B25" s="16">
        <v>7</v>
      </c>
      <c r="C25" s="16">
        <v>7</v>
      </c>
      <c r="D25" s="16">
        <v>7</v>
      </c>
      <c r="E25" s="16">
        <v>3</v>
      </c>
      <c r="F25" s="16">
        <v>7</v>
      </c>
      <c r="G25" s="16">
        <v>1</v>
      </c>
      <c r="H25" s="16">
        <v>0</v>
      </c>
      <c r="I25" s="16">
        <v>2</v>
      </c>
      <c r="J25" s="16">
        <v>7</v>
      </c>
    </row>
    <row r="26" spans="1:10" x14ac:dyDescent="0.35">
      <c r="A26" s="16" t="s">
        <v>150</v>
      </c>
      <c r="B26" s="16">
        <v>3</v>
      </c>
      <c r="C26" s="16">
        <v>7</v>
      </c>
      <c r="D26" s="16">
        <v>7</v>
      </c>
      <c r="E26" s="16">
        <v>3</v>
      </c>
      <c r="F26" s="16">
        <v>3</v>
      </c>
      <c r="G26" s="16">
        <v>1</v>
      </c>
      <c r="H26" s="16">
        <v>0</v>
      </c>
      <c r="I26" s="16">
        <v>1</v>
      </c>
      <c r="J26" s="16">
        <v>5</v>
      </c>
    </row>
    <row r="27" spans="1:10" x14ac:dyDescent="0.35">
      <c r="A27" s="16" t="s">
        <v>151</v>
      </c>
      <c r="B27" s="16">
        <v>7</v>
      </c>
      <c r="C27" s="16">
        <v>7</v>
      </c>
      <c r="D27" s="16">
        <v>5</v>
      </c>
      <c r="E27" s="16">
        <v>3</v>
      </c>
      <c r="F27" s="16">
        <v>5</v>
      </c>
      <c r="G27" s="16">
        <v>1</v>
      </c>
      <c r="H27" s="16">
        <v>0</v>
      </c>
      <c r="I27" s="16">
        <v>1</v>
      </c>
      <c r="J27" s="16">
        <v>7</v>
      </c>
    </row>
    <row r="28" spans="1:10" x14ac:dyDescent="0.35">
      <c r="A28" s="16" t="s">
        <v>152</v>
      </c>
      <c r="B28" s="16">
        <v>7</v>
      </c>
      <c r="C28" s="16">
        <v>7</v>
      </c>
      <c r="D28" s="16">
        <v>5</v>
      </c>
      <c r="E28" s="16">
        <v>3</v>
      </c>
      <c r="F28" s="16">
        <v>5</v>
      </c>
      <c r="G28" s="16">
        <v>1</v>
      </c>
      <c r="H28" s="16">
        <v>0</v>
      </c>
      <c r="I28" s="16">
        <v>1</v>
      </c>
      <c r="J28" s="16">
        <v>5</v>
      </c>
    </row>
    <row r="29" spans="1:10" x14ac:dyDescent="0.35">
      <c r="A29" s="16" t="s">
        <v>153</v>
      </c>
      <c r="B29" s="16">
        <v>5</v>
      </c>
      <c r="C29" s="16">
        <v>7</v>
      </c>
      <c r="D29" s="16">
        <v>3</v>
      </c>
      <c r="E29" s="16">
        <v>5</v>
      </c>
      <c r="F29" s="16">
        <v>7</v>
      </c>
      <c r="G29" s="16">
        <v>1</v>
      </c>
      <c r="H29" s="16">
        <v>0</v>
      </c>
      <c r="I29" s="16">
        <v>2</v>
      </c>
      <c r="J29" s="16">
        <v>3</v>
      </c>
    </row>
    <row r="30" spans="1:10" x14ac:dyDescent="0.35">
      <c r="A30" s="16" t="s">
        <v>154</v>
      </c>
      <c r="B30" s="16">
        <v>3</v>
      </c>
      <c r="C30" s="16">
        <v>7</v>
      </c>
      <c r="D30" s="16">
        <v>7</v>
      </c>
      <c r="E30" s="16">
        <v>5</v>
      </c>
      <c r="F30" s="16">
        <v>7</v>
      </c>
      <c r="G30" s="16">
        <v>2</v>
      </c>
      <c r="H30" s="16">
        <v>0</v>
      </c>
      <c r="I30" s="16">
        <v>2</v>
      </c>
      <c r="J30" s="16">
        <v>7</v>
      </c>
    </row>
    <row r="31" spans="1:10" x14ac:dyDescent="0.35">
      <c r="A31" s="16" t="s">
        <v>155</v>
      </c>
      <c r="B31" s="16">
        <v>3</v>
      </c>
      <c r="C31" s="16">
        <v>0</v>
      </c>
      <c r="D31" s="16">
        <v>5</v>
      </c>
      <c r="E31" s="16">
        <v>3</v>
      </c>
      <c r="F31" s="16">
        <v>5</v>
      </c>
      <c r="G31" s="16">
        <v>1</v>
      </c>
      <c r="H31" s="16">
        <v>0</v>
      </c>
      <c r="I31" s="16">
        <v>2</v>
      </c>
      <c r="J31" s="16">
        <v>7</v>
      </c>
    </row>
    <row r="32" spans="1:10" x14ac:dyDescent="0.35">
      <c r="A32" s="16" t="s">
        <v>156</v>
      </c>
      <c r="B32" s="16">
        <v>3</v>
      </c>
      <c r="C32" s="16">
        <v>0</v>
      </c>
      <c r="D32" s="16">
        <v>5</v>
      </c>
      <c r="E32" s="16">
        <v>3</v>
      </c>
      <c r="F32" s="16">
        <v>9</v>
      </c>
      <c r="G32" s="16">
        <v>1</v>
      </c>
      <c r="H32" s="16">
        <v>0</v>
      </c>
      <c r="I32" s="16">
        <v>2</v>
      </c>
      <c r="J32" s="16">
        <v>5</v>
      </c>
    </row>
    <row r="33" spans="1:10" x14ac:dyDescent="0.35">
      <c r="A33" s="16" t="s">
        <v>157</v>
      </c>
      <c r="B33" s="16">
        <v>5</v>
      </c>
      <c r="C33" s="16">
        <v>7</v>
      </c>
      <c r="D33" s="16">
        <v>5</v>
      </c>
      <c r="E33" s="16">
        <v>3</v>
      </c>
      <c r="F33" s="16">
        <v>9</v>
      </c>
      <c r="G33" s="16">
        <v>2</v>
      </c>
      <c r="H33" s="16">
        <v>0</v>
      </c>
      <c r="I33" s="16">
        <v>2</v>
      </c>
      <c r="J33" s="16">
        <v>7</v>
      </c>
    </row>
    <row r="34" spans="1:10" x14ac:dyDescent="0.35">
      <c r="A34" s="16" t="s">
        <v>158</v>
      </c>
      <c r="B34" s="16">
        <v>3</v>
      </c>
      <c r="C34" s="16">
        <v>0</v>
      </c>
      <c r="D34" s="16">
        <v>5</v>
      </c>
      <c r="E34" s="16">
        <v>3</v>
      </c>
      <c r="F34" s="16">
        <v>7</v>
      </c>
      <c r="G34" s="16">
        <v>1</v>
      </c>
      <c r="H34" s="16">
        <v>3</v>
      </c>
      <c r="I34" s="16">
        <v>2</v>
      </c>
      <c r="J34" s="16">
        <v>5</v>
      </c>
    </row>
    <row r="35" spans="1:10" x14ac:dyDescent="0.35">
      <c r="A35" s="16" t="s">
        <v>159</v>
      </c>
      <c r="B35" s="16">
        <v>3</v>
      </c>
      <c r="C35" s="16">
        <v>3</v>
      </c>
      <c r="D35" s="16">
        <v>7</v>
      </c>
      <c r="E35" s="16">
        <v>5</v>
      </c>
      <c r="F35" s="16">
        <v>5</v>
      </c>
      <c r="G35" s="16">
        <v>1</v>
      </c>
      <c r="H35" s="16">
        <v>7</v>
      </c>
      <c r="I35" s="16">
        <v>2</v>
      </c>
      <c r="J35" s="16">
        <v>7</v>
      </c>
    </row>
    <row r="36" spans="1:10" x14ac:dyDescent="0.35">
      <c r="A36" s="16" t="s">
        <v>160</v>
      </c>
      <c r="B36" s="16">
        <v>5</v>
      </c>
      <c r="C36" s="16">
        <v>0</v>
      </c>
      <c r="D36" s="16">
        <v>5</v>
      </c>
      <c r="E36" s="16">
        <v>3</v>
      </c>
      <c r="F36" s="16">
        <v>7</v>
      </c>
      <c r="G36" s="16">
        <v>3</v>
      </c>
      <c r="H36" s="16">
        <v>3</v>
      </c>
      <c r="I36" s="16">
        <v>2</v>
      </c>
      <c r="J36" s="16">
        <v>5</v>
      </c>
    </row>
    <row r="37" spans="1:10" x14ac:dyDescent="0.35">
      <c r="A37" s="16" t="s">
        <v>161</v>
      </c>
      <c r="B37" s="16">
        <v>5</v>
      </c>
      <c r="C37" s="16">
        <v>3</v>
      </c>
      <c r="D37" s="16">
        <v>5</v>
      </c>
      <c r="E37" s="16">
        <v>5</v>
      </c>
      <c r="F37" s="16">
        <v>3</v>
      </c>
      <c r="G37" s="16">
        <v>1</v>
      </c>
      <c r="H37" s="16">
        <v>0</v>
      </c>
      <c r="I37" s="16">
        <v>2</v>
      </c>
      <c r="J37" s="16">
        <v>3</v>
      </c>
    </row>
    <row r="38" spans="1:10" x14ac:dyDescent="0.35">
      <c r="A38" s="16" t="s">
        <v>162</v>
      </c>
      <c r="B38" s="16">
        <v>3</v>
      </c>
      <c r="C38" s="16">
        <v>7</v>
      </c>
      <c r="D38" s="16">
        <v>5</v>
      </c>
      <c r="E38" s="16">
        <v>3</v>
      </c>
      <c r="F38" s="16">
        <v>5</v>
      </c>
      <c r="G38" s="16">
        <v>1</v>
      </c>
      <c r="H38" s="16">
        <v>0</v>
      </c>
      <c r="I38" s="16">
        <v>2</v>
      </c>
      <c r="J38" s="16">
        <v>5</v>
      </c>
    </row>
    <row r="39" spans="1:10" x14ac:dyDescent="0.35">
      <c r="A39" s="16" t="s">
        <v>163</v>
      </c>
      <c r="B39" s="16">
        <v>7</v>
      </c>
      <c r="C39" s="16">
        <v>3</v>
      </c>
      <c r="D39" s="16">
        <v>5</v>
      </c>
      <c r="E39" s="16">
        <v>5</v>
      </c>
      <c r="F39" s="16">
        <v>9</v>
      </c>
      <c r="G39" s="16">
        <v>2</v>
      </c>
      <c r="H39" s="16">
        <v>0</v>
      </c>
      <c r="I39" s="16">
        <v>2</v>
      </c>
      <c r="J39" s="16">
        <v>5</v>
      </c>
    </row>
    <row r="40" spans="1:10" x14ac:dyDescent="0.35">
      <c r="A40" s="16" t="s">
        <v>164</v>
      </c>
      <c r="B40" s="16">
        <v>7</v>
      </c>
      <c r="C40" s="16">
        <v>3</v>
      </c>
      <c r="D40" s="16">
        <v>5</v>
      </c>
      <c r="E40" s="16">
        <v>5</v>
      </c>
      <c r="F40" s="16">
        <v>3</v>
      </c>
      <c r="G40" s="16">
        <v>1</v>
      </c>
      <c r="H40" s="16">
        <v>0</v>
      </c>
      <c r="I40" s="16">
        <v>2</v>
      </c>
      <c r="J40" s="16">
        <v>3</v>
      </c>
    </row>
    <row r="41" spans="1:10" x14ac:dyDescent="0.35">
      <c r="A41" s="16" t="s">
        <v>165</v>
      </c>
      <c r="B41" s="16">
        <v>5</v>
      </c>
      <c r="C41" s="16">
        <v>0</v>
      </c>
      <c r="D41" s="16">
        <v>3</v>
      </c>
      <c r="E41" s="16">
        <v>5</v>
      </c>
      <c r="F41" s="16">
        <v>3</v>
      </c>
      <c r="G41" s="16">
        <v>2</v>
      </c>
      <c r="H41" s="16">
        <v>0</v>
      </c>
      <c r="I41" s="16">
        <v>1</v>
      </c>
      <c r="J41" s="16">
        <v>5</v>
      </c>
    </row>
    <row r="42" spans="1:10" x14ac:dyDescent="0.35">
      <c r="A42" s="16" t="s">
        <v>166</v>
      </c>
      <c r="B42" s="16">
        <v>5</v>
      </c>
      <c r="C42" s="16">
        <v>7</v>
      </c>
      <c r="D42" s="16">
        <v>5</v>
      </c>
      <c r="E42" s="16">
        <v>3</v>
      </c>
      <c r="F42" s="16">
        <v>5</v>
      </c>
      <c r="G42" s="16">
        <v>1</v>
      </c>
      <c r="H42" s="16">
        <v>3</v>
      </c>
      <c r="I42" s="16">
        <v>1</v>
      </c>
      <c r="J42" s="16">
        <v>5</v>
      </c>
    </row>
    <row r="43" spans="1:10" x14ac:dyDescent="0.35">
      <c r="A43" s="16" t="s">
        <v>167</v>
      </c>
      <c r="B43" s="16">
        <v>5</v>
      </c>
      <c r="C43" s="16">
        <v>0</v>
      </c>
      <c r="D43" s="16">
        <v>5</v>
      </c>
      <c r="E43" s="16">
        <v>3</v>
      </c>
      <c r="F43" s="16">
        <v>5</v>
      </c>
      <c r="G43" s="16">
        <v>1</v>
      </c>
      <c r="H43" s="16">
        <v>3</v>
      </c>
      <c r="I43" s="16">
        <v>1</v>
      </c>
      <c r="J43" s="16">
        <v>7</v>
      </c>
    </row>
    <row r="44" spans="1:10" x14ac:dyDescent="0.35">
      <c r="A44" s="16" t="s">
        <v>168</v>
      </c>
      <c r="B44" s="16">
        <v>5</v>
      </c>
      <c r="C44" s="16">
        <v>7</v>
      </c>
      <c r="D44" s="16">
        <v>7</v>
      </c>
      <c r="E44" s="16">
        <v>3</v>
      </c>
      <c r="F44" s="16">
        <v>9</v>
      </c>
      <c r="G44" s="16">
        <v>1</v>
      </c>
      <c r="H44" s="16">
        <v>3</v>
      </c>
      <c r="I44" s="16">
        <v>1</v>
      </c>
      <c r="J44" s="16">
        <v>5</v>
      </c>
    </row>
    <row r="45" spans="1:10" x14ac:dyDescent="0.35">
      <c r="A45" s="16" t="s">
        <v>169</v>
      </c>
      <c r="B45" s="16">
        <v>5</v>
      </c>
      <c r="C45" s="16">
        <v>0</v>
      </c>
      <c r="D45" s="16">
        <v>7</v>
      </c>
      <c r="E45" s="16">
        <v>5</v>
      </c>
      <c r="F45" s="16">
        <v>9</v>
      </c>
      <c r="G45" s="16">
        <v>1</v>
      </c>
      <c r="H45" s="16">
        <v>0</v>
      </c>
      <c r="I45" s="16">
        <v>2</v>
      </c>
      <c r="J45" s="16">
        <v>3</v>
      </c>
    </row>
    <row r="46" spans="1:10" x14ac:dyDescent="0.35">
      <c r="A46" s="16" t="s">
        <v>170</v>
      </c>
      <c r="B46" s="16">
        <v>5</v>
      </c>
      <c r="C46" s="16">
        <v>0</v>
      </c>
      <c r="D46" s="16">
        <v>7</v>
      </c>
      <c r="E46" s="16">
        <v>5</v>
      </c>
      <c r="F46" s="16">
        <v>7</v>
      </c>
      <c r="G46" s="16">
        <v>2</v>
      </c>
      <c r="H46" s="16">
        <v>3</v>
      </c>
      <c r="I46" s="16">
        <v>2</v>
      </c>
      <c r="J46" s="16">
        <v>7</v>
      </c>
    </row>
    <row r="47" spans="1:10" x14ac:dyDescent="0.35">
      <c r="A47" s="16" t="s">
        <v>171</v>
      </c>
      <c r="B47" s="16">
        <v>7</v>
      </c>
      <c r="C47" s="16">
        <v>0</v>
      </c>
      <c r="D47" s="16">
        <v>3</v>
      </c>
      <c r="E47" s="16">
        <v>3</v>
      </c>
      <c r="F47" s="16">
        <v>3</v>
      </c>
      <c r="G47" s="16">
        <v>2</v>
      </c>
      <c r="H47" s="16">
        <v>0</v>
      </c>
      <c r="I47" s="16">
        <v>1</v>
      </c>
      <c r="J47" s="16">
        <v>5</v>
      </c>
    </row>
    <row r="48" spans="1:10" x14ac:dyDescent="0.35">
      <c r="A48" s="16" t="s">
        <v>172</v>
      </c>
      <c r="B48" s="16">
        <v>5</v>
      </c>
      <c r="C48" s="16">
        <v>0</v>
      </c>
      <c r="D48" s="16">
        <v>5</v>
      </c>
      <c r="E48" s="16">
        <v>3</v>
      </c>
      <c r="F48" s="16">
        <v>9</v>
      </c>
      <c r="G48" s="16">
        <v>1</v>
      </c>
      <c r="H48" s="16">
        <v>0</v>
      </c>
      <c r="I48" s="16">
        <v>2</v>
      </c>
      <c r="J48" s="16">
        <v>5</v>
      </c>
    </row>
    <row r="49" spans="1:10" x14ac:dyDescent="0.35">
      <c r="A49" s="16" t="s">
        <v>173</v>
      </c>
      <c r="B49" s="16">
        <v>5</v>
      </c>
      <c r="C49" s="16">
        <v>0</v>
      </c>
      <c r="D49" s="16">
        <v>5</v>
      </c>
      <c r="E49" s="16">
        <v>3</v>
      </c>
      <c r="F49" s="16">
        <v>5</v>
      </c>
      <c r="G49" s="16">
        <v>1</v>
      </c>
      <c r="H49" s="16">
        <v>0</v>
      </c>
      <c r="I49" s="16">
        <v>2</v>
      </c>
      <c r="J49" s="16">
        <v>7</v>
      </c>
    </row>
    <row r="50" spans="1:10" x14ac:dyDescent="0.35">
      <c r="A50" s="16" t="s">
        <v>174</v>
      </c>
      <c r="B50" s="16">
        <v>7</v>
      </c>
      <c r="C50" s="16">
        <v>7</v>
      </c>
      <c r="D50" s="16">
        <v>5</v>
      </c>
      <c r="E50" s="16">
        <v>3</v>
      </c>
      <c r="F50" s="16">
        <v>9</v>
      </c>
      <c r="G50" s="16">
        <v>2</v>
      </c>
      <c r="H50" s="16">
        <v>0</v>
      </c>
      <c r="I50" s="16">
        <v>1</v>
      </c>
      <c r="J50" s="16">
        <v>5</v>
      </c>
    </row>
    <row r="51" spans="1:10" x14ac:dyDescent="0.35">
      <c r="A51" s="16" t="s">
        <v>175</v>
      </c>
      <c r="B51" s="16">
        <v>5</v>
      </c>
      <c r="C51" s="16">
        <v>7</v>
      </c>
      <c r="D51" s="16">
        <v>5</v>
      </c>
      <c r="E51" s="16">
        <v>3</v>
      </c>
      <c r="F51" s="16">
        <v>3</v>
      </c>
      <c r="G51" s="16">
        <v>1</v>
      </c>
      <c r="H51" s="16">
        <v>0</v>
      </c>
      <c r="I51" s="16">
        <v>2</v>
      </c>
      <c r="J51" s="16">
        <v>5</v>
      </c>
    </row>
    <row r="52" spans="1:10" x14ac:dyDescent="0.35">
      <c r="A52" s="16" t="s">
        <v>176</v>
      </c>
      <c r="B52" s="16">
        <v>7</v>
      </c>
      <c r="C52" s="16">
        <v>7</v>
      </c>
      <c r="D52" s="16">
        <v>5</v>
      </c>
      <c r="E52" s="16">
        <v>3</v>
      </c>
      <c r="F52" s="16">
        <v>5</v>
      </c>
      <c r="G52" s="16">
        <v>2</v>
      </c>
      <c r="H52" s="16">
        <v>0</v>
      </c>
      <c r="I52" s="16">
        <v>2</v>
      </c>
      <c r="J52" s="16">
        <v>3</v>
      </c>
    </row>
    <row r="53" spans="1:10" x14ac:dyDescent="0.35">
      <c r="A53" s="16" t="s">
        <v>177</v>
      </c>
      <c r="B53" s="16">
        <v>7</v>
      </c>
      <c r="C53" s="16">
        <v>7</v>
      </c>
      <c r="D53" s="16">
        <v>7</v>
      </c>
      <c r="E53" s="16">
        <v>3</v>
      </c>
      <c r="F53" s="16">
        <v>7</v>
      </c>
      <c r="G53" s="16">
        <v>1</v>
      </c>
      <c r="H53" s="16">
        <v>0</v>
      </c>
      <c r="I53" s="16">
        <v>2</v>
      </c>
      <c r="J53" s="16">
        <v>7</v>
      </c>
    </row>
    <row r="54" spans="1:10" x14ac:dyDescent="0.35">
      <c r="A54" s="16" t="s">
        <v>178</v>
      </c>
      <c r="B54" s="16">
        <v>7</v>
      </c>
      <c r="C54" s="16">
        <v>7</v>
      </c>
      <c r="D54" s="16">
        <v>3</v>
      </c>
      <c r="E54" s="16">
        <v>5</v>
      </c>
      <c r="F54" s="16">
        <v>5</v>
      </c>
      <c r="G54" s="16">
        <v>1</v>
      </c>
      <c r="H54" s="16">
        <v>0</v>
      </c>
      <c r="I54" s="16">
        <v>2</v>
      </c>
      <c r="J54" s="16">
        <v>5</v>
      </c>
    </row>
    <row r="55" spans="1:10" x14ac:dyDescent="0.35">
      <c r="A55" s="16" t="s">
        <v>179</v>
      </c>
      <c r="B55" s="16">
        <v>7</v>
      </c>
      <c r="C55" s="16">
        <v>7</v>
      </c>
      <c r="D55" s="16">
        <v>5</v>
      </c>
      <c r="E55" s="16">
        <v>3</v>
      </c>
      <c r="F55" s="16">
        <v>5</v>
      </c>
      <c r="G55" s="16">
        <v>1</v>
      </c>
      <c r="H55" s="16">
        <v>0</v>
      </c>
      <c r="I55" s="16">
        <v>2</v>
      </c>
      <c r="J55" s="16">
        <v>5</v>
      </c>
    </row>
    <row r="56" spans="1:10" x14ac:dyDescent="0.35">
      <c r="A56" s="16" t="s">
        <v>180</v>
      </c>
      <c r="B56" s="16">
        <v>7</v>
      </c>
      <c r="C56" s="16">
        <v>7</v>
      </c>
      <c r="D56" s="16">
        <v>5</v>
      </c>
      <c r="E56" s="16">
        <v>3</v>
      </c>
      <c r="F56" s="16">
        <v>5</v>
      </c>
      <c r="G56" s="16">
        <v>1</v>
      </c>
      <c r="H56" s="16">
        <v>0</v>
      </c>
      <c r="I56" s="16">
        <v>1</v>
      </c>
      <c r="J56" s="16">
        <v>7</v>
      </c>
    </row>
    <row r="57" spans="1:10" x14ac:dyDescent="0.35">
      <c r="A57" s="16" t="s">
        <v>181</v>
      </c>
      <c r="B57" s="16">
        <v>7</v>
      </c>
      <c r="C57" s="16">
        <v>7</v>
      </c>
      <c r="D57" s="16">
        <v>5</v>
      </c>
      <c r="E57" s="16">
        <v>3</v>
      </c>
      <c r="F57" s="16">
        <v>7</v>
      </c>
      <c r="G57" s="16">
        <v>1</v>
      </c>
      <c r="H57" s="16">
        <v>0</v>
      </c>
      <c r="I57" s="16">
        <v>1</v>
      </c>
      <c r="J57" s="16">
        <v>7</v>
      </c>
    </row>
    <row r="58" spans="1:10" x14ac:dyDescent="0.35">
      <c r="A58" s="16" t="s">
        <v>182</v>
      </c>
      <c r="B58" s="16">
        <v>5</v>
      </c>
      <c r="C58" s="16">
        <v>0</v>
      </c>
      <c r="D58" s="16">
        <v>5</v>
      </c>
      <c r="E58" s="16">
        <v>5</v>
      </c>
      <c r="F58" s="16">
        <v>9</v>
      </c>
      <c r="G58" s="16">
        <v>1</v>
      </c>
      <c r="H58" s="16">
        <v>0</v>
      </c>
      <c r="I58" s="16">
        <v>2</v>
      </c>
      <c r="J58" s="16">
        <v>3</v>
      </c>
    </row>
    <row r="59" spans="1:10" x14ac:dyDescent="0.35">
      <c r="A59" s="16" t="s">
        <v>183</v>
      </c>
      <c r="B59" s="16">
        <v>5</v>
      </c>
      <c r="C59" s="16">
        <v>7</v>
      </c>
      <c r="D59" s="16">
        <v>5</v>
      </c>
      <c r="E59" s="16">
        <v>3</v>
      </c>
      <c r="F59" s="16">
        <v>7</v>
      </c>
      <c r="G59" s="16">
        <v>3</v>
      </c>
      <c r="H59" s="16">
        <v>0</v>
      </c>
      <c r="I59" s="16">
        <v>1</v>
      </c>
      <c r="J59" s="16">
        <v>5</v>
      </c>
    </row>
    <row r="60" spans="1:10" x14ac:dyDescent="0.35">
      <c r="A60" s="16" t="s">
        <v>184</v>
      </c>
      <c r="B60" s="16">
        <v>5</v>
      </c>
      <c r="C60" s="16">
        <v>0</v>
      </c>
      <c r="D60" s="16">
        <v>5</v>
      </c>
      <c r="E60" s="16">
        <v>3</v>
      </c>
      <c r="F60" s="16">
        <v>7</v>
      </c>
      <c r="G60" s="16">
        <v>1</v>
      </c>
      <c r="H60" s="16">
        <v>0</v>
      </c>
      <c r="I60" s="16">
        <v>1</v>
      </c>
      <c r="J60" s="16">
        <v>5</v>
      </c>
    </row>
    <row r="61" spans="1:10" x14ac:dyDescent="0.35">
      <c r="A61" s="16" t="s">
        <v>185</v>
      </c>
      <c r="B61" s="16">
        <v>7</v>
      </c>
      <c r="C61" s="16">
        <v>7</v>
      </c>
      <c r="D61" s="16">
        <v>5</v>
      </c>
      <c r="E61" s="16">
        <v>3</v>
      </c>
      <c r="F61" s="16">
        <v>7</v>
      </c>
      <c r="G61" s="16">
        <v>1</v>
      </c>
      <c r="H61" s="16">
        <v>0</v>
      </c>
      <c r="I61" s="16">
        <v>1</v>
      </c>
      <c r="J61" s="16">
        <v>7</v>
      </c>
    </row>
    <row r="62" spans="1:10" x14ac:dyDescent="0.35">
      <c r="A62" s="16" t="s">
        <v>186</v>
      </c>
      <c r="B62" s="16">
        <v>7</v>
      </c>
      <c r="C62" s="16">
        <v>7</v>
      </c>
      <c r="D62" s="16">
        <v>5</v>
      </c>
      <c r="E62" s="16">
        <v>3</v>
      </c>
      <c r="F62" s="16">
        <v>5</v>
      </c>
      <c r="G62" s="16">
        <v>2</v>
      </c>
      <c r="H62" s="16">
        <v>0</v>
      </c>
      <c r="I62" s="16">
        <v>1</v>
      </c>
      <c r="J62" s="16">
        <v>7</v>
      </c>
    </row>
    <row r="63" spans="1:10" x14ac:dyDescent="0.35">
      <c r="A63" s="16" t="s">
        <v>187</v>
      </c>
      <c r="B63" s="16">
        <v>7</v>
      </c>
      <c r="C63" s="16">
        <v>7</v>
      </c>
      <c r="D63" s="16">
        <v>7</v>
      </c>
      <c r="E63" s="16">
        <v>3</v>
      </c>
      <c r="F63" s="16">
        <v>7</v>
      </c>
      <c r="G63" s="16">
        <v>1</v>
      </c>
      <c r="H63" s="16">
        <v>3</v>
      </c>
      <c r="I63" s="16">
        <v>1</v>
      </c>
      <c r="J63" s="16">
        <v>7</v>
      </c>
    </row>
    <row r="64" spans="1:10" x14ac:dyDescent="0.35">
      <c r="A64" s="16" t="s">
        <v>188</v>
      </c>
      <c r="B64" s="16">
        <v>7</v>
      </c>
      <c r="C64" s="16">
        <v>7</v>
      </c>
      <c r="D64" s="16">
        <v>7</v>
      </c>
      <c r="E64" s="16">
        <v>3</v>
      </c>
      <c r="F64" s="16">
        <v>5</v>
      </c>
      <c r="G64" s="16">
        <v>1</v>
      </c>
      <c r="H64" s="16">
        <v>0</v>
      </c>
      <c r="I64" s="16">
        <v>2</v>
      </c>
      <c r="J64" s="16">
        <v>3</v>
      </c>
    </row>
    <row r="65" spans="1:10" x14ac:dyDescent="0.35">
      <c r="A65" s="16" t="s">
        <v>189</v>
      </c>
      <c r="B65" s="16">
        <v>7</v>
      </c>
      <c r="C65" s="16">
        <v>3</v>
      </c>
      <c r="D65" s="16">
        <v>5</v>
      </c>
      <c r="E65" s="16">
        <v>3</v>
      </c>
      <c r="F65" s="16">
        <v>5</v>
      </c>
      <c r="G65" s="16">
        <v>2</v>
      </c>
      <c r="H65" s="16">
        <v>0</v>
      </c>
      <c r="I65" s="16">
        <v>2</v>
      </c>
      <c r="J65" s="16">
        <v>3</v>
      </c>
    </row>
    <row r="66" spans="1:10" x14ac:dyDescent="0.35">
      <c r="A66" s="16" t="s">
        <v>190</v>
      </c>
      <c r="B66" s="16">
        <v>5</v>
      </c>
      <c r="C66" s="16">
        <v>0</v>
      </c>
      <c r="D66" s="16">
        <v>5</v>
      </c>
      <c r="E66" s="16">
        <v>3</v>
      </c>
      <c r="F66" s="16">
        <v>5</v>
      </c>
      <c r="G66" s="16">
        <v>3</v>
      </c>
      <c r="H66" s="16">
        <v>0</v>
      </c>
      <c r="I66" s="16">
        <v>2</v>
      </c>
      <c r="J66" s="16">
        <v>3</v>
      </c>
    </row>
    <row r="67" spans="1:10" x14ac:dyDescent="0.35">
      <c r="A67" s="16" t="s">
        <v>191</v>
      </c>
      <c r="B67" s="16">
        <v>3</v>
      </c>
      <c r="C67" s="16">
        <v>7</v>
      </c>
      <c r="D67" s="16">
        <v>5</v>
      </c>
      <c r="E67" s="16">
        <v>3</v>
      </c>
      <c r="F67" s="16">
        <v>5</v>
      </c>
      <c r="G67" s="16">
        <v>2</v>
      </c>
      <c r="H67" s="16">
        <v>0</v>
      </c>
      <c r="I67" s="16">
        <v>1</v>
      </c>
      <c r="J67" s="16">
        <v>5</v>
      </c>
    </row>
    <row r="68" spans="1:10" x14ac:dyDescent="0.35">
      <c r="A68" s="16" t="s">
        <v>192</v>
      </c>
      <c r="B68" s="16">
        <v>7</v>
      </c>
      <c r="C68" s="16">
        <v>7</v>
      </c>
      <c r="D68" s="16">
        <v>7</v>
      </c>
      <c r="E68" s="16">
        <v>3</v>
      </c>
      <c r="F68" s="16">
        <v>7</v>
      </c>
      <c r="G68" s="16">
        <v>2</v>
      </c>
      <c r="H68" s="16">
        <v>0</v>
      </c>
      <c r="I68" s="16">
        <v>2</v>
      </c>
      <c r="J68" s="16">
        <v>5</v>
      </c>
    </row>
    <row r="69" spans="1:10" x14ac:dyDescent="0.35">
      <c r="A69" s="16" t="s">
        <v>193</v>
      </c>
      <c r="B69" s="16">
        <v>7</v>
      </c>
      <c r="C69" s="16">
        <v>7</v>
      </c>
      <c r="D69" s="16">
        <v>3</v>
      </c>
      <c r="E69" s="16">
        <v>3</v>
      </c>
      <c r="F69" s="16">
        <v>3</v>
      </c>
      <c r="G69" s="16">
        <v>2</v>
      </c>
      <c r="H69" s="16">
        <v>0</v>
      </c>
      <c r="I69" s="16">
        <v>1</v>
      </c>
      <c r="J69" s="16">
        <v>5</v>
      </c>
    </row>
    <row r="70" spans="1:10" x14ac:dyDescent="0.35">
      <c r="A70" s="16" t="s">
        <v>194</v>
      </c>
      <c r="B70" s="16">
        <v>7</v>
      </c>
      <c r="C70" s="16">
        <v>7</v>
      </c>
      <c r="D70" s="16">
        <v>5</v>
      </c>
      <c r="E70" s="16">
        <v>3</v>
      </c>
      <c r="F70" s="16">
        <v>3</v>
      </c>
      <c r="G70" s="16">
        <v>2</v>
      </c>
      <c r="H70" s="16">
        <v>0</v>
      </c>
      <c r="I70" s="16">
        <v>1</v>
      </c>
      <c r="J70" s="16">
        <v>7</v>
      </c>
    </row>
    <row r="71" spans="1:10" x14ac:dyDescent="0.35">
      <c r="A71" s="16" t="s">
        <v>195</v>
      </c>
      <c r="B71" s="16">
        <v>7</v>
      </c>
      <c r="C71" s="16">
        <v>7</v>
      </c>
      <c r="D71" s="16">
        <v>3</v>
      </c>
      <c r="E71" s="16">
        <v>3</v>
      </c>
      <c r="F71" s="16">
        <v>5</v>
      </c>
      <c r="G71" s="16">
        <v>1</v>
      </c>
      <c r="H71" s="16">
        <v>0</v>
      </c>
      <c r="I71" s="16">
        <v>2</v>
      </c>
      <c r="J71" s="16">
        <v>5</v>
      </c>
    </row>
    <row r="72" spans="1:10" x14ac:dyDescent="0.35">
      <c r="A72" s="16" t="s">
        <v>196</v>
      </c>
      <c r="B72" s="16">
        <v>7</v>
      </c>
      <c r="C72" s="16">
        <v>7</v>
      </c>
      <c r="D72" s="16">
        <v>5</v>
      </c>
      <c r="E72" s="16">
        <v>3</v>
      </c>
      <c r="F72" s="16">
        <v>5</v>
      </c>
      <c r="G72" s="16">
        <v>1</v>
      </c>
      <c r="H72" s="16">
        <v>0</v>
      </c>
      <c r="I72" s="16">
        <v>1</v>
      </c>
      <c r="J72" s="16">
        <v>5</v>
      </c>
    </row>
    <row r="73" spans="1:10" x14ac:dyDescent="0.35">
      <c r="A73" s="16" t="s">
        <v>197</v>
      </c>
      <c r="B73" s="16">
        <v>7</v>
      </c>
      <c r="C73" s="16">
        <v>7</v>
      </c>
      <c r="D73" s="16">
        <v>7</v>
      </c>
      <c r="E73" s="16">
        <v>3</v>
      </c>
      <c r="F73" s="16">
        <v>5</v>
      </c>
      <c r="G73" s="16">
        <v>1</v>
      </c>
      <c r="H73" s="16">
        <v>0</v>
      </c>
      <c r="I73" s="16">
        <v>2</v>
      </c>
      <c r="J73" s="16">
        <v>7</v>
      </c>
    </row>
    <row r="74" spans="1:10" x14ac:dyDescent="0.35">
      <c r="A74" s="16" t="s">
        <v>198</v>
      </c>
      <c r="B74" s="16">
        <v>7</v>
      </c>
      <c r="C74" s="16">
        <v>7</v>
      </c>
      <c r="D74" s="16">
        <v>3</v>
      </c>
      <c r="E74" s="16">
        <v>3</v>
      </c>
      <c r="F74" s="16">
        <v>5</v>
      </c>
      <c r="G74" s="16">
        <v>1</v>
      </c>
      <c r="H74" s="16">
        <v>0</v>
      </c>
      <c r="I74" s="16">
        <v>2</v>
      </c>
      <c r="J74" s="16">
        <v>3</v>
      </c>
    </row>
    <row r="75" spans="1:10" x14ac:dyDescent="0.35">
      <c r="A75" s="16" t="s">
        <v>199</v>
      </c>
      <c r="B75" s="16">
        <v>7</v>
      </c>
      <c r="C75" s="16">
        <v>7</v>
      </c>
      <c r="D75" s="16">
        <v>3</v>
      </c>
      <c r="E75" s="16">
        <v>3</v>
      </c>
      <c r="F75" s="16">
        <v>5</v>
      </c>
      <c r="G75" s="16">
        <v>1</v>
      </c>
      <c r="H75" s="16">
        <v>3</v>
      </c>
      <c r="I75" s="16">
        <v>2</v>
      </c>
      <c r="J75" s="16">
        <v>3</v>
      </c>
    </row>
    <row r="76" spans="1:10" x14ac:dyDescent="0.35">
      <c r="A76" s="16" t="s">
        <v>200</v>
      </c>
      <c r="B76" s="16">
        <v>7</v>
      </c>
      <c r="C76" s="16">
        <v>7</v>
      </c>
      <c r="D76" s="16">
        <v>5</v>
      </c>
      <c r="E76" s="16">
        <v>3</v>
      </c>
      <c r="F76" s="16">
        <v>5</v>
      </c>
      <c r="G76" s="16">
        <v>1</v>
      </c>
      <c r="H76" s="16">
        <v>0</v>
      </c>
      <c r="I76" s="16">
        <v>2</v>
      </c>
      <c r="J76" s="16">
        <v>5</v>
      </c>
    </row>
    <row r="77" spans="1:10" x14ac:dyDescent="0.35">
      <c r="A77" s="16" t="s">
        <v>201</v>
      </c>
      <c r="B77" s="16">
        <v>7</v>
      </c>
      <c r="C77" s="16">
        <v>7</v>
      </c>
      <c r="D77" s="16">
        <v>7</v>
      </c>
      <c r="E77" s="16">
        <v>5</v>
      </c>
      <c r="F77" s="16">
        <v>7</v>
      </c>
      <c r="G77" s="16">
        <v>1</v>
      </c>
      <c r="H77" s="16">
        <v>0</v>
      </c>
      <c r="I77" s="16">
        <v>1</v>
      </c>
      <c r="J77" s="16">
        <v>5</v>
      </c>
    </row>
    <row r="78" spans="1:10" x14ac:dyDescent="0.35">
      <c r="A78" s="16" t="s">
        <v>202</v>
      </c>
      <c r="B78" s="16">
        <v>7</v>
      </c>
      <c r="C78" s="16">
        <v>7</v>
      </c>
      <c r="D78" s="16">
        <v>5</v>
      </c>
      <c r="E78" s="16">
        <v>3</v>
      </c>
      <c r="F78" s="16">
        <v>5</v>
      </c>
      <c r="G78" s="16">
        <v>2</v>
      </c>
      <c r="H78" s="16">
        <v>3</v>
      </c>
      <c r="I78" s="16">
        <v>2</v>
      </c>
      <c r="J78" s="16">
        <v>3</v>
      </c>
    </row>
    <row r="79" spans="1:10" x14ac:dyDescent="0.35">
      <c r="A79" s="16" t="s">
        <v>203</v>
      </c>
      <c r="B79" s="16">
        <v>3</v>
      </c>
      <c r="C79" s="16">
        <v>3</v>
      </c>
      <c r="D79" s="16">
        <v>3</v>
      </c>
      <c r="E79" s="16">
        <v>3</v>
      </c>
      <c r="F79" s="16">
        <v>5</v>
      </c>
      <c r="G79" s="16">
        <v>1</v>
      </c>
      <c r="H79" s="16">
        <v>0</v>
      </c>
      <c r="I79" s="16">
        <v>2</v>
      </c>
      <c r="J79" s="16">
        <v>3</v>
      </c>
    </row>
    <row r="80" spans="1:10" x14ac:dyDescent="0.35">
      <c r="A80" s="16" t="s">
        <v>204</v>
      </c>
      <c r="B80" s="16">
        <v>7</v>
      </c>
      <c r="C80" s="16">
        <v>7</v>
      </c>
      <c r="D80" s="16">
        <v>5</v>
      </c>
      <c r="E80" s="16">
        <v>3</v>
      </c>
      <c r="F80" s="16">
        <v>3</v>
      </c>
      <c r="G80" s="16">
        <v>1</v>
      </c>
      <c r="H80" s="16">
        <v>0</v>
      </c>
      <c r="I80" s="16">
        <v>1</v>
      </c>
      <c r="J80" s="16">
        <v>7</v>
      </c>
    </row>
    <row r="81" spans="1:10" x14ac:dyDescent="0.35">
      <c r="A81" s="16" t="s">
        <v>205</v>
      </c>
      <c r="B81" s="16">
        <v>5</v>
      </c>
      <c r="C81" s="16">
        <v>7</v>
      </c>
      <c r="D81" s="16">
        <v>5</v>
      </c>
      <c r="E81" s="16">
        <v>3</v>
      </c>
      <c r="F81" s="16">
        <v>3</v>
      </c>
      <c r="G81" s="16">
        <v>1</v>
      </c>
      <c r="H81" s="16">
        <v>0</v>
      </c>
      <c r="I81" s="16">
        <v>2</v>
      </c>
      <c r="J81" s="16">
        <v>5</v>
      </c>
    </row>
    <row r="82" spans="1:10" x14ac:dyDescent="0.35">
      <c r="A82" s="16" t="s">
        <v>206</v>
      </c>
      <c r="B82" s="16">
        <v>7</v>
      </c>
      <c r="C82" s="16">
        <v>3</v>
      </c>
      <c r="D82" s="16">
        <v>3</v>
      </c>
      <c r="E82" s="16">
        <v>3</v>
      </c>
      <c r="F82" s="16">
        <v>7</v>
      </c>
      <c r="G82" s="16">
        <v>2</v>
      </c>
      <c r="H82" s="16">
        <v>3</v>
      </c>
      <c r="I82" s="16">
        <v>2</v>
      </c>
      <c r="J82" s="16">
        <v>3</v>
      </c>
    </row>
    <row r="83" spans="1:10" x14ac:dyDescent="0.35">
      <c r="A83" s="16" t="s">
        <v>207</v>
      </c>
      <c r="B83" s="16">
        <v>7</v>
      </c>
      <c r="C83" s="16">
        <v>7</v>
      </c>
      <c r="D83" s="16">
        <v>3</v>
      </c>
      <c r="E83" s="16">
        <v>3</v>
      </c>
      <c r="F83" s="16">
        <v>9</v>
      </c>
      <c r="G83" s="16">
        <v>3</v>
      </c>
      <c r="H83" s="16">
        <v>0</v>
      </c>
      <c r="I83" s="16">
        <v>2</v>
      </c>
      <c r="J83" s="16">
        <v>3</v>
      </c>
    </row>
    <row r="84" spans="1:10" x14ac:dyDescent="0.35">
      <c r="A84" s="16" t="s">
        <v>208</v>
      </c>
      <c r="B84" s="16">
        <v>7</v>
      </c>
      <c r="C84" s="16">
        <v>3</v>
      </c>
      <c r="D84" s="16">
        <v>5</v>
      </c>
      <c r="E84" s="16">
        <v>5</v>
      </c>
      <c r="F84" s="16">
        <v>7</v>
      </c>
      <c r="G84" s="16">
        <v>2</v>
      </c>
      <c r="H84" s="16">
        <v>7</v>
      </c>
      <c r="I84" s="16">
        <v>2</v>
      </c>
      <c r="J84" s="16">
        <v>5</v>
      </c>
    </row>
    <row r="85" spans="1:10" x14ac:dyDescent="0.35">
      <c r="A85" s="16" t="s">
        <v>209</v>
      </c>
      <c r="B85" s="16">
        <v>7</v>
      </c>
      <c r="C85" s="16">
        <v>7</v>
      </c>
      <c r="D85" s="16">
        <v>5</v>
      </c>
      <c r="E85" s="16">
        <v>5</v>
      </c>
      <c r="F85" s="16">
        <v>9</v>
      </c>
      <c r="G85" s="16">
        <v>2</v>
      </c>
      <c r="H85" s="16">
        <v>3</v>
      </c>
      <c r="I85" s="16">
        <v>2</v>
      </c>
      <c r="J85" s="16">
        <v>5</v>
      </c>
    </row>
    <row r="86" spans="1:10" x14ac:dyDescent="0.35">
      <c r="A86" s="16" t="s">
        <v>210</v>
      </c>
      <c r="B86" s="16">
        <v>7</v>
      </c>
      <c r="C86" s="16">
        <v>7</v>
      </c>
      <c r="D86" s="16">
        <v>5</v>
      </c>
      <c r="E86" s="16">
        <v>5</v>
      </c>
      <c r="F86" s="16">
        <v>1</v>
      </c>
      <c r="G86" s="16">
        <v>2</v>
      </c>
      <c r="H86" s="16">
        <v>0</v>
      </c>
      <c r="I86" s="16">
        <v>1</v>
      </c>
      <c r="J86" s="16">
        <v>7</v>
      </c>
    </row>
    <row r="87" spans="1:10" x14ac:dyDescent="0.35">
      <c r="A87" s="16" t="s">
        <v>211</v>
      </c>
      <c r="B87" s="16">
        <v>7</v>
      </c>
      <c r="C87" s="16">
        <v>7</v>
      </c>
      <c r="D87" s="16">
        <v>5</v>
      </c>
      <c r="E87" s="16">
        <v>3</v>
      </c>
      <c r="F87" s="16">
        <v>3</v>
      </c>
      <c r="G87" s="16">
        <v>1</v>
      </c>
      <c r="H87" s="16">
        <v>0</v>
      </c>
      <c r="I87" s="16">
        <v>2</v>
      </c>
      <c r="J87" s="16">
        <v>5</v>
      </c>
    </row>
    <row r="88" spans="1:10" x14ac:dyDescent="0.35">
      <c r="A88" s="16" t="s">
        <v>212</v>
      </c>
      <c r="B88" s="16">
        <v>7</v>
      </c>
      <c r="C88" s="16">
        <v>7</v>
      </c>
      <c r="D88" s="16">
        <v>3</v>
      </c>
      <c r="E88" s="16">
        <v>3</v>
      </c>
      <c r="F88" s="16">
        <v>3</v>
      </c>
      <c r="G88" s="16">
        <v>1</v>
      </c>
      <c r="H88" s="16">
        <v>0</v>
      </c>
      <c r="I88" s="16">
        <v>1</v>
      </c>
      <c r="J88" s="16">
        <v>7</v>
      </c>
    </row>
    <row r="89" spans="1:10" x14ac:dyDescent="0.35">
      <c r="A89" s="16" t="s">
        <v>213</v>
      </c>
      <c r="B89" s="16">
        <v>7</v>
      </c>
      <c r="C89" s="16">
        <v>7</v>
      </c>
      <c r="D89" s="16">
        <v>3</v>
      </c>
      <c r="E89" s="16">
        <v>3</v>
      </c>
      <c r="F89" s="16">
        <v>3</v>
      </c>
      <c r="G89" s="16">
        <v>1</v>
      </c>
      <c r="H89" s="16">
        <v>0</v>
      </c>
      <c r="I89" s="16">
        <v>1</v>
      </c>
      <c r="J89" s="16">
        <v>7</v>
      </c>
    </row>
    <row r="90" spans="1:10" x14ac:dyDescent="0.35">
      <c r="A90" s="16" t="s">
        <v>214</v>
      </c>
      <c r="B90" s="16">
        <v>7</v>
      </c>
      <c r="C90" s="16">
        <v>7</v>
      </c>
      <c r="D90" s="16">
        <v>5</v>
      </c>
      <c r="E90" s="16">
        <v>3</v>
      </c>
      <c r="F90" s="16">
        <v>3</v>
      </c>
      <c r="G90" s="16">
        <v>1</v>
      </c>
      <c r="H90" s="16">
        <v>0</v>
      </c>
      <c r="I90" s="16">
        <v>2</v>
      </c>
      <c r="J90" s="16">
        <v>5</v>
      </c>
    </row>
    <row r="91" spans="1:10" x14ac:dyDescent="0.35">
      <c r="A91" s="16" t="s">
        <v>215</v>
      </c>
      <c r="B91" s="16">
        <v>7</v>
      </c>
      <c r="C91" s="16">
        <v>7</v>
      </c>
      <c r="D91" s="16">
        <v>5</v>
      </c>
      <c r="E91" s="16">
        <v>3</v>
      </c>
      <c r="F91" s="16">
        <v>3</v>
      </c>
      <c r="G91" s="16">
        <v>1</v>
      </c>
      <c r="H91" s="16">
        <v>0</v>
      </c>
      <c r="I91" s="16">
        <v>2</v>
      </c>
      <c r="J91" s="16">
        <v>5</v>
      </c>
    </row>
    <row r="92" spans="1:10" x14ac:dyDescent="0.35">
      <c r="A92" s="16" t="s">
        <v>216</v>
      </c>
      <c r="B92" s="16">
        <v>7</v>
      </c>
      <c r="C92" s="16">
        <v>7</v>
      </c>
      <c r="D92" s="16">
        <v>7</v>
      </c>
      <c r="E92" s="16">
        <v>3</v>
      </c>
      <c r="F92" s="16">
        <v>7</v>
      </c>
      <c r="G92" s="16">
        <v>1</v>
      </c>
      <c r="H92" s="16">
        <v>3</v>
      </c>
      <c r="I92" s="16">
        <v>1</v>
      </c>
      <c r="J92" s="16">
        <v>5</v>
      </c>
    </row>
    <row r="93" spans="1:10" x14ac:dyDescent="0.35">
      <c r="A93" s="16" t="s">
        <v>217</v>
      </c>
      <c r="B93" s="16">
        <v>7</v>
      </c>
      <c r="C93" s="16">
        <v>7</v>
      </c>
      <c r="D93" s="16">
        <v>5</v>
      </c>
      <c r="E93" s="16">
        <v>3</v>
      </c>
      <c r="F93" s="16">
        <v>9</v>
      </c>
      <c r="G93" s="16">
        <v>1</v>
      </c>
      <c r="H93" s="16">
        <v>3</v>
      </c>
      <c r="I93" s="16">
        <v>1</v>
      </c>
      <c r="J93" s="16">
        <v>5</v>
      </c>
    </row>
    <row r="94" spans="1:10" x14ac:dyDescent="0.35">
      <c r="A94" s="16" t="s">
        <v>218</v>
      </c>
      <c r="B94" s="16">
        <v>7</v>
      </c>
      <c r="C94" s="16">
        <v>7</v>
      </c>
      <c r="D94" s="16">
        <v>5</v>
      </c>
      <c r="E94" s="16">
        <v>3</v>
      </c>
      <c r="F94" s="16">
        <v>7</v>
      </c>
      <c r="G94" s="16">
        <v>1</v>
      </c>
      <c r="H94" s="16">
        <v>0</v>
      </c>
      <c r="I94" s="16">
        <v>1</v>
      </c>
      <c r="J94" s="16">
        <v>3</v>
      </c>
    </row>
    <row r="95" spans="1:10" x14ac:dyDescent="0.35">
      <c r="A95" s="16" t="s">
        <v>219</v>
      </c>
      <c r="B95" s="16">
        <v>5</v>
      </c>
      <c r="C95" s="16">
        <v>0</v>
      </c>
      <c r="D95" s="16">
        <v>3</v>
      </c>
      <c r="E95" s="16">
        <v>3</v>
      </c>
      <c r="F95" s="16">
        <v>3</v>
      </c>
      <c r="G95" s="16">
        <v>2</v>
      </c>
      <c r="H95" s="16">
        <v>0</v>
      </c>
      <c r="I95" s="16">
        <v>1</v>
      </c>
      <c r="J95" s="16">
        <v>5</v>
      </c>
    </row>
    <row r="96" spans="1:10" x14ac:dyDescent="0.35">
      <c r="A96" s="16" t="s">
        <v>220</v>
      </c>
      <c r="B96" s="16">
        <v>7</v>
      </c>
      <c r="C96" s="16">
        <v>7</v>
      </c>
      <c r="D96" s="16">
        <v>3</v>
      </c>
      <c r="E96" s="16">
        <v>3</v>
      </c>
      <c r="F96" s="16">
        <v>3</v>
      </c>
      <c r="G96" s="16">
        <v>1</v>
      </c>
      <c r="H96" s="16">
        <v>0</v>
      </c>
      <c r="I96" s="16">
        <v>1</v>
      </c>
      <c r="J96" s="16">
        <v>5</v>
      </c>
    </row>
    <row r="97" spans="1:10" x14ac:dyDescent="0.35">
      <c r="A97" s="16" t="s">
        <v>221</v>
      </c>
      <c r="B97" s="16">
        <v>3</v>
      </c>
      <c r="C97" s="16">
        <v>3</v>
      </c>
      <c r="D97" s="16">
        <v>3</v>
      </c>
      <c r="E97" s="16">
        <v>3</v>
      </c>
      <c r="F97" s="16">
        <v>5</v>
      </c>
      <c r="G97" s="16">
        <v>1</v>
      </c>
      <c r="H97" s="16">
        <v>0</v>
      </c>
      <c r="I97" s="16">
        <v>1</v>
      </c>
      <c r="J97" s="16">
        <v>5</v>
      </c>
    </row>
    <row r="98" spans="1:10" x14ac:dyDescent="0.35">
      <c r="A98" s="16" t="s">
        <v>222</v>
      </c>
      <c r="B98" s="16">
        <v>7</v>
      </c>
      <c r="C98" s="16">
        <v>3</v>
      </c>
      <c r="D98" s="16">
        <v>3</v>
      </c>
      <c r="E98" s="16">
        <v>3</v>
      </c>
      <c r="F98" s="16">
        <v>5</v>
      </c>
      <c r="G98" s="16">
        <v>1</v>
      </c>
      <c r="H98" s="16">
        <v>0</v>
      </c>
      <c r="I98" s="16">
        <v>1</v>
      </c>
      <c r="J98" s="16">
        <v>5</v>
      </c>
    </row>
    <row r="99" spans="1:10" x14ac:dyDescent="0.35">
      <c r="A99" s="16" t="s">
        <v>223</v>
      </c>
      <c r="B99" s="16">
        <v>7</v>
      </c>
      <c r="C99" s="16">
        <v>3</v>
      </c>
      <c r="D99" s="16">
        <v>3</v>
      </c>
      <c r="E99" s="16">
        <v>3</v>
      </c>
      <c r="F99" s="16">
        <v>5</v>
      </c>
      <c r="G99" s="16">
        <v>1</v>
      </c>
      <c r="H99" s="16">
        <v>3</v>
      </c>
      <c r="I99" s="16">
        <v>1</v>
      </c>
      <c r="J99" s="16">
        <v>5</v>
      </c>
    </row>
    <row r="100" spans="1:10" x14ac:dyDescent="0.35">
      <c r="A100" s="16" t="s">
        <v>224</v>
      </c>
      <c r="B100" s="16">
        <v>7</v>
      </c>
      <c r="C100" s="16">
        <v>3</v>
      </c>
      <c r="D100" s="16">
        <v>3</v>
      </c>
      <c r="E100" s="16">
        <v>3</v>
      </c>
      <c r="F100" s="16">
        <v>7</v>
      </c>
      <c r="G100" s="16">
        <v>1</v>
      </c>
      <c r="H100" s="16">
        <v>0</v>
      </c>
      <c r="I100" s="16">
        <v>2</v>
      </c>
      <c r="J100" s="16">
        <v>5</v>
      </c>
    </row>
    <row r="101" spans="1:10" x14ac:dyDescent="0.35">
      <c r="A101" s="16" t="s">
        <v>225</v>
      </c>
      <c r="B101" s="16">
        <v>7</v>
      </c>
      <c r="C101" s="16">
        <v>0</v>
      </c>
      <c r="D101" s="16">
        <v>3</v>
      </c>
      <c r="E101" s="16">
        <v>3</v>
      </c>
      <c r="F101" s="16">
        <v>5</v>
      </c>
      <c r="G101" s="16">
        <v>2</v>
      </c>
      <c r="H101" s="16">
        <v>0</v>
      </c>
      <c r="I101" s="16">
        <v>2</v>
      </c>
      <c r="J101" s="16">
        <v>3</v>
      </c>
    </row>
    <row r="102" spans="1:10" x14ac:dyDescent="0.35">
      <c r="A102" s="16" t="s">
        <v>226</v>
      </c>
      <c r="B102" s="16">
        <v>7</v>
      </c>
      <c r="C102" s="16">
        <v>7</v>
      </c>
      <c r="D102" s="16">
        <v>3</v>
      </c>
      <c r="E102" s="16">
        <v>3</v>
      </c>
      <c r="F102" s="16">
        <v>5</v>
      </c>
      <c r="G102" s="16">
        <v>1</v>
      </c>
      <c r="H102" s="16">
        <v>0</v>
      </c>
      <c r="I102" s="16">
        <v>1</v>
      </c>
      <c r="J102" s="16">
        <v>5</v>
      </c>
    </row>
    <row r="103" spans="1:10" x14ac:dyDescent="0.35">
      <c r="A103" s="16" t="s">
        <v>227</v>
      </c>
      <c r="B103" s="16">
        <v>7</v>
      </c>
      <c r="C103" s="16">
        <v>3</v>
      </c>
      <c r="D103" s="16">
        <v>5</v>
      </c>
      <c r="E103" s="16">
        <v>3</v>
      </c>
      <c r="F103" s="16">
        <v>3</v>
      </c>
      <c r="G103" s="16">
        <v>2</v>
      </c>
      <c r="H103" s="16">
        <v>3</v>
      </c>
      <c r="I103" s="16">
        <v>1</v>
      </c>
      <c r="J103" s="16">
        <v>5</v>
      </c>
    </row>
    <row r="104" spans="1:10" x14ac:dyDescent="0.35">
      <c r="A104" s="16" t="s">
        <v>228</v>
      </c>
      <c r="B104" s="16">
        <v>7</v>
      </c>
      <c r="C104" s="16">
        <v>0</v>
      </c>
      <c r="D104" s="16">
        <v>5</v>
      </c>
      <c r="E104" s="16">
        <v>3</v>
      </c>
      <c r="F104" s="16">
        <v>5</v>
      </c>
      <c r="G104" s="16">
        <v>1</v>
      </c>
      <c r="H104" s="16">
        <v>0</v>
      </c>
      <c r="I104" s="16">
        <v>2</v>
      </c>
      <c r="J104" s="16">
        <v>5</v>
      </c>
    </row>
    <row r="105" spans="1:10" x14ac:dyDescent="0.35">
      <c r="A105" s="16" t="s">
        <v>229</v>
      </c>
      <c r="B105" s="16">
        <v>7</v>
      </c>
      <c r="C105" s="16">
        <v>7</v>
      </c>
      <c r="D105" s="16">
        <v>5</v>
      </c>
      <c r="E105" s="16">
        <v>5</v>
      </c>
      <c r="F105" s="16">
        <v>5</v>
      </c>
      <c r="G105" s="16">
        <v>1</v>
      </c>
      <c r="H105" s="16">
        <v>0</v>
      </c>
      <c r="I105" s="16">
        <v>1</v>
      </c>
      <c r="J105" s="16">
        <v>3</v>
      </c>
    </row>
    <row r="106" spans="1:10" x14ac:dyDescent="0.35">
      <c r="A106" s="16" t="s">
        <v>230</v>
      </c>
      <c r="B106" s="16">
        <v>7</v>
      </c>
      <c r="C106" s="16">
        <v>0</v>
      </c>
      <c r="D106" s="16">
        <v>5</v>
      </c>
      <c r="E106" s="16">
        <v>5</v>
      </c>
      <c r="F106" s="16">
        <v>1</v>
      </c>
      <c r="G106" s="16">
        <v>1</v>
      </c>
      <c r="H106" s="16">
        <v>0</v>
      </c>
      <c r="I106" s="16">
        <v>2</v>
      </c>
      <c r="J106" s="16">
        <v>5</v>
      </c>
    </row>
    <row r="107" spans="1:10" x14ac:dyDescent="0.35">
      <c r="A107" s="16" t="s">
        <v>231</v>
      </c>
      <c r="B107" s="16">
        <v>3</v>
      </c>
      <c r="C107" s="16">
        <v>3</v>
      </c>
      <c r="D107" s="16">
        <v>3</v>
      </c>
      <c r="E107" s="16">
        <v>3</v>
      </c>
      <c r="F107" s="16">
        <v>9</v>
      </c>
      <c r="G107" s="16">
        <v>1</v>
      </c>
      <c r="H107" s="16">
        <v>0</v>
      </c>
      <c r="I107" s="16">
        <v>2</v>
      </c>
      <c r="J107" s="16">
        <v>3</v>
      </c>
    </row>
    <row r="108" spans="1:10" x14ac:dyDescent="0.35">
      <c r="A108" s="16" t="s">
        <v>232</v>
      </c>
      <c r="B108" s="16">
        <v>3</v>
      </c>
      <c r="C108" s="16">
        <v>3</v>
      </c>
      <c r="D108" s="16">
        <v>7</v>
      </c>
      <c r="E108" s="16">
        <v>5</v>
      </c>
      <c r="F108" s="16">
        <v>9</v>
      </c>
      <c r="G108" s="16">
        <v>2</v>
      </c>
      <c r="H108" s="16">
        <v>7</v>
      </c>
      <c r="I108" s="16">
        <v>2</v>
      </c>
      <c r="J108" s="16">
        <v>5</v>
      </c>
    </row>
    <row r="109" spans="1:10" x14ac:dyDescent="0.35">
      <c r="A109" s="16" t="s">
        <v>233</v>
      </c>
      <c r="B109" s="16">
        <v>3</v>
      </c>
      <c r="C109" s="16">
        <v>3</v>
      </c>
      <c r="D109" s="16">
        <v>5</v>
      </c>
      <c r="E109" s="16">
        <v>7</v>
      </c>
      <c r="F109" s="16">
        <v>9</v>
      </c>
      <c r="G109" s="16">
        <v>1</v>
      </c>
      <c r="H109" s="16">
        <v>0</v>
      </c>
      <c r="I109" s="16">
        <v>2</v>
      </c>
      <c r="J109" s="16">
        <v>5</v>
      </c>
    </row>
    <row r="110" spans="1:10" x14ac:dyDescent="0.35">
      <c r="A110" s="16" t="s">
        <v>234</v>
      </c>
      <c r="B110" s="16">
        <v>3</v>
      </c>
      <c r="C110" s="16">
        <v>3</v>
      </c>
      <c r="D110" s="16">
        <v>5</v>
      </c>
      <c r="E110" s="16">
        <v>3</v>
      </c>
      <c r="F110" s="16">
        <v>5</v>
      </c>
      <c r="G110" s="16">
        <v>1</v>
      </c>
      <c r="H110" s="16">
        <v>0</v>
      </c>
      <c r="I110" s="16">
        <v>2</v>
      </c>
      <c r="J110" s="16">
        <v>5</v>
      </c>
    </row>
    <row r="111" spans="1:10" x14ac:dyDescent="0.35">
      <c r="A111" s="16" t="s">
        <v>235</v>
      </c>
      <c r="B111" s="16">
        <v>3</v>
      </c>
      <c r="C111" s="16">
        <v>7</v>
      </c>
      <c r="D111" s="16">
        <v>7</v>
      </c>
      <c r="E111" s="16">
        <v>3</v>
      </c>
      <c r="F111" s="16">
        <v>9</v>
      </c>
      <c r="G111" s="16">
        <v>2</v>
      </c>
      <c r="H111" s="16">
        <v>0</v>
      </c>
      <c r="I111" s="16">
        <v>2</v>
      </c>
      <c r="J111" s="16">
        <v>7</v>
      </c>
    </row>
    <row r="112" spans="1:10" x14ac:dyDescent="0.35">
      <c r="A112" s="16" t="s">
        <v>236</v>
      </c>
      <c r="B112" s="16">
        <v>3</v>
      </c>
      <c r="C112" s="16">
        <v>0</v>
      </c>
      <c r="D112" s="16">
        <v>7</v>
      </c>
      <c r="E112" s="16">
        <v>3</v>
      </c>
      <c r="F112" s="16">
        <v>9</v>
      </c>
      <c r="G112" s="16">
        <v>1</v>
      </c>
      <c r="H112" s="16">
        <v>0</v>
      </c>
      <c r="I112" s="16">
        <v>2</v>
      </c>
      <c r="J112" s="16">
        <v>3</v>
      </c>
    </row>
    <row r="113" spans="1:10" x14ac:dyDescent="0.35">
      <c r="A113" s="16" t="s">
        <v>237</v>
      </c>
      <c r="B113" s="16">
        <v>3</v>
      </c>
      <c r="C113" s="16">
        <v>7</v>
      </c>
      <c r="D113" s="16">
        <v>3</v>
      </c>
      <c r="E113" s="16">
        <v>3</v>
      </c>
      <c r="F113" s="16">
        <v>3</v>
      </c>
      <c r="G113" s="16">
        <v>1</v>
      </c>
      <c r="H113" s="16">
        <v>3</v>
      </c>
      <c r="I113" s="16">
        <v>2</v>
      </c>
      <c r="J113" s="16">
        <v>5</v>
      </c>
    </row>
    <row r="114" spans="1:10" x14ac:dyDescent="0.35">
      <c r="A114" s="16" t="s">
        <v>238</v>
      </c>
      <c r="B114" s="16">
        <v>5</v>
      </c>
      <c r="C114" s="16">
        <v>7</v>
      </c>
      <c r="D114" s="16">
        <v>5</v>
      </c>
      <c r="E114" s="16">
        <v>3</v>
      </c>
      <c r="F114" s="16">
        <v>5</v>
      </c>
      <c r="G114" s="16">
        <v>1</v>
      </c>
      <c r="H114" s="16">
        <v>0</v>
      </c>
      <c r="I114" s="16">
        <v>1</v>
      </c>
      <c r="J114" s="16">
        <v>5</v>
      </c>
    </row>
    <row r="115" spans="1:10" x14ac:dyDescent="0.35">
      <c r="A115" s="16" t="s">
        <v>239</v>
      </c>
      <c r="B115" s="16">
        <v>3</v>
      </c>
      <c r="C115" s="16">
        <v>7</v>
      </c>
      <c r="D115" s="16">
        <v>5</v>
      </c>
      <c r="E115" s="16">
        <v>3</v>
      </c>
      <c r="F115" s="16">
        <v>5</v>
      </c>
      <c r="G115" s="16">
        <v>1</v>
      </c>
      <c r="H115" s="16">
        <v>0</v>
      </c>
      <c r="I115" s="16">
        <v>1</v>
      </c>
      <c r="J115" s="16">
        <v>7</v>
      </c>
    </row>
    <row r="116" spans="1:10" x14ac:dyDescent="0.35">
      <c r="A116" s="16" t="s">
        <v>240</v>
      </c>
      <c r="B116" s="16">
        <v>7</v>
      </c>
      <c r="C116" s="16">
        <v>7</v>
      </c>
      <c r="D116" s="16">
        <v>5</v>
      </c>
      <c r="E116" s="16">
        <v>3</v>
      </c>
      <c r="F116" s="16">
        <v>7</v>
      </c>
      <c r="G116" s="16">
        <v>2</v>
      </c>
      <c r="H116" s="16">
        <v>3</v>
      </c>
      <c r="I116" s="16">
        <v>2</v>
      </c>
      <c r="J116" s="16">
        <v>5</v>
      </c>
    </row>
    <row r="117" spans="1:10" x14ac:dyDescent="0.35">
      <c r="A117" s="16" t="s">
        <v>241</v>
      </c>
      <c r="B117" s="16">
        <v>7</v>
      </c>
      <c r="C117" s="16">
        <v>7</v>
      </c>
      <c r="D117" s="16">
        <v>5</v>
      </c>
      <c r="E117" s="16">
        <v>3</v>
      </c>
      <c r="F117" s="16">
        <v>7</v>
      </c>
      <c r="G117" s="16">
        <v>1</v>
      </c>
      <c r="H117" s="16">
        <v>0</v>
      </c>
      <c r="I117" s="16">
        <v>1</v>
      </c>
      <c r="J117" s="1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B25E-0C30-4A04-B911-1A45EDB65741}">
  <dimension ref="A1:M37"/>
  <sheetViews>
    <sheetView topLeftCell="E1" zoomScale="57" workbookViewId="0">
      <selection activeCell="U21" sqref="U21"/>
    </sheetView>
  </sheetViews>
  <sheetFormatPr defaultRowHeight="14.5" x14ac:dyDescent="0.35"/>
  <cols>
    <col min="2" max="2" width="13.81640625" customWidth="1"/>
    <col min="3" max="3" width="16.1796875" customWidth="1"/>
    <col min="4" max="4" width="12.1796875" customWidth="1"/>
    <col min="5" max="5" width="11.6328125" customWidth="1"/>
    <col min="6" max="8" width="12.54296875" customWidth="1"/>
    <col min="10" max="10" width="10.26953125" customWidth="1"/>
    <col min="11" max="11" width="9.08984375" customWidth="1"/>
    <col min="12" max="12" width="10.90625" customWidth="1"/>
    <col min="13" max="13" width="11.26953125" customWidth="1"/>
  </cols>
  <sheetData>
    <row r="1" spans="1:13" ht="16" thickBot="1" x14ac:dyDescent="0.4">
      <c r="A1" s="19" t="s">
        <v>388</v>
      </c>
      <c r="B1" s="20" t="s">
        <v>389</v>
      </c>
      <c r="C1" s="20" t="s">
        <v>390</v>
      </c>
      <c r="D1" s="20" t="s">
        <v>391</v>
      </c>
      <c r="E1" s="20" t="s">
        <v>392</v>
      </c>
      <c r="F1" s="23" t="s">
        <v>393</v>
      </c>
      <c r="G1" s="30"/>
      <c r="I1" s="29" t="s">
        <v>400</v>
      </c>
      <c r="J1" s="29" t="s">
        <v>401</v>
      </c>
      <c r="K1" s="29" t="s">
        <v>402</v>
      </c>
      <c r="L1" s="29" t="s">
        <v>403</v>
      </c>
      <c r="M1" s="29" t="s">
        <v>404</v>
      </c>
    </row>
    <row r="2" spans="1:13" ht="16" thickBot="1" x14ac:dyDescent="0.4">
      <c r="A2" s="21">
        <v>1</v>
      </c>
      <c r="B2" s="22" t="s">
        <v>394</v>
      </c>
      <c r="C2" s="22">
        <v>3</v>
      </c>
      <c r="D2" s="22">
        <v>20</v>
      </c>
      <c r="E2" s="22">
        <v>17.239999999999998</v>
      </c>
      <c r="F2" s="24"/>
      <c r="G2" s="30"/>
      <c r="I2" s="29">
        <v>20</v>
      </c>
      <c r="J2">
        <f>I2/I$5</f>
        <v>0.17241379310344829</v>
      </c>
      <c r="K2">
        <f>LOG(J2,2)</f>
        <v>-2.5360529002402097</v>
      </c>
      <c r="L2">
        <f>K2*-1</f>
        <v>2.5360529002402097</v>
      </c>
      <c r="M2">
        <f>J2*L2</f>
        <v>0.43725050004141547</v>
      </c>
    </row>
    <row r="3" spans="1:13" ht="16" thickBot="1" x14ac:dyDescent="0.4">
      <c r="A3" s="25"/>
      <c r="B3" s="26"/>
      <c r="C3" s="22">
        <v>5</v>
      </c>
      <c r="D3" s="22">
        <v>26</v>
      </c>
      <c r="E3" s="22">
        <v>22.41</v>
      </c>
      <c r="F3" s="34">
        <v>0.58098367473532087</v>
      </c>
      <c r="G3" s="30"/>
      <c r="I3" s="29">
        <v>26</v>
      </c>
      <c r="J3">
        <f>I3/I$5</f>
        <v>0.22413793103448276</v>
      </c>
      <c r="K3">
        <f t="shared" ref="K3:K4" si="0">LOG(J3,2)</f>
        <v>-2.1575412769864801</v>
      </c>
      <c r="L3">
        <f>K3*-1</f>
        <v>2.1575412769864801</v>
      </c>
      <c r="M3">
        <f>J3*L3</f>
        <v>0.48358683794524554</v>
      </c>
    </row>
    <row r="4" spans="1:13" ht="16" thickBot="1" x14ac:dyDescent="0.4">
      <c r="A4" s="25"/>
      <c r="B4" s="26"/>
      <c r="C4" s="22">
        <v>7</v>
      </c>
      <c r="D4" s="22">
        <v>70</v>
      </c>
      <c r="E4" s="22">
        <v>60.34</v>
      </c>
      <c r="F4" s="24"/>
      <c r="G4" s="30"/>
      <c r="H4" s="30"/>
      <c r="I4" s="29">
        <v>70</v>
      </c>
      <c r="J4">
        <f>I4/I$5</f>
        <v>0.60344827586206895</v>
      </c>
      <c r="K4">
        <f t="shared" si="0"/>
        <v>-0.72869797818260573</v>
      </c>
    </row>
    <row r="5" spans="1:13" ht="16" thickBot="1" x14ac:dyDescent="0.4">
      <c r="A5" s="25"/>
      <c r="B5" s="26"/>
      <c r="C5" s="26"/>
      <c r="D5" s="27"/>
      <c r="E5" s="27"/>
      <c r="F5" s="28"/>
      <c r="G5" s="31"/>
      <c r="I5">
        <f>SUM(I2:I4)</f>
        <v>116</v>
      </c>
    </row>
    <row r="6" spans="1:13" ht="16" thickBot="1" x14ac:dyDescent="0.4">
      <c r="A6" s="21">
        <v>2</v>
      </c>
      <c r="B6" s="22" t="s">
        <v>395</v>
      </c>
      <c r="C6" s="22">
        <v>0</v>
      </c>
      <c r="D6" s="22">
        <v>29</v>
      </c>
      <c r="E6" s="22">
        <v>25</v>
      </c>
      <c r="F6" s="24"/>
      <c r="G6" s="32"/>
      <c r="H6" s="33" t="s">
        <v>405</v>
      </c>
      <c r="M6">
        <f>SUM(M2:M3)</f>
        <v>0.92083733798666101</v>
      </c>
    </row>
    <row r="7" spans="1:13" ht="16" thickBot="1" x14ac:dyDescent="0.4">
      <c r="A7" s="25"/>
      <c r="B7" s="26"/>
      <c r="C7" s="22">
        <v>3</v>
      </c>
      <c r="D7" s="22">
        <v>19</v>
      </c>
      <c r="E7" s="22">
        <v>16.38</v>
      </c>
      <c r="F7" s="34">
        <v>0.87017315237717197</v>
      </c>
      <c r="G7" s="32"/>
      <c r="H7" s="33" t="s">
        <v>406</v>
      </c>
      <c r="M7">
        <f>LOG(3,2)</f>
        <v>1.5849625007211563</v>
      </c>
    </row>
    <row r="8" spans="1:13" ht="16" thickBot="1" x14ac:dyDescent="0.4">
      <c r="A8" s="25"/>
      <c r="B8" s="26"/>
      <c r="C8" s="22">
        <v>7</v>
      </c>
      <c r="D8" s="22">
        <v>68</v>
      </c>
      <c r="E8" s="22">
        <v>58.62</v>
      </c>
      <c r="F8" s="24"/>
      <c r="G8" s="32"/>
      <c r="H8" s="33" t="s">
        <v>407</v>
      </c>
      <c r="M8">
        <f>M6/M7</f>
        <v>0.58098367473532087</v>
      </c>
    </row>
    <row r="9" spans="1:13" ht="16" thickBot="1" x14ac:dyDescent="0.4">
      <c r="A9" s="25"/>
      <c r="B9" s="26"/>
      <c r="C9" s="26"/>
      <c r="D9" s="27"/>
      <c r="E9" s="27"/>
      <c r="F9" s="28"/>
      <c r="G9" s="31"/>
      <c r="H9" s="31"/>
      <c r="I9" t="s">
        <v>400</v>
      </c>
      <c r="J9" t="s">
        <v>401</v>
      </c>
      <c r="K9" t="s">
        <v>402</v>
      </c>
      <c r="L9" t="s">
        <v>403</v>
      </c>
      <c r="M9" s="29" t="s">
        <v>404</v>
      </c>
    </row>
    <row r="10" spans="1:13" ht="16" thickBot="1" x14ac:dyDescent="0.4">
      <c r="A10" s="21">
        <v>3</v>
      </c>
      <c r="B10" s="22" t="s">
        <v>396</v>
      </c>
      <c r="C10" s="22">
        <v>3</v>
      </c>
      <c r="D10" s="22">
        <v>34</v>
      </c>
      <c r="E10" s="22">
        <v>29.31</v>
      </c>
      <c r="F10" s="24"/>
      <c r="G10" s="32"/>
      <c r="H10" s="32"/>
      <c r="I10" s="22">
        <v>92</v>
      </c>
      <c r="J10">
        <f>I10/I$13</f>
        <v>0.7931034482758621</v>
      </c>
      <c r="K10">
        <f>LOG(J10,2)</f>
        <v>-0.3344190390705592</v>
      </c>
      <c r="L10">
        <f>K10*-1</f>
        <v>0.3344190390705592</v>
      </c>
      <c r="M10">
        <f>J10*L10</f>
        <v>0.26522889305596076</v>
      </c>
    </row>
    <row r="11" spans="1:13" ht="16" thickBot="1" x14ac:dyDescent="0.4">
      <c r="A11" s="25"/>
      <c r="B11" s="26"/>
      <c r="C11" s="22">
        <v>5</v>
      </c>
      <c r="D11" s="22">
        <v>62</v>
      </c>
      <c r="E11" s="22">
        <v>53.45</v>
      </c>
      <c r="F11" s="34">
        <v>0.90806741927479384</v>
      </c>
      <c r="G11" s="32"/>
      <c r="H11" s="32"/>
      <c r="I11" s="22">
        <v>23</v>
      </c>
      <c r="J11">
        <f>I11/I$13</f>
        <v>0.19827586206896552</v>
      </c>
      <c r="K11">
        <f t="shared" ref="K11" si="1">LOG(J11,2)</f>
        <v>-2.3344190390705593</v>
      </c>
      <c r="L11">
        <f t="shared" ref="L11" si="2">K11*-1</f>
        <v>2.3344190390705593</v>
      </c>
      <c r="M11">
        <f t="shared" ref="M11" si="3">J11*L11</f>
        <v>0.46285894740192124</v>
      </c>
    </row>
    <row r="12" spans="1:13" ht="16" thickBot="1" x14ac:dyDescent="0.4">
      <c r="A12" s="25"/>
      <c r="B12" s="26"/>
      <c r="C12" s="22">
        <v>7</v>
      </c>
      <c r="D12" s="22">
        <v>20</v>
      </c>
      <c r="E12" s="22">
        <v>17.239999999999998</v>
      </c>
      <c r="F12" s="24"/>
      <c r="G12" s="32"/>
      <c r="H12" s="32"/>
      <c r="I12" s="22">
        <v>1</v>
      </c>
      <c r="J12">
        <f>I12/I$13</f>
        <v>8.6206896551724137E-3</v>
      </c>
      <c r="K12">
        <f>LOG(J12,2)</f>
        <v>-6.8579809951275719</v>
      </c>
      <c r="L12">
        <f>K12*-1</f>
        <v>6.8579809951275719</v>
      </c>
      <c r="M12">
        <f>J12*L12</f>
        <v>5.9120525820065273E-2</v>
      </c>
    </row>
    <row r="13" spans="1:13" ht="16" thickBot="1" x14ac:dyDescent="0.4">
      <c r="A13" s="25"/>
      <c r="B13" s="26"/>
      <c r="C13" s="26"/>
      <c r="D13" s="27"/>
      <c r="E13" s="27"/>
      <c r="F13" s="28"/>
      <c r="G13" s="31"/>
      <c r="H13" s="31"/>
      <c r="I13">
        <f>SUM(I10:I12)</f>
        <v>116</v>
      </c>
      <c r="M13">
        <f>SUM(M10:M12)</f>
        <v>0.78720836627794721</v>
      </c>
    </row>
    <row r="14" spans="1:13" ht="16" thickBot="1" x14ac:dyDescent="0.4">
      <c r="A14" s="21">
        <v>4</v>
      </c>
      <c r="B14" s="22" t="s">
        <v>397</v>
      </c>
      <c r="C14" s="22">
        <v>3</v>
      </c>
      <c r="D14" s="22">
        <v>92</v>
      </c>
      <c r="E14" s="22">
        <v>79.31</v>
      </c>
      <c r="F14" s="24"/>
      <c r="G14" s="32"/>
      <c r="H14" s="32" t="s">
        <v>408</v>
      </c>
      <c r="M14">
        <f>LOG(3,2)</f>
        <v>1.5849625007211563</v>
      </c>
    </row>
    <row r="15" spans="1:13" ht="16" thickBot="1" x14ac:dyDescent="0.4">
      <c r="A15" s="25"/>
      <c r="B15" s="26"/>
      <c r="C15" s="22">
        <v>5</v>
      </c>
      <c r="D15" s="22">
        <v>23</v>
      </c>
      <c r="E15" s="22">
        <v>19.829999999999998</v>
      </c>
      <c r="F15" s="34">
        <v>0.49667318054513482</v>
      </c>
      <c r="G15" s="32"/>
      <c r="H15" s="32" t="s">
        <v>406</v>
      </c>
      <c r="M15">
        <f>M13/M14</f>
        <v>0.49667318054513482</v>
      </c>
    </row>
    <row r="16" spans="1:13" ht="16" thickBot="1" x14ac:dyDescent="0.4">
      <c r="A16" s="25"/>
      <c r="B16" s="26"/>
      <c r="C16" s="22">
        <v>7</v>
      </c>
      <c r="D16" s="22">
        <v>1</v>
      </c>
      <c r="E16" s="22">
        <v>0.86</v>
      </c>
      <c r="F16" s="24"/>
      <c r="G16" s="32"/>
      <c r="H16" s="32"/>
    </row>
    <row r="17" spans="1:13" ht="16" thickBot="1" x14ac:dyDescent="0.4">
      <c r="A17" s="25"/>
      <c r="B17" s="26"/>
      <c r="C17" s="26"/>
      <c r="D17" s="27"/>
      <c r="E17" s="27"/>
      <c r="F17" s="28"/>
      <c r="G17" s="31"/>
      <c r="H17" s="31"/>
    </row>
    <row r="18" spans="1:13" ht="16" thickBot="1" x14ac:dyDescent="0.4">
      <c r="A18" s="21">
        <v>5</v>
      </c>
      <c r="B18" s="22" t="s">
        <v>398</v>
      </c>
      <c r="C18" s="22">
        <v>1</v>
      </c>
      <c r="D18" s="22">
        <v>2</v>
      </c>
      <c r="E18" s="22">
        <v>1.72</v>
      </c>
      <c r="F18" s="24"/>
      <c r="G18" s="32"/>
      <c r="H18" s="32"/>
      <c r="M18" t="e">
        <f>M15/M17</f>
        <v>#DIV/0!</v>
      </c>
    </row>
    <row r="19" spans="1:13" ht="16" thickBot="1" x14ac:dyDescent="0.4">
      <c r="A19" s="25"/>
      <c r="B19" s="26"/>
      <c r="C19" s="22">
        <v>3</v>
      </c>
      <c r="D19" s="22">
        <v>22</v>
      </c>
      <c r="E19" s="22">
        <v>18.97</v>
      </c>
      <c r="F19" s="24"/>
      <c r="G19" s="32"/>
      <c r="H19" s="32"/>
    </row>
    <row r="20" spans="1:13" ht="16" thickBot="1" x14ac:dyDescent="0.4">
      <c r="A20" s="25"/>
      <c r="B20" s="26"/>
      <c r="C20" s="22">
        <v>5</v>
      </c>
      <c r="D20" s="22">
        <v>45</v>
      </c>
      <c r="E20" s="22">
        <v>38.79</v>
      </c>
      <c r="F20" s="34">
        <v>0.86494833691593931</v>
      </c>
      <c r="G20" s="32"/>
      <c r="H20" s="22"/>
    </row>
    <row r="21" spans="1:13" ht="16" thickBot="1" x14ac:dyDescent="0.4">
      <c r="A21" s="25"/>
      <c r="B21" s="26"/>
      <c r="C21" s="22">
        <v>7</v>
      </c>
      <c r="D21" s="22">
        <v>28</v>
      </c>
      <c r="E21" s="22">
        <v>24.14</v>
      </c>
      <c r="F21" s="24"/>
      <c r="G21" s="32"/>
      <c r="H21" s="22"/>
    </row>
    <row r="22" spans="1:13" ht="16" thickBot="1" x14ac:dyDescent="0.4">
      <c r="A22" s="25"/>
      <c r="B22" s="26"/>
      <c r="C22" s="22">
        <v>9</v>
      </c>
      <c r="D22" s="22">
        <v>19</v>
      </c>
      <c r="E22" s="22">
        <v>16.38</v>
      </c>
      <c r="F22" s="24"/>
      <c r="G22" s="32"/>
      <c r="H22" s="22"/>
    </row>
    <row r="23" spans="1:13" ht="16" thickBot="1" x14ac:dyDescent="0.4">
      <c r="A23" s="25"/>
      <c r="B23" s="26"/>
      <c r="C23" s="26"/>
      <c r="D23" s="27"/>
      <c r="E23" s="27"/>
      <c r="F23" s="28"/>
      <c r="G23" s="31"/>
      <c r="H23" s="22"/>
    </row>
    <row r="24" spans="1:13" ht="16" thickBot="1" x14ac:dyDescent="0.4">
      <c r="A24" s="21">
        <v>6</v>
      </c>
      <c r="B24" s="22" t="s">
        <v>18</v>
      </c>
      <c r="C24" s="22">
        <v>1</v>
      </c>
      <c r="D24" s="22">
        <v>82</v>
      </c>
      <c r="E24" s="22">
        <v>70.69</v>
      </c>
      <c r="F24" s="24"/>
      <c r="G24" s="32"/>
      <c r="H24" s="22"/>
    </row>
    <row r="25" spans="1:13" ht="16" thickBot="1" x14ac:dyDescent="0.4">
      <c r="A25" s="25"/>
      <c r="B25" s="26"/>
      <c r="C25" s="22">
        <v>2</v>
      </c>
      <c r="D25" s="22">
        <v>28</v>
      </c>
      <c r="E25" s="22">
        <v>24.14</v>
      </c>
      <c r="F25" s="34">
        <v>0.67493611524973229</v>
      </c>
      <c r="G25" s="32"/>
      <c r="H25" s="32"/>
    </row>
    <row r="26" spans="1:13" ht="16" thickBot="1" x14ac:dyDescent="0.4">
      <c r="A26" s="25"/>
      <c r="B26" s="26"/>
      <c r="C26" s="22">
        <v>3</v>
      </c>
      <c r="D26" s="22">
        <v>6</v>
      </c>
      <c r="E26" s="22">
        <v>5.17</v>
      </c>
      <c r="F26" s="24"/>
      <c r="G26" s="32"/>
      <c r="H26" s="32"/>
    </row>
    <row r="27" spans="1:13" ht="16" thickBot="1" x14ac:dyDescent="0.4">
      <c r="A27" s="25"/>
      <c r="B27" s="26"/>
      <c r="C27" s="26"/>
      <c r="D27" s="27"/>
      <c r="E27" s="27"/>
      <c r="F27" s="28"/>
      <c r="G27" s="31"/>
      <c r="H27" s="31"/>
    </row>
    <row r="28" spans="1:13" ht="16" thickBot="1" x14ac:dyDescent="0.4">
      <c r="A28" s="21">
        <v>7</v>
      </c>
      <c r="B28" s="22" t="s">
        <v>19</v>
      </c>
      <c r="C28" s="22">
        <v>0</v>
      </c>
      <c r="D28" s="22">
        <v>90</v>
      </c>
      <c r="E28" s="22">
        <v>77.59</v>
      </c>
      <c r="F28" s="24"/>
      <c r="G28" s="32"/>
      <c r="H28" s="32"/>
    </row>
    <row r="29" spans="1:13" ht="16" thickBot="1" x14ac:dyDescent="0.4">
      <c r="A29" s="25"/>
      <c r="B29" s="26"/>
      <c r="C29" s="22">
        <v>3</v>
      </c>
      <c r="D29" s="22">
        <v>23</v>
      </c>
      <c r="E29" s="22">
        <v>19.829999999999998</v>
      </c>
      <c r="F29" s="34">
        <v>0.55729701114451846</v>
      </c>
      <c r="G29" s="32"/>
      <c r="H29" s="32"/>
    </row>
    <row r="30" spans="1:13" ht="16" thickBot="1" x14ac:dyDescent="0.4">
      <c r="A30" s="25"/>
      <c r="B30" s="26"/>
      <c r="C30" s="22">
        <v>7</v>
      </c>
      <c r="D30" s="22">
        <v>3</v>
      </c>
      <c r="E30" s="22">
        <v>2.59</v>
      </c>
      <c r="F30" s="34"/>
      <c r="G30" s="32"/>
      <c r="H30" s="32"/>
    </row>
    <row r="31" spans="1:13" ht="16" thickBot="1" x14ac:dyDescent="0.4">
      <c r="A31" s="25"/>
      <c r="B31" s="26"/>
      <c r="C31" s="26"/>
      <c r="D31" s="27"/>
      <c r="E31" s="27"/>
      <c r="F31" s="35"/>
      <c r="G31" s="31"/>
      <c r="H31" s="31"/>
    </row>
    <row r="32" spans="1:13" ht="16" thickBot="1" x14ac:dyDescent="0.4">
      <c r="A32" s="21">
        <v>8</v>
      </c>
      <c r="B32" s="22" t="s">
        <v>22</v>
      </c>
      <c r="C32" s="22">
        <v>1</v>
      </c>
      <c r="D32" s="22">
        <v>52</v>
      </c>
      <c r="E32" s="22">
        <v>44.83</v>
      </c>
      <c r="F32" s="34">
        <v>0.99226663871949627</v>
      </c>
      <c r="G32" s="32"/>
      <c r="H32" s="32"/>
    </row>
    <row r="33" spans="1:8" ht="16" thickBot="1" x14ac:dyDescent="0.4">
      <c r="A33" s="25"/>
      <c r="B33" s="26"/>
      <c r="C33" s="22">
        <v>2</v>
      </c>
      <c r="D33" s="22">
        <v>64</v>
      </c>
      <c r="E33" s="22">
        <v>55.17</v>
      </c>
      <c r="F33" s="34"/>
      <c r="G33" s="32"/>
      <c r="H33" s="32"/>
    </row>
    <row r="34" spans="1:8" ht="16" thickBot="1" x14ac:dyDescent="0.4">
      <c r="A34" s="25"/>
      <c r="B34" s="26"/>
      <c r="C34" s="26"/>
      <c r="D34" s="27"/>
      <c r="E34" s="27"/>
      <c r="F34" s="35"/>
      <c r="G34" s="31"/>
      <c r="H34" s="31"/>
    </row>
    <row r="35" spans="1:8" ht="16" thickBot="1" x14ac:dyDescent="0.4">
      <c r="A35" s="21">
        <v>9</v>
      </c>
      <c r="B35" s="22" t="s">
        <v>399</v>
      </c>
      <c r="C35" s="22">
        <v>3</v>
      </c>
      <c r="D35" s="22">
        <v>21</v>
      </c>
      <c r="E35" s="22">
        <v>18.100000000000001</v>
      </c>
      <c r="F35" s="34"/>
      <c r="G35" s="32"/>
      <c r="H35" s="32"/>
    </row>
    <row r="36" spans="1:8" ht="16" thickBot="1" x14ac:dyDescent="0.4">
      <c r="A36" s="25"/>
      <c r="B36" s="26"/>
      <c r="C36" s="22">
        <v>5</v>
      </c>
      <c r="D36" s="22">
        <v>67</v>
      </c>
      <c r="E36" s="22">
        <v>57.76</v>
      </c>
      <c r="F36" s="34">
        <v>0.88250328942480527</v>
      </c>
      <c r="G36" s="32"/>
      <c r="H36" s="32"/>
    </row>
    <row r="37" spans="1:8" ht="16" thickBot="1" x14ac:dyDescent="0.4">
      <c r="A37" s="25"/>
      <c r="B37" s="26"/>
      <c r="C37" s="22">
        <v>7</v>
      </c>
      <c r="D37" s="22">
        <v>28</v>
      </c>
      <c r="E37" s="22">
        <v>24.14</v>
      </c>
      <c r="F37" s="24"/>
      <c r="G37" s="32"/>
      <c r="H37" s="3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AB89-BAA6-4862-87B7-34DC48464FBE}">
  <dimension ref="A1:B6"/>
  <sheetViews>
    <sheetView workbookViewId="0">
      <selection activeCell="L12" sqref="L12"/>
    </sheetView>
  </sheetViews>
  <sheetFormatPr defaultRowHeight="15.5" x14ac:dyDescent="0.35"/>
  <cols>
    <col min="1" max="1" width="20.26953125" style="17" customWidth="1"/>
    <col min="2" max="2" width="22.54296875" style="17" customWidth="1"/>
  </cols>
  <sheetData>
    <row r="1" spans="1:2" x14ac:dyDescent="0.35">
      <c r="A1" s="51" t="s">
        <v>444</v>
      </c>
      <c r="B1" s="51" t="s">
        <v>445</v>
      </c>
    </row>
    <row r="2" spans="1:2" x14ac:dyDescent="0.35">
      <c r="A2" s="51" t="s">
        <v>446</v>
      </c>
      <c r="B2" s="52">
        <v>0.84399999999999997</v>
      </c>
    </row>
    <row r="3" spans="1:2" x14ac:dyDescent="0.35">
      <c r="A3" s="51" t="s">
        <v>447</v>
      </c>
      <c r="B3" s="52">
        <v>0.69899999999999995</v>
      </c>
    </row>
    <row r="4" spans="1:2" x14ac:dyDescent="0.35">
      <c r="A4" s="51" t="s">
        <v>448</v>
      </c>
      <c r="B4" s="52">
        <v>0.501</v>
      </c>
    </row>
    <row r="5" spans="1:2" x14ac:dyDescent="0.35">
      <c r="A5" s="51" t="s">
        <v>449</v>
      </c>
      <c r="B5" s="52">
        <v>0.78700000000000003</v>
      </c>
    </row>
    <row r="6" spans="1:2" x14ac:dyDescent="0.35">
      <c r="A6" s="51" t="s">
        <v>450</v>
      </c>
      <c r="B6" s="52">
        <v>0.501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14BE-FE82-497B-9B05-1A841BD8F72F}">
  <dimension ref="A1:C19"/>
  <sheetViews>
    <sheetView workbookViewId="0">
      <selection activeCell="I40" sqref="I40"/>
    </sheetView>
  </sheetViews>
  <sheetFormatPr defaultRowHeight="14.5" x14ac:dyDescent="0.35"/>
  <cols>
    <col min="1" max="1" width="15.453125" customWidth="1"/>
  </cols>
  <sheetData>
    <row r="1" spans="1:3" ht="16" thickBot="1" x14ac:dyDescent="0.4">
      <c r="A1" s="19" t="s">
        <v>270</v>
      </c>
      <c r="B1" s="20" t="s">
        <v>409</v>
      </c>
      <c r="C1" s="20" t="s">
        <v>410</v>
      </c>
    </row>
    <row r="2" spans="1:3" ht="16" thickBot="1" x14ac:dyDescent="0.4">
      <c r="A2" s="21" t="s">
        <v>384</v>
      </c>
      <c r="B2" s="22">
        <v>18.61</v>
      </c>
      <c r="C2" s="22">
        <v>4.24</v>
      </c>
    </row>
    <row r="3" spans="1:3" ht="16" thickBot="1" x14ac:dyDescent="0.4">
      <c r="A3" s="21" t="s">
        <v>385</v>
      </c>
      <c r="B3" s="22">
        <v>108.11</v>
      </c>
      <c r="C3" s="22">
        <v>6.19</v>
      </c>
    </row>
    <row r="4" spans="1:3" ht="16" thickBot="1" x14ac:dyDescent="0.4">
      <c r="A4" s="21" t="s">
        <v>262</v>
      </c>
      <c r="B4" s="22">
        <v>113.61</v>
      </c>
      <c r="C4" s="22">
        <v>7.52</v>
      </c>
    </row>
    <row r="5" spans="1:3" ht="16" thickBot="1" x14ac:dyDescent="0.4">
      <c r="A5" s="21" t="s">
        <v>263</v>
      </c>
      <c r="B5" s="22">
        <v>144.38</v>
      </c>
      <c r="C5" s="22">
        <v>7.1</v>
      </c>
    </row>
    <row r="6" spans="1:3" ht="16" thickBot="1" x14ac:dyDescent="0.4">
      <c r="A6" s="21" t="s">
        <v>264</v>
      </c>
      <c r="B6" s="22">
        <v>92.33</v>
      </c>
      <c r="C6" s="22">
        <v>15.01</v>
      </c>
    </row>
    <row r="7" spans="1:3" ht="16" thickBot="1" x14ac:dyDescent="0.4">
      <c r="A7" s="21" t="s">
        <v>265</v>
      </c>
      <c r="B7" s="22">
        <v>15.2</v>
      </c>
      <c r="C7" s="22">
        <v>5.52</v>
      </c>
    </row>
    <row r="8" spans="1:3" ht="16" thickBot="1" x14ac:dyDescent="0.4">
      <c r="A8" s="21" t="s">
        <v>266</v>
      </c>
      <c r="B8" s="22">
        <v>9.1</v>
      </c>
      <c r="C8" s="22">
        <v>1.53</v>
      </c>
    </row>
    <row r="9" spans="1:3" ht="16" thickBot="1" x14ac:dyDescent="0.4">
      <c r="A9" s="21" t="s">
        <v>261</v>
      </c>
      <c r="B9" s="22">
        <v>12.31</v>
      </c>
      <c r="C9" s="22">
        <v>2.14</v>
      </c>
    </row>
    <row r="10" spans="1:3" ht="16" thickBot="1" x14ac:dyDescent="0.4">
      <c r="A10" s="21" t="s">
        <v>260</v>
      </c>
      <c r="B10" s="22">
        <v>1.04</v>
      </c>
      <c r="C10" s="22">
        <v>0.21</v>
      </c>
    </row>
    <row r="11" spans="1:3" ht="16" thickBot="1" x14ac:dyDescent="0.4">
      <c r="A11" s="21" t="s">
        <v>259</v>
      </c>
      <c r="B11" s="22">
        <v>8.2899999999999991</v>
      </c>
      <c r="C11" s="22">
        <v>3.62</v>
      </c>
    </row>
    <row r="12" spans="1:3" ht="16" thickBot="1" x14ac:dyDescent="0.4">
      <c r="A12" s="21" t="s">
        <v>268</v>
      </c>
      <c r="B12" s="22">
        <v>9.44</v>
      </c>
      <c r="C12" s="22">
        <v>0.91</v>
      </c>
    </row>
    <row r="13" spans="1:3" ht="16" thickBot="1" x14ac:dyDescent="0.4">
      <c r="A13" s="21" t="s">
        <v>269</v>
      </c>
      <c r="B13" s="22">
        <v>2.91</v>
      </c>
      <c r="C13" s="22">
        <v>0.39</v>
      </c>
    </row>
    <row r="14" spans="1:3" ht="16" thickBot="1" x14ac:dyDescent="0.4">
      <c r="A14" s="21" t="s">
        <v>267</v>
      </c>
      <c r="B14" s="22">
        <v>40.96</v>
      </c>
      <c r="C14" s="22">
        <v>6.7</v>
      </c>
    </row>
    <row r="15" spans="1:3" ht="16" thickBot="1" x14ac:dyDescent="0.4">
      <c r="A15" s="21" t="s">
        <v>258</v>
      </c>
      <c r="B15" s="22">
        <v>5.96</v>
      </c>
      <c r="C15" s="22">
        <v>0.47</v>
      </c>
    </row>
    <row r="16" spans="1:3" ht="16" thickBot="1" x14ac:dyDescent="0.4">
      <c r="A16" s="21" t="s">
        <v>257</v>
      </c>
      <c r="B16" s="22">
        <v>3.23</v>
      </c>
      <c r="C16" s="22">
        <v>0.3</v>
      </c>
    </row>
    <row r="17" spans="1:3" ht="16" thickBot="1" x14ac:dyDescent="0.4">
      <c r="A17" s="21" t="s">
        <v>256</v>
      </c>
      <c r="B17" s="22">
        <v>2.71</v>
      </c>
      <c r="C17" s="22">
        <v>0.26</v>
      </c>
    </row>
    <row r="18" spans="1:3" ht="16" thickBot="1" x14ac:dyDescent="0.4">
      <c r="A18" s="21" t="s">
        <v>255</v>
      </c>
      <c r="B18" s="22">
        <v>36.409999999999997</v>
      </c>
      <c r="C18" s="22">
        <v>7.83</v>
      </c>
    </row>
    <row r="19" spans="1:3" ht="16" thickBot="1" x14ac:dyDescent="0.4">
      <c r="A19" s="21" t="s">
        <v>254</v>
      </c>
      <c r="B19" s="22">
        <v>1.42</v>
      </c>
      <c r="C19" s="22">
        <v>0.47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4AC6-15F8-4A4A-A944-CB633D95C0A0}">
  <dimension ref="A1:D4"/>
  <sheetViews>
    <sheetView workbookViewId="0">
      <selection activeCell="J11" sqref="J11"/>
    </sheetView>
  </sheetViews>
  <sheetFormatPr defaultRowHeight="14.5" x14ac:dyDescent="0.35"/>
  <cols>
    <col min="2" max="2" width="9.36328125" bestFit="1" customWidth="1"/>
  </cols>
  <sheetData>
    <row r="1" spans="1:4" ht="15.5" x14ac:dyDescent="0.35">
      <c r="A1" s="16"/>
      <c r="B1" s="16" t="s">
        <v>441</v>
      </c>
      <c r="C1" s="16" t="s">
        <v>442</v>
      </c>
      <c r="D1" s="16" t="s">
        <v>443</v>
      </c>
    </row>
    <row r="2" spans="1:4" ht="15.5" x14ac:dyDescent="0.35">
      <c r="A2" s="16" t="s">
        <v>441</v>
      </c>
      <c r="B2" s="16">
        <v>0</v>
      </c>
      <c r="C2" s="18">
        <v>34.05791</v>
      </c>
      <c r="D2" s="18">
        <v>61.36421</v>
      </c>
    </row>
    <row r="3" spans="1:4" ht="15.5" x14ac:dyDescent="0.35">
      <c r="A3" s="16" t="s">
        <v>442</v>
      </c>
      <c r="B3" s="18">
        <v>34.05791</v>
      </c>
      <c r="C3" s="16">
        <v>0</v>
      </c>
      <c r="D3" s="18">
        <v>50.827939999999998</v>
      </c>
    </row>
    <row r="4" spans="1:4" ht="15.5" x14ac:dyDescent="0.35">
      <c r="A4" s="16" t="s">
        <v>443</v>
      </c>
      <c r="B4" s="18">
        <v>61.36421</v>
      </c>
      <c r="C4" s="18">
        <v>50.827939999999998</v>
      </c>
      <c r="D4" s="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DF3E-83CB-4243-AE13-24E93D75DC43}">
  <dimension ref="A1:S18"/>
  <sheetViews>
    <sheetView zoomScale="99" workbookViewId="0">
      <selection activeCell="A14" sqref="A14:XFD14"/>
    </sheetView>
  </sheetViews>
  <sheetFormatPr defaultRowHeight="14.5" x14ac:dyDescent="0.35"/>
  <sheetData>
    <row r="1" spans="1:19" x14ac:dyDescent="0.35">
      <c r="B1" t="s">
        <v>384</v>
      </c>
      <c r="C1" t="s">
        <v>385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261</v>
      </c>
      <c r="J1" t="s">
        <v>260</v>
      </c>
      <c r="K1" t="s">
        <v>440</v>
      </c>
      <c r="L1" t="s">
        <v>268</v>
      </c>
      <c r="M1" t="s">
        <v>269</v>
      </c>
      <c r="N1" t="s">
        <v>267</v>
      </c>
      <c r="O1" t="s">
        <v>258</v>
      </c>
      <c r="P1" t="s">
        <v>257</v>
      </c>
      <c r="Q1" t="s">
        <v>256</v>
      </c>
      <c r="R1" t="s">
        <v>255</v>
      </c>
      <c r="S1" t="s">
        <v>454</v>
      </c>
    </row>
    <row r="2" spans="1:19" x14ac:dyDescent="0.35">
      <c r="A2" s="56" t="s">
        <v>384</v>
      </c>
      <c r="B2" s="57">
        <v>-9.1130509999999998E-2</v>
      </c>
      <c r="C2" s="57">
        <v>2.8012099110000001E-2</v>
      </c>
      <c r="D2" s="57">
        <v>-1.3310430999999999E-2</v>
      </c>
      <c r="E2" s="57">
        <v>3.7068174799999999E-2</v>
      </c>
      <c r="F2" s="57">
        <v>2.3664480000000002E-2</v>
      </c>
      <c r="G2" s="57">
        <v>-2.4255510000000002E-3</v>
      </c>
      <c r="H2" s="57">
        <v>-9.3615673E-3</v>
      </c>
      <c r="I2" s="57">
        <v>-8.3910504999999996E-2</v>
      </c>
      <c r="J2" s="57">
        <v>-8.8981485999999992E-3</v>
      </c>
      <c r="K2" s="57">
        <v>-1.8242709999999999E-3</v>
      </c>
      <c r="L2" s="57">
        <v>2.1771110999999998E-3</v>
      </c>
      <c r="M2" s="57">
        <v>2.3939111620000001E-3</v>
      </c>
      <c r="N2" s="57">
        <v>2.6944943000000002E-4</v>
      </c>
      <c r="O2" s="57">
        <v>-2.7097600999999999E-2</v>
      </c>
      <c r="P2" s="57">
        <v>-3.6970440000000002E-4</v>
      </c>
      <c r="Q2" s="57">
        <v>-2.57615551E-2</v>
      </c>
      <c r="R2" s="57">
        <v>6.9621680000000003E-3</v>
      </c>
      <c r="S2" s="57">
        <v>-0.16354245000000001</v>
      </c>
    </row>
    <row r="3" spans="1:19" x14ac:dyDescent="0.35">
      <c r="A3" s="56" t="s">
        <v>385</v>
      </c>
      <c r="B3" s="57">
        <v>-2.1475218099999999E-2</v>
      </c>
      <c r="C3" s="57">
        <v>0.11886989287999999</v>
      </c>
      <c r="D3" s="57">
        <v>-4.8325035000000002E-2</v>
      </c>
      <c r="E3" s="57">
        <v>4.5692933400000003E-2</v>
      </c>
      <c r="F3" s="57">
        <v>8.5925589999999996E-2</v>
      </c>
      <c r="G3" s="57">
        <v>-8.1746985999999994E-2</v>
      </c>
      <c r="H3" s="57">
        <v>1.0358208299999999E-2</v>
      </c>
      <c r="I3" s="57">
        <v>-0.134503287</v>
      </c>
      <c r="J3" s="57">
        <v>-1.5542990999999999E-3</v>
      </c>
      <c r="K3" s="57">
        <v>-3.6716155E-2</v>
      </c>
      <c r="L3" s="57">
        <v>3.3154380000000001E-4</v>
      </c>
      <c r="M3" s="57">
        <v>5.634521E-6</v>
      </c>
      <c r="N3" s="57">
        <v>-1.3488661E-4</v>
      </c>
      <c r="O3" s="57">
        <v>-3.982364E-2</v>
      </c>
      <c r="P3" s="57">
        <v>8.5543146999999993E-3</v>
      </c>
      <c r="Q3" s="57">
        <v>1.9726253900000001E-2</v>
      </c>
      <c r="R3" s="57">
        <v>-7.0048895999999999E-2</v>
      </c>
      <c r="S3" s="57">
        <v>-0.14486403</v>
      </c>
    </row>
    <row r="4" spans="1:19" x14ac:dyDescent="0.35">
      <c r="A4" s="56" t="s">
        <v>262</v>
      </c>
      <c r="B4" s="57">
        <v>-2.1761877400000001E-2</v>
      </c>
      <c r="C4" s="57">
        <v>0.1030586562</v>
      </c>
      <c r="D4" s="57">
        <v>-5.5739050999999998E-2</v>
      </c>
      <c r="E4" s="57">
        <v>4.50450815E-2</v>
      </c>
      <c r="F4" s="57">
        <v>7.2949070000000005E-2</v>
      </c>
      <c r="G4" s="57">
        <v>-3.2974386000000001E-2</v>
      </c>
      <c r="H4" s="57">
        <v>9.2231232000000007E-3</v>
      </c>
      <c r="I4" s="57">
        <v>-0.170861704</v>
      </c>
      <c r="J4" s="57">
        <v>-1.9581988999999998E-3</v>
      </c>
      <c r="K4" s="57">
        <v>-2.1639414999999999E-2</v>
      </c>
      <c r="L4" s="57">
        <v>-5.0776809999999995E-4</v>
      </c>
      <c r="M4" s="57">
        <v>1.6205781210000001E-3</v>
      </c>
      <c r="N4" s="57">
        <v>-2.1375100000000001E-4</v>
      </c>
      <c r="O4" s="57">
        <v>-5.3500928000000003E-2</v>
      </c>
      <c r="P4" s="57">
        <v>9.1382993999999992E-3</v>
      </c>
      <c r="Q4" s="57">
        <v>1.8986091399999998E-2</v>
      </c>
      <c r="R4" s="57">
        <v>-6.0001931000000001E-2</v>
      </c>
      <c r="S4" s="57">
        <v>-0.15913811</v>
      </c>
    </row>
    <row r="5" spans="1:19" x14ac:dyDescent="0.35">
      <c r="A5" s="56" t="s">
        <v>263</v>
      </c>
      <c r="B5" s="57">
        <v>-4.3330053299999997E-2</v>
      </c>
      <c r="C5" s="57">
        <v>6.9669891139999995E-2</v>
      </c>
      <c r="D5" s="57">
        <v>-3.2205583000000003E-2</v>
      </c>
      <c r="E5" s="57">
        <v>7.7960708899999995E-2</v>
      </c>
      <c r="F5" s="57">
        <v>5.276732E-2</v>
      </c>
      <c r="G5" s="57">
        <v>-6.3981939000000002E-2</v>
      </c>
      <c r="H5" s="57">
        <v>1.00638764E-2</v>
      </c>
      <c r="I5" s="57">
        <v>-0.106057893</v>
      </c>
      <c r="J5" s="57">
        <v>-5.4923500999999996E-3</v>
      </c>
      <c r="K5" s="57">
        <v>-2.2878623000000001E-2</v>
      </c>
      <c r="L5" s="57">
        <v>1.4983932000000001E-3</v>
      </c>
      <c r="M5" s="57">
        <v>1.489253931E-3</v>
      </c>
      <c r="N5" s="57">
        <v>-3.2194508999999999E-4</v>
      </c>
      <c r="O5" s="57">
        <v>-6.5099678999999994E-2</v>
      </c>
      <c r="P5" s="57">
        <v>3.5991855000000001E-3</v>
      </c>
      <c r="Q5" s="57">
        <v>-7.1834589999999999E-4</v>
      </c>
      <c r="R5" s="57">
        <v>-1.012588E-2</v>
      </c>
      <c r="S5" s="57">
        <v>-0.13316365999999999</v>
      </c>
    </row>
    <row r="6" spans="1:19" x14ac:dyDescent="0.35">
      <c r="A6" s="56" t="s">
        <v>264</v>
      </c>
      <c r="B6" s="57">
        <v>6.2138658000000001E-3</v>
      </c>
      <c r="C6" s="57">
        <v>-2.943034919E-2</v>
      </c>
      <c r="D6" s="57">
        <v>1.1716027E-2</v>
      </c>
      <c r="E6" s="57">
        <v>-1.18533704E-2</v>
      </c>
      <c r="F6" s="57">
        <v>-0.34705554</v>
      </c>
      <c r="G6" s="57">
        <v>0.30758957100000001</v>
      </c>
      <c r="H6" s="57">
        <v>-1.4813391400000001E-2</v>
      </c>
      <c r="I6" s="57">
        <v>3.6677031999999998E-2</v>
      </c>
      <c r="J6" s="57">
        <v>2.0538267000000002E-3</v>
      </c>
      <c r="K6" s="57">
        <v>0.13029138200000001</v>
      </c>
      <c r="L6" s="57">
        <v>-1.5733138000000001E-3</v>
      </c>
      <c r="M6" s="57">
        <v>4.9457701890000001E-3</v>
      </c>
      <c r="N6" s="57">
        <v>-5.7783311000000003E-4</v>
      </c>
      <c r="O6" s="57">
        <v>0.10163873499999999</v>
      </c>
      <c r="P6" s="57">
        <v>3.0069685999999998E-3</v>
      </c>
      <c r="Q6" s="57">
        <v>2.8962298899999999E-2</v>
      </c>
      <c r="R6" s="57">
        <v>-0.13233815199999999</v>
      </c>
      <c r="S6" s="66">
        <v>9.5453529999999995E-2</v>
      </c>
    </row>
    <row r="7" spans="1:19" x14ac:dyDescent="0.35">
      <c r="A7" s="56" t="s">
        <v>265</v>
      </c>
      <c r="B7" s="57">
        <v>5.0182250000000003E-4</v>
      </c>
      <c r="C7" s="57">
        <v>-2.2060710349999998E-2</v>
      </c>
      <c r="D7" s="57">
        <v>4.1726519999999998E-3</v>
      </c>
      <c r="E7" s="57">
        <v>-1.1324239599999999E-2</v>
      </c>
      <c r="F7" s="57">
        <v>-0.24235192</v>
      </c>
      <c r="G7" s="57">
        <v>0.440477907</v>
      </c>
      <c r="H7" s="57">
        <v>-2.8029339600000001E-2</v>
      </c>
      <c r="I7" s="57">
        <v>-5.5298667000000003E-2</v>
      </c>
      <c r="J7" s="57">
        <v>6.9880191999999999E-3</v>
      </c>
      <c r="K7" s="57">
        <v>0.12332280800000001</v>
      </c>
      <c r="L7" s="57">
        <v>8.2423230000000004E-4</v>
      </c>
      <c r="M7" s="57">
        <v>9.906976126E-3</v>
      </c>
      <c r="N7" s="57">
        <v>7.0104999999999994E-5</v>
      </c>
      <c r="O7" s="57">
        <v>0.11296091</v>
      </c>
      <c r="P7" s="57">
        <v>4.2383404000000003E-3</v>
      </c>
      <c r="Q7" s="57">
        <v>2.1051151000000001E-2</v>
      </c>
      <c r="R7" s="57">
        <v>-0.163853317</v>
      </c>
      <c r="S7" s="66">
        <v>0.20159673</v>
      </c>
    </row>
    <row r="8" spans="1:19" x14ac:dyDescent="0.35">
      <c r="A8" s="56" t="s">
        <v>266</v>
      </c>
      <c r="B8" s="57">
        <v>1.01736538E-2</v>
      </c>
      <c r="C8" s="57">
        <v>1.468321312E-2</v>
      </c>
      <c r="D8" s="57">
        <v>-6.1305889999999997E-3</v>
      </c>
      <c r="E8" s="57">
        <v>9.3563329000000001E-3</v>
      </c>
      <c r="F8" s="57">
        <v>6.1308130000000002E-2</v>
      </c>
      <c r="G8" s="57">
        <v>-0.147231788</v>
      </c>
      <c r="H8" s="57">
        <v>8.3856244499999996E-2</v>
      </c>
      <c r="I8" s="57">
        <v>1.0909120000000001E-3</v>
      </c>
      <c r="J8" s="57">
        <v>-2.9019572000000002E-3</v>
      </c>
      <c r="K8" s="57">
        <v>-8.0303920000000001E-2</v>
      </c>
      <c r="L8" s="57">
        <v>-5.340455E-3</v>
      </c>
      <c r="M8" s="57">
        <v>-1.1520889746999999E-2</v>
      </c>
      <c r="N8" s="57">
        <v>-8.6552939000000004E-4</v>
      </c>
      <c r="O8" s="57">
        <v>-0.18463027400000001</v>
      </c>
      <c r="P8" s="57">
        <v>-8.0755398999999995E-3</v>
      </c>
      <c r="Q8" s="57">
        <v>-8.6256106999999995E-3</v>
      </c>
      <c r="R8" s="57">
        <v>0.215166733</v>
      </c>
      <c r="S8" s="57">
        <v>-5.9991330000000002E-2</v>
      </c>
    </row>
    <row r="9" spans="1:19" x14ac:dyDescent="0.35">
      <c r="A9" s="56" t="s">
        <v>261</v>
      </c>
      <c r="B9" s="57">
        <v>-2.0925712700000001E-2</v>
      </c>
      <c r="C9" s="57">
        <v>4.3752703529999999E-2</v>
      </c>
      <c r="D9" s="57">
        <v>-2.6061801999999998E-2</v>
      </c>
      <c r="E9" s="57">
        <v>2.26265792E-2</v>
      </c>
      <c r="F9" s="57">
        <v>3.483319E-2</v>
      </c>
      <c r="G9" s="57">
        <v>6.6655950000000005E-2</v>
      </c>
      <c r="H9" s="57">
        <v>-2.5033709999999998E-4</v>
      </c>
      <c r="I9" s="57">
        <v>-0.36542636299999998</v>
      </c>
      <c r="J9" s="57">
        <v>-7.6164596000000001E-3</v>
      </c>
      <c r="K9" s="57">
        <v>-7.0164040000000004E-3</v>
      </c>
      <c r="L9" s="57">
        <v>2.3739716000000001E-3</v>
      </c>
      <c r="M9" s="57">
        <v>1.3361921179999999E-3</v>
      </c>
      <c r="N9" s="57">
        <v>3.6858566000000001E-4</v>
      </c>
      <c r="O9" s="57">
        <v>-7.4522484999999999E-2</v>
      </c>
      <c r="P9" s="57">
        <v>-2.4773136999999999E-3</v>
      </c>
      <c r="Q9" s="57">
        <v>-2.2146158499999999E-2</v>
      </c>
      <c r="R9" s="57">
        <v>3.0426996000000001E-2</v>
      </c>
      <c r="S9" s="57">
        <v>-0.32406886000000001</v>
      </c>
    </row>
    <row r="10" spans="1:19" x14ac:dyDescent="0.35">
      <c r="A10" s="56" t="s">
        <v>260</v>
      </c>
      <c r="B10" s="57">
        <v>-2.4179154000000001E-2</v>
      </c>
      <c r="C10" s="57">
        <v>5.50914392E-3</v>
      </c>
      <c r="D10" s="57">
        <v>-3.2545730000000002E-3</v>
      </c>
      <c r="E10" s="57">
        <v>1.27676697E-2</v>
      </c>
      <c r="F10" s="57">
        <v>2.125399E-2</v>
      </c>
      <c r="G10" s="57">
        <v>-9.1781651000000006E-2</v>
      </c>
      <c r="H10" s="57">
        <v>7.2561133000000003E-3</v>
      </c>
      <c r="I10" s="57">
        <v>-8.2990936000000001E-2</v>
      </c>
      <c r="J10" s="57">
        <v>-3.3536856699999999E-2</v>
      </c>
      <c r="K10" s="57">
        <v>-2.1900123000000001E-2</v>
      </c>
      <c r="L10" s="57">
        <v>8.6642730000000001E-4</v>
      </c>
      <c r="M10" s="57">
        <v>-3.0036750660000001E-3</v>
      </c>
      <c r="N10" s="57">
        <v>-8.6296879999999996E-5</v>
      </c>
      <c r="O10" s="57">
        <v>-6.8445730999999996E-2</v>
      </c>
      <c r="P10" s="57">
        <v>-3.3982395000000001E-3</v>
      </c>
      <c r="Q10" s="57">
        <v>-4.6734786000000002E-3</v>
      </c>
      <c r="R10" s="57">
        <v>5.5635216000000001E-2</v>
      </c>
      <c r="S10" s="57">
        <v>-0.23396216</v>
      </c>
    </row>
    <row r="11" spans="1:19" x14ac:dyDescent="0.35">
      <c r="A11" s="56" t="s">
        <v>440</v>
      </c>
      <c r="B11" s="57">
        <v>6.460681E-4</v>
      </c>
      <c r="C11" s="57">
        <v>-1.6961111859999999E-2</v>
      </c>
      <c r="D11" s="57">
        <v>4.6873820000000004E-3</v>
      </c>
      <c r="E11" s="57">
        <v>-6.9315588999999999E-3</v>
      </c>
      <c r="F11" s="57">
        <v>-0.17572757999999999</v>
      </c>
      <c r="G11" s="57">
        <v>0.21110221400000001</v>
      </c>
      <c r="H11" s="57">
        <v>-2.6169619599999999E-2</v>
      </c>
      <c r="I11" s="57">
        <v>9.9641369999999996E-3</v>
      </c>
      <c r="J11" s="57">
        <v>2.8542642000000001E-3</v>
      </c>
      <c r="K11" s="57">
        <v>0.25732071400000001</v>
      </c>
      <c r="L11" s="57">
        <v>1.5833389E-3</v>
      </c>
      <c r="M11" s="57">
        <v>7.0961762910000002E-3</v>
      </c>
      <c r="N11" s="57">
        <v>1.3267600999999999E-4</v>
      </c>
      <c r="O11" s="57">
        <v>6.7296857000000002E-2</v>
      </c>
      <c r="P11" s="57">
        <v>5.4658348000000004E-3</v>
      </c>
      <c r="Q11" s="57">
        <v>2.88021283E-2</v>
      </c>
      <c r="R11" s="57">
        <v>-0.167762983</v>
      </c>
      <c r="S11" s="66">
        <v>0.20339894</v>
      </c>
    </row>
    <row r="12" spans="1:19" x14ac:dyDescent="0.35">
      <c r="A12" s="56" t="s">
        <v>268</v>
      </c>
      <c r="B12" s="57">
        <v>1.5299110499999999E-2</v>
      </c>
      <c r="C12" s="57">
        <v>-3.0390270200000001E-3</v>
      </c>
      <c r="D12" s="57">
        <v>-2.182462E-3</v>
      </c>
      <c r="E12" s="57">
        <v>-9.0078958000000004E-3</v>
      </c>
      <c r="F12" s="57">
        <v>-4.2105240000000002E-2</v>
      </c>
      <c r="G12" s="57">
        <v>-2.7995969999999998E-2</v>
      </c>
      <c r="H12" s="57">
        <v>3.4533091100000003E-2</v>
      </c>
      <c r="I12" s="57">
        <v>6.6895542000000002E-2</v>
      </c>
      <c r="J12" s="57">
        <v>2.2406615999999999E-3</v>
      </c>
      <c r="K12" s="57">
        <v>-3.1417412999999998E-2</v>
      </c>
      <c r="L12" s="57">
        <v>-1.2968155699999999E-2</v>
      </c>
      <c r="M12" s="57">
        <v>-8.2086723350000002E-3</v>
      </c>
      <c r="N12" s="57">
        <v>-1.6903329199999999E-3</v>
      </c>
      <c r="O12" s="57">
        <v>-3.4514069000000001E-2</v>
      </c>
      <c r="P12" s="57">
        <v>-1.3468257000000001E-3</v>
      </c>
      <c r="Q12" s="57">
        <v>-3.1822666999999998E-3</v>
      </c>
      <c r="R12" s="57">
        <v>3.9208729999999997E-2</v>
      </c>
      <c r="S12" s="57">
        <v>-1.9481189999999999E-2</v>
      </c>
    </row>
    <row r="13" spans="1:19" x14ac:dyDescent="0.35">
      <c r="A13" s="56" t="s">
        <v>269</v>
      </c>
      <c r="B13" s="57">
        <v>4.8095573000000004E-3</v>
      </c>
      <c r="C13" s="57">
        <v>-1.4765979999999999E-5</v>
      </c>
      <c r="D13" s="57">
        <v>1.9914199999999998E-3</v>
      </c>
      <c r="E13" s="57">
        <v>-2.5596336000000002E-3</v>
      </c>
      <c r="F13" s="57">
        <v>3.7841310000000003E-2</v>
      </c>
      <c r="G13" s="57">
        <v>-9.6205194999999993E-2</v>
      </c>
      <c r="H13" s="57">
        <v>2.1298778899999999E-2</v>
      </c>
      <c r="I13" s="57">
        <v>1.0764703E-2</v>
      </c>
      <c r="J13" s="57">
        <v>-2.2207956E-3</v>
      </c>
      <c r="K13" s="57">
        <v>-4.0256167000000002E-2</v>
      </c>
      <c r="L13" s="57">
        <v>-2.3468450000000002E-3</v>
      </c>
      <c r="M13" s="57">
        <v>-4.5359339750999997E-2</v>
      </c>
      <c r="N13" s="57">
        <v>-1.6604330699999999E-3</v>
      </c>
      <c r="O13" s="57">
        <v>-7.9809259999999993E-3</v>
      </c>
      <c r="P13" s="57">
        <v>-7.9359489999999999E-4</v>
      </c>
      <c r="Q13" s="57">
        <v>1.12489331E-2</v>
      </c>
      <c r="R13" s="57">
        <v>9.8139739000000004E-2</v>
      </c>
      <c r="S13" s="57">
        <v>-1.3303250000000001E-2</v>
      </c>
    </row>
    <row r="14" spans="1:19" x14ac:dyDescent="0.35">
      <c r="A14" s="56" t="s">
        <v>267</v>
      </c>
      <c r="B14" s="57">
        <v>8.0970291999999996E-3</v>
      </c>
      <c r="C14" s="57">
        <v>5.2871951100000002E-3</v>
      </c>
      <c r="D14" s="57">
        <v>-3.9287319999999999E-3</v>
      </c>
      <c r="E14" s="57">
        <v>8.2764141000000006E-3</v>
      </c>
      <c r="F14" s="57">
        <v>-6.6128099999999995E-2</v>
      </c>
      <c r="G14" s="57">
        <v>-1.0182577999999999E-2</v>
      </c>
      <c r="H14" s="57">
        <v>2.3933260000000001E-2</v>
      </c>
      <c r="I14" s="57">
        <v>4.4414311999999997E-2</v>
      </c>
      <c r="J14" s="57">
        <v>-9.543377E-4</v>
      </c>
      <c r="K14" s="57">
        <v>-1.1257754999999999E-2</v>
      </c>
      <c r="L14" s="57">
        <v>-7.2282821000000004E-3</v>
      </c>
      <c r="M14" s="57">
        <v>-2.4835489647000001E-2</v>
      </c>
      <c r="N14" s="57">
        <v>-3.0326016800000001E-3</v>
      </c>
      <c r="O14" s="57">
        <v>2.0245375999999999E-2</v>
      </c>
      <c r="P14" s="57">
        <v>9.9965709999999997E-4</v>
      </c>
      <c r="Q14" s="57">
        <v>1.6153686699999999E-2</v>
      </c>
      <c r="R14" s="57">
        <v>2.4868527000000001E-2</v>
      </c>
      <c r="S14" s="66">
        <v>2.4727579999999999E-2</v>
      </c>
    </row>
    <row r="15" spans="1:19" x14ac:dyDescent="0.35">
      <c r="A15" s="56" t="s">
        <v>258</v>
      </c>
      <c r="B15" s="57">
        <v>-7.1425087000000003E-3</v>
      </c>
      <c r="C15" s="57">
        <v>1.36920653E-2</v>
      </c>
      <c r="D15" s="57">
        <v>-8.6253560000000007E-3</v>
      </c>
      <c r="E15" s="57">
        <v>1.4679483199999999E-2</v>
      </c>
      <c r="F15" s="57">
        <v>0.10202682</v>
      </c>
      <c r="G15" s="57">
        <v>-0.14391579199999999</v>
      </c>
      <c r="H15" s="57">
        <v>4.4781069700000002E-2</v>
      </c>
      <c r="I15" s="57">
        <v>-7.8766825999999998E-2</v>
      </c>
      <c r="J15" s="57">
        <v>-6.6393392000000002E-3</v>
      </c>
      <c r="K15" s="57">
        <v>-5.0087075000000002E-2</v>
      </c>
      <c r="L15" s="57">
        <v>-1.2945849E-3</v>
      </c>
      <c r="M15" s="57">
        <v>-1.0470710120000001E-3</v>
      </c>
      <c r="N15" s="57">
        <v>1.7758134999999999E-4</v>
      </c>
      <c r="O15" s="57">
        <v>-0.34573540800000002</v>
      </c>
      <c r="P15" s="57">
        <v>-1.48774449E-2</v>
      </c>
      <c r="Q15" s="57">
        <v>-6.3017469100000001E-2</v>
      </c>
      <c r="R15" s="57">
        <v>0.30877205299999999</v>
      </c>
      <c r="S15" s="57">
        <v>-0.2370198</v>
      </c>
    </row>
    <row r="16" spans="1:19" x14ac:dyDescent="0.35">
      <c r="A16" s="56" t="s">
        <v>257</v>
      </c>
      <c r="B16" s="57">
        <v>-1.2502113999999999E-3</v>
      </c>
      <c r="C16" s="57">
        <v>-3.7733064019999998E-2</v>
      </c>
      <c r="D16" s="57">
        <v>1.8901224000000001E-2</v>
      </c>
      <c r="E16" s="57">
        <v>-1.0412259599999999E-2</v>
      </c>
      <c r="F16" s="57">
        <v>3.8725130000000003E-2</v>
      </c>
      <c r="G16" s="57">
        <v>-6.9276341000000005E-2</v>
      </c>
      <c r="H16" s="57">
        <v>2.5128811800000001E-2</v>
      </c>
      <c r="I16" s="57">
        <v>-3.3592772999999999E-2</v>
      </c>
      <c r="J16" s="57">
        <v>-4.2290354E-3</v>
      </c>
      <c r="K16" s="57">
        <v>-5.2191072999999998E-2</v>
      </c>
      <c r="L16" s="57">
        <v>-6.4811879999999999E-4</v>
      </c>
      <c r="M16" s="57">
        <v>-1.335766577E-3</v>
      </c>
      <c r="N16" s="57">
        <v>1.1249452999999999E-4</v>
      </c>
      <c r="O16" s="57">
        <v>-0.19086978600000001</v>
      </c>
      <c r="P16" s="57">
        <v>-2.69485265E-2</v>
      </c>
      <c r="Q16" s="57">
        <v>-0.1157895775</v>
      </c>
      <c r="R16" s="57">
        <v>0.33470225999999997</v>
      </c>
      <c r="S16" s="57">
        <v>-0.12670661999999999</v>
      </c>
    </row>
    <row r="17" spans="1:19" x14ac:dyDescent="0.35">
      <c r="A17" s="56" t="s">
        <v>256</v>
      </c>
      <c r="B17" s="57">
        <v>-1.39116022E-2</v>
      </c>
      <c r="C17" s="57">
        <v>-1.389497483E-2</v>
      </c>
      <c r="D17" s="57">
        <v>6.2709940000000002E-3</v>
      </c>
      <c r="E17" s="57">
        <v>3.3185670000000002E-4</v>
      </c>
      <c r="F17" s="57">
        <v>5.9562549999999999E-2</v>
      </c>
      <c r="G17" s="57">
        <v>-5.4946653999999998E-2</v>
      </c>
      <c r="H17" s="57">
        <v>4.2861417999999997E-3</v>
      </c>
      <c r="I17" s="57">
        <v>-4.7955625000000002E-2</v>
      </c>
      <c r="J17" s="57">
        <v>-9.2876079999999999E-4</v>
      </c>
      <c r="K17" s="57">
        <v>-4.3917802999999998E-2</v>
      </c>
      <c r="L17" s="57">
        <v>-2.4454350000000001E-4</v>
      </c>
      <c r="M17" s="57">
        <v>3.02356516E-3</v>
      </c>
      <c r="N17" s="57">
        <v>2.9028748E-4</v>
      </c>
      <c r="O17" s="57">
        <v>-0.1291059</v>
      </c>
      <c r="P17" s="57">
        <v>-1.8490376999999999E-2</v>
      </c>
      <c r="Q17" s="57">
        <v>-0.1687558069</v>
      </c>
      <c r="R17" s="57">
        <v>0.275610733</v>
      </c>
      <c r="S17" s="57">
        <v>-0.14277592</v>
      </c>
    </row>
    <row r="18" spans="1:19" x14ac:dyDescent="0.35">
      <c r="A18" s="56" t="s">
        <v>255</v>
      </c>
      <c r="B18" s="57">
        <v>-1.4076491E-3</v>
      </c>
      <c r="C18" s="57">
        <v>-1.8473930289999999E-2</v>
      </c>
      <c r="D18" s="57">
        <v>7.4201199999999997E-3</v>
      </c>
      <c r="E18" s="57">
        <v>-1.7514377E-3</v>
      </c>
      <c r="F18" s="57">
        <v>0.10189906</v>
      </c>
      <c r="G18" s="57">
        <v>-0.160127345</v>
      </c>
      <c r="H18" s="57">
        <v>4.0031021299999997E-2</v>
      </c>
      <c r="I18" s="57">
        <v>-2.4668633999999998E-2</v>
      </c>
      <c r="J18" s="57">
        <v>-4.1395989000000003E-3</v>
      </c>
      <c r="K18" s="57">
        <v>-9.5776072000000004E-2</v>
      </c>
      <c r="L18" s="57">
        <v>-1.1280988E-3</v>
      </c>
      <c r="M18" s="57">
        <v>-9.876379268E-3</v>
      </c>
      <c r="N18" s="57">
        <v>-1.6732143E-4</v>
      </c>
      <c r="O18" s="57">
        <v>-0.236847051</v>
      </c>
      <c r="P18" s="57">
        <v>-2.00115074E-2</v>
      </c>
      <c r="Q18" s="57">
        <v>-0.1031908019</v>
      </c>
      <c r="R18" s="57">
        <v>0.4507273</v>
      </c>
      <c r="S18" s="57">
        <v>-7.7488319999999999E-2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 data</vt:lpstr>
      <vt:lpstr>Quantative</vt:lpstr>
      <vt:lpstr>Cluster </vt:lpstr>
      <vt:lpstr>Sheet5</vt:lpstr>
      <vt:lpstr>SHW</vt:lpstr>
      <vt:lpstr>Sheet1</vt:lpstr>
      <vt:lpstr>formula</vt:lpstr>
      <vt:lpstr>Lower and upper limit</vt:lpstr>
      <vt:lpstr>Acrynoms</vt:lpstr>
      <vt:lpstr>Qualitative</vt:lpstr>
      <vt:lpstr>Sheet2</vt:lpstr>
      <vt:lpstr>Sheet3</vt:lpstr>
      <vt:lpstr>Sheet4</vt:lpstr>
      <vt:lpstr>Sheet6</vt:lpstr>
      <vt:lpstr>Sheet7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sandip bohara</cp:lastModifiedBy>
  <dcterms:created xsi:type="dcterms:W3CDTF">2024-04-09T06:04:25Z</dcterms:created>
  <dcterms:modified xsi:type="dcterms:W3CDTF">2025-05-09T12:34:19Z</dcterms:modified>
</cp:coreProperties>
</file>