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data/"/>
    </mc:Choice>
  </mc:AlternateContent>
  <xr:revisionPtr revIDLastSave="223" documentId="13_ncr:1_{333C23FD-339B-4120-9960-1A10164C3EF5}" xr6:coauthVersionLast="47" xr6:coauthVersionMax="47" xr10:uidLastSave="{40DE091F-B165-4C00-AEA0-CD7F56B05DF8}"/>
  <bookViews>
    <workbookView minimized="1" xWindow="2580" yWindow="2580" windowWidth="14400" windowHeight="7270" xr2:uid="{097E9588-E6E8-4050-963F-81EF450CE2DB}"/>
  </bookViews>
  <sheets>
    <sheet name="Fish excretion" sheetId="1" r:id="rId1"/>
    <sheet name="Primary production demand" sheetId="2" r:id="rId2"/>
    <sheet name="Vanni and McIntyre fig" sheetId="3" r:id="rId3"/>
    <sheet name="Vanni and McIntyre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53" i="1"/>
  <c r="C63" i="1" s="1"/>
  <c r="C54" i="1"/>
  <c r="C64" i="1" s="1"/>
  <c r="D54" i="1"/>
  <c r="C55" i="1"/>
  <c r="C65" i="1" s="1"/>
  <c r="D55" i="1"/>
  <c r="D65" i="1" s="1"/>
  <c r="D53" i="1"/>
  <c r="C29" i="1"/>
  <c r="C35" i="1" s="1"/>
  <c r="D29" i="1"/>
  <c r="C30" i="1"/>
  <c r="D30" i="1"/>
  <c r="D28" i="1"/>
  <c r="D34" i="1" s="1"/>
  <c r="C28" i="1"/>
  <c r="C34" i="1" s="1"/>
  <c r="D36" i="1"/>
  <c r="C36" i="1"/>
  <c r="D35" i="1"/>
  <c r="D64" i="1"/>
  <c r="D63" i="1"/>
  <c r="C49" i="1"/>
  <c r="D49" i="1"/>
  <c r="D59" i="1" s="1"/>
  <c r="C50" i="1"/>
  <c r="D50" i="1"/>
  <c r="D48" i="1"/>
  <c r="C58" i="1"/>
  <c r="D60" i="1"/>
  <c r="C60" i="1"/>
  <c r="C59" i="1"/>
  <c r="D58" i="1"/>
  <c r="C18" i="1" l="1"/>
  <c r="D17" i="1"/>
  <c r="C17" i="1"/>
  <c r="C19" i="1"/>
  <c r="C83" i="1"/>
  <c r="C82" i="1"/>
  <c r="C75" i="1"/>
  <c r="C68" i="1" l="1"/>
  <c r="D82" i="1"/>
  <c r="A83" i="1"/>
  <c r="A84" i="1"/>
  <c r="D75" i="1"/>
  <c r="A82" i="1"/>
  <c r="D68" i="1" l="1"/>
  <c r="D70" i="1" l="1"/>
  <c r="D77" i="1"/>
  <c r="D69" i="1"/>
  <c r="D76" i="1"/>
  <c r="C69" i="1"/>
  <c r="C76" i="1"/>
  <c r="C70" i="1"/>
  <c r="C77" i="1"/>
  <c r="M28" i="1" l="1"/>
  <c r="N28" i="1"/>
  <c r="M29" i="1"/>
  <c r="N29" i="1"/>
  <c r="N27" i="1"/>
  <c r="M27" i="1"/>
  <c r="M23" i="1"/>
  <c r="N23" i="1"/>
  <c r="M24" i="1"/>
  <c r="N24" i="1"/>
  <c r="N22" i="1"/>
  <c r="M22" i="1"/>
  <c r="C23" i="1" l="1"/>
  <c r="C39" i="1" s="1"/>
  <c r="F3" i="1"/>
  <c r="D19" i="1"/>
  <c r="D25" i="1" s="1"/>
  <c r="D41" i="1" s="1"/>
  <c r="D23" i="1"/>
  <c r="D39" i="1" s="1"/>
  <c r="C24" i="1"/>
  <c r="C40" i="1" s="1"/>
  <c r="C25" i="1"/>
  <c r="C41" i="1" s="1"/>
  <c r="D18" i="1"/>
  <c r="D24" i="1"/>
  <c r="D40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<sst xmlns="http://schemas.openxmlformats.org/spreadsheetml/2006/main" count="139" uniqueCount="79">
  <si>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</si>
  <si>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</si>
  <si>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</si>
  <si>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</si>
  <si>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</si>
  <si>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</si>
  <si>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</si>
  <si>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</si>
  <si>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</si>
  <si>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</si>
  <si>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</si>
  <si>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</si>
  <si>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</si>
  <si>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</si>
  <si>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</si>
  <si>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</si>
  <si>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</si>
  <si>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</si>
  <si>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</si>
  <si>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</si>
  <si>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</si>
  <si>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</si>
  <si>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</si>
  <si>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</si>
  <si>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</si>
  <si>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</si>
  <si>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</si>
  <si>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</si>
  <si>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</si>
  <si>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</si>
  <si>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t>Numbers estimated visually from Hayhurst et al. (2020)</t>
  </si>
  <si>
    <t xml:space="preserve"> </t>
  </si>
  <si>
    <t>invert/invert</t>
  </si>
  <si>
    <t>From Frost et al (2006): Ic_max = 0.03 mg C/mg C/day</t>
  </si>
  <si>
    <t>From Frost et al (2003): Benthic invertebrates mean C:P = 148</t>
  </si>
  <si>
    <t>P excretion (mass-corrected g P/g/d)</t>
  </si>
  <si>
    <t>P excretion (mass-corrected mg P/mg C/d)</t>
  </si>
  <si>
    <t>mg C: mg P?</t>
  </si>
  <si>
    <t>From Schindler and Eby (1997): Ap = 0.72</t>
  </si>
  <si>
    <t>Solving for per capita P excretion (mg P/mg/d) using Narr &amp; Frost (2015) mass balance model for P-limited animals</t>
  </si>
  <si>
    <t>Solving for per capita P excretion (mg P/mg/d) using Narr &amp; Frost (2015) mass balance model for C-limited animals</t>
  </si>
  <si>
    <t>From Tanner et al. (2000), YP body P:C = 0.025</t>
  </si>
  <si>
    <t>Pex = (Ic*fP:C*Ap)-(Ic*Ac-Rc)*QP:QC</t>
  </si>
  <si>
    <t xml:space="preserve">From respiration rate Rc = </t>
  </si>
  <si>
    <t>From Paul Frost, Ac = 0.5</t>
  </si>
  <si>
    <t>Benthic invertebrates P:C calculation</t>
  </si>
  <si>
    <r>
      <t xml:space="preserve">Log10 P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</si>
  <si>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Solving for log10 N excretion (ug P/h) using Mcintyre and Vanni (2017)</t>
  </si>
  <si>
    <t>Solving for SE P excretion (ug P/h) using Mcintyre and Vanni (2017)</t>
  </si>
  <si>
    <t>Solving for N excretion (ug P/h) using Mcintyre and Vanni (2017)</t>
  </si>
  <si>
    <t>Solving for SE N excretion (ug P/h) using Mcintyre and Vanni (2017)</t>
  </si>
  <si>
    <t>Solving for log10 SE N excretion (ug P/h) using Mcintyre and Vanni (2017)</t>
  </si>
  <si>
    <t>Solving for log10 SE P excretion (ug P/h) using Mcintyre and Vanni (2017)</t>
  </si>
  <si>
    <t>N excretion (μg N/ind/h)</t>
  </si>
  <si>
    <t>Year</t>
  </si>
  <si>
    <t>Lake</t>
  </si>
  <si>
    <t>P excretion (μg P/ind/h)</t>
  </si>
  <si>
    <t>SE P excretion (μg P/ind/h)</t>
  </si>
  <si>
    <t>SE N excretion (μg N/ind/h)</t>
  </si>
  <si>
    <t>Mass</t>
  </si>
  <si>
    <r>
      <t xml:space="preserve">239.63 </t>
    </r>
    <r>
      <rPr>
        <sz val="11"/>
        <color theme="1"/>
        <rFont val="Calibri"/>
        <family val="2"/>
      </rPr>
      <t xml:space="preserve">± </t>
    </r>
    <r>
      <rPr>
        <sz val="11"/>
        <color theme="1"/>
        <rFont val="Calibri"/>
        <family val="2"/>
        <scheme val="minor"/>
      </rPr>
      <t>1.26</t>
    </r>
  </si>
  <si>
    <t>279.37 ± 1.26</t>
  </si>
  <si>
    <t>135.5 ± 1.25</t>
  </si>
  <si>
    <t>111.3 ± 1.23</t>
  </si>
  <si>
    <t>117.79 ± 1.24</t>
  </si>
  <si>
    <t>80.78 ± 1.22</t>
  </si>
  <si>
    <t>27.6 ± 1.31</t>
  </si>
  <si>
    <t xml:space="preserve">31.74 ± 1.31 </t>
  </si>
  <si>
    <t>17.19 ± 1.29</t>
  </si>
  <si>
    <t>14.7 ± 1.27</t>
  </si>
  <si>
    <t>15.37 ± 1.28</t>
  </si>
  <si>
    <t>11.3 ± 1.26</t>
  </si>
  <si>
    <t>AgNPs L222</t>
  </si>
  <si>
    <t>Reference L239</t>
  </si>
  <si>
    <t>Pre-addition</t>
  </si>
  <si>
    <t>Year 1</t>
  </si>
  <si>
    <t>Year 2</t>
  </si>
  <si>
    <t>Dry mass (g)</t>
  </si>
  <si>
    <r>
      <t xml:space="preserve">Log10 N = 1.461 + 0.684 x log10(D) + 0.0246 x log10(T) - </t>
    </r>
    <r>
      <rPr>
        <sz val="11"/>
        <color theme="8"/>
        <rFont val="Calibri"/>
        <family val="2"/>
        <scheme val="minor"/>
      </rPr>
      <t>0.2013 [or -0.0537 or -0.1732]</t>
    </r>
    <r>
      <rPr>
        <sz val="11"/>
        <color theme="1"/>
        <rFont val="Calibri"/>
        <family val="2"/>
        <scheme val="minor"/>
      </rPr>
      <t xml:space="preserve"> + 0.7804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</si>
</sst>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67</xdr:row>
      <xdr:rowOff>120650</xdr:rowOff>
    </xdr:from>
    <xdr:to>
      <xdr:col>1</xdr:col>
      <xdr:colOff>2279739</xdr:colOff>
      <xdr:row>69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86"/>
  <sheetViews>
    <sheetView tabSelected="1" topLeftCell="A47" workbookViewId="0">
      <selection activeCell="C48" sqref="C48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31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0.65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 t="shared" ref="C17:D19" si="3">0.6757+(0.5656*LOG10(I12))+(0.0194*I2)-0.248+0.7504</f>
        <v>1.4408837945171991</v>
      </c>
      <c r="D17">
        <f t="shared" si="3"/>
        <v>1.1673748689049044</v>
      </c>
      <c r="E17" t="s">
        <v>32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 t="shared" si="3"/>
        <v>1.4978726094071799</v>
      </c>
      <c r="D18">
        <f t="shared" si="3"/>
        <v>1.1867748689049045</v>
      </c>
      <c r="E18" t="s">
        <v>32</v>
      </c>
      <c r="H18">
        <v>2014</v>
      </c>
      <c r="I18">
        <v>14.84</v>
      </c>
      <c r="J18">
        <v>15.3</v>
      </c>
      <c r="L18">
        <v>2014</v>
      </c>
      <c r="M18">
        <f t="shared" ref="M18:M19" si="4">I18*24*(1/10^(6))</f>
        <v>3.5615999999999995E-4</v>
      </c>
      <c r="N18">
        <f t="shared" ref="N18:N19" si="5">J18*24*(1/10^(6))</f>
        <v>3.6720000000000004E-4</v>
      </c>
    </row>
    <row r="19" spans="1:14" x14ac:dyDescent="0.35">
      <c r="B19">
        <v>2015</v>
      </c>
      <c r="C19">
        <f t="shared" si="3"/>
        <v>1.2352089256122945</v>
      </c>
      <c r="D19">
        <f t="shared" si="3"/>
        <v>1.0532419099315518</v>
      </c>
      <c r="E19" t="s">
        <v>32</v>
      </c>
      <c r="H19">
        <v>2015</v>
      </c>
      <c r="I19">
        <v>15.07</v>
      </c>
      <c r="J19">
        <v>14.31</v>
      </c>
      <c r="L19">
        <v>2015</v>
      </c>
      <c r="M19">
        <f t="shared" si="4"/>
        <v>3.6167999999999997E-4</v>
      </c>
      <c r="N19">
        <f t="shared" si="5"/>
        <v>3.4343999999999998E-4</v>
      </c>
    </row>
    <row r="20" spans="1:14" x14ac:dyDescent="0.35">
      <c r="A20" t="s">
        <v>46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35</v>
      </c>
      <c r="M21" t="s">
        <v>0</v>
      </c>
      <c r="N21" t="s">
        <v>1</v>
      </c>
    </row>
    <row r="22" spans="1:14" x14ac:dyDescent="0.35">
      <c r="B22" s="10" t="s">
        <v>22</v>
      </c>
      <c r="C22" s="11" t="s">
        <v>0</v>
      </c>
      <c r="D22" s="1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 s="13">
        <v>2012</v>
      </c>
      <c r="C23" s="15">
        <f t="shared" ref="C23:D25" si="6">10^C17</f>
        <v>27.598392989007433</v>
      </c>
      <c r="D23" s="16">
        <f t="shared" si="6"/>
        <v>14.70194754518673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7">I23*24*(1/10^(6))</f>
        <v>4.2479999999999992E-4</v>
      </c>
      <c r="N23">
        <f t="shared" ref="N23:N24" si="8">J23*24*(1/10^(6))</f>
        <v>1.6103999999999999E-3</v>
      </c>
    </row>
    <row r="24" spans="1:14" x14ac:dyDescent="0.35">
      <c r="B24" s="13">
        <v>2014</v>
      </c>
      <c r="C24" s="15">
        <f t="shared" si="6"/>
        <v>31.468251277957375</v>
      </c>
      <c r="D24" s="16">
        <f t="shared" si="6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7"/>
        <v>1.6128000000000002E-3</v>
      </c>
      <c r="N24">
        <f t="shared" si="8"/>
        <v>2.0543999999999996E-3</v>
      </c>
    </row>
    <row r="25" spans="1:14" x14ac:dyDescent="0.35">
      <c r="B25" s="14">
        <v>2015</v>
      </c>
      <c r="C25" s="17">
        <f t="shared" si="6"/>
        <v>17.187350184456029</v>
      </c>
      <c r="D25" s="18">
        <f t="shared" si="6"/>
        <v>11.30425406865114</v>
      </c>
    </row>
    <row r="26" spans="1:14" x14ac:dyDescent="0.35">
      <c r="L26" s="9" t="s">
        <v>36</v>
      </c>
      <c r="M26" t="s">
        <v>0</v>
      </c>
      <c r="N26" t="s">
        <v>1</v>
      </c>
    </row>
    <row r="27" spans="1:14" x14ac:dyDescent="0.35">
      <c r="B27" s="2" t="s">
        <v>52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0.0992+(0.0205*LOG10(I12))+(0.002*I2)-0.0922+0.0768</f>
        <v>0.11796472381117852</v>
      </c>
      <c r="D28">
        <f>0.0992+(0.0205*LOG10(J12))+(0.002*J2)-0.0922+0.0768</f>
        <v>0.10545777017777676</v>
      </c>
      <c r="L28">
        <v>2014</v>
      </c>
      <c r="M28">
        <f t="shared" ref="M28:N28" si="9">I23*24*(1/10^(3))*2*(10^(-3))</f>
        <v>8.4959999999999994E-4</v>
      </c>
      <c r="N28">
        <f t="shared" si="9"/>
        <v>3.2207999999999998E-3</v>
      </c>
    </row>
    <row r="29" spans="1:14" x14ac:dyDescent="0.35">
      <c r="B29">
        <v>2014</v>
      </c>
      <c r="C29">
        <f t="shared" ref="C29:D29" si="10">0.0992+(0.0205*LOG10(I13))+(0.002*I3)-0.0922+0.0768</f>
        <v>0.11743656027731116</v>
      </c>
      <c r="D29">
        <f t="shared" si="10"/>
        <v>0.10745777017777676</v>
      </c>
      <c r="L29">
        <v>2015</v>
      </c>
      <c r="M29">
        <f t="shared" ref="M29:N29" si="11">I24*24*(1/10^(3))*2*(10^(-3))</f>
        <v>3.2256000000000003E-3</v>
      </c>
      <c r="N29">
        <f t="shared" si="11"/>
        <v>4.1087999999999993E-3</v>
      </c>
    </row>
    <row r="30" spans="1:14" x14ac:dyDescent="0.35">
      <c r="B30">
        <v>2015</v>
      </c>
      <c r="C30">
        <f t="shared" ref="C30:D30" si="12">0.0992+(0.0205*LOG10(I14))+(0.002*I4)-0.0922+0.0768</f>
        <v>0.11180695363340175</v>
      </c>
      <c r="D30">
        <f t="shared" si="12"/>
        <v>0.1000242028882546</v>
      </c>
    </row>
    <row r="33" spans="2:5" x14ac:dyDescent="0.35">
      <c r="B33" s="10" t="s">
        <v>48</v>
      </c>
      <c r="C33" s="11" t="s">
        <v>0</v>
      </c>
      <c r="D33" s="12" t="s">
        <v>1</v>
      </c>
    </row>
    <row r="34" spans="2:5" x14ac:dyDescent="0.35">
      <c r="B34" s="13">
        <v>2012</v>
      </c>
      <c r="C34" s="15">
        <f t="shared" ref="C34:D34" si="13">10^C28</f>
        <v>1.3120933180391832</v>
      </c>
      <c r="D34" s="16">
        <f t="shared" si="13"/>
        <v>1.2748461307355781</v>
      </c>
    </row>
    <row r="35" spans="2:5" x14ac:dyDescent="0.35">
      <c r="B35" s="13">
        <v>2014</v>
      </c>
      <c r="C35" s="15">
        <f t="shared" ref="C35:D35" si="14">10^C29</f>
        <v>1.3104985968296734</v>
      </c>
      <c r="D35" s="16">
        <f t="shared" si="14"/>
        <v>1.280730553112277</v>
      </c>
    </row>
    <row r="36" spans="2:5" x14ac:dyDescent="0.35">
      <c r="B36" s="14">
        <v>2015</v>
      </c>
      <c r="C36" s="17">
        <f t="shared" ref="C36:D36" si="15">10^C30</f>
        <v>1.2936206918777799</v>
      </c>
      <c r="D36" s="18">
        <f t="shared" si="15"/>
        <v>1.2589955726674278</v>
      </c>
    </row>
    <row r="38" spans="2:5" x14ac:dyDescent="0.35">
      <c r="B38" s="3" t="s">
        <v>23</v>
      </c>
      <c r="C38" t="s">
        <v>0</v>
      </c>
      <c r="D38" t="s">
        <v>1</v>
      </c>
    </row>
    <row r="39" spans="2:5" x14ac:dyDescent="0.35">
      <c r="B39">
        <v>2012</v>
      </c>
      <c r="C39">
        <f t="shared" ref="C39:D41" si="16">C23*24*10^(-6)</f>
        <v>6.6236143173617837E-4</v>
      </c>
      <c r="D39">
        <f t="shared" si="16"/>
        <v>3.5284674108448152E-4</v>
      </c>
    </row>
    <row r="40" spans="2:5" x14ac:dyDescent="0.35">
      <c r="B40">
        <v>2014</v>
      </c>
      <c r="C40">
        <f t="shared" si="16"/>
        <v>7.5523803067097692E-4</v>
      </c>
      <c r="D40">
        <f t="shared" si="16"/>
        <v>3.6896579830643649E-4</v>
      </c>
    </row>
    <row r="41" spans="2:5" x14ac:dyDescent="0.35">
      <c r="B41">
        <v>2015</v>
      </c>
      <c r="C41">
        <f t="shared" si="16"/>
        <v>4.1249640442694467E-4</v>
      </c>
      <c r="D41">
        <f t="shared" si="16"/>
        <v>2.7130209764762736E-4</v>
      </c>
    </row>
    <row r="47" spans="2:5" x14ac:dyDescent="0.35">
      <c r="B47" s="2" t="s">
        <v>47</v>
      </c>
      <c r="C47" t="s">
        <v>0</v>
      </c>
      <c r="D47" t="s">
        <v>1</v>
      </c>
    </row>
    <row r="48" spans="2:5" x14ac:dyDescent="0.35">
      <c r="B48">
        <v>2012</v>
      </c>
      <c r="C48">
        <f>1.461+(0.684*LOG10(I12))+(0.0246*I2)-0.2013+0.7804</f>
        <v>2.3795327359437133</v>
      </c>
      <c r="D48">
        <f t="shared" ref="C48:D50" si="17">1.461+(0.684*LOG10(J12))+(0.0246*J2)-0.2013+0.7804</f>
        <v>2.0464909659316737</v>
      </c>
      <c r="E48" t="s">
        <v>32</v>
      </c>
    </row>
    <row r="49" spans="1:5" x14ac:dyDescent="0.35">
      <c r="B49">
        <v>2014</v>
      </c>
      <c r="C49">
        <f t="shared" si="17"/>
        <v>2.4461735233990649</v>
      </c>
      <c r="D49">
        <f t="shared" si="17"/>
        <v>2.0710909659316741</v>
      </c>
      <c r="E49" t="s">
        <v>32</v>
      </c>
    </row>
    <row r="50" spans="1:5" x14ac:dyDescent="0.35">
      <c r="B50">
        <v>2015</v>
      </c>
      <c r="C50">
        <f t="shared" si="17"/>
        <v>2.1319417700120393</v>
      </c>
      <c r="D50">
        <f t="shared" si="17"/>
        <v>1.9073270622227394</v>
      </c>
      <c r="E50" t="s">
        <v>32</v>
      </c>
    </row>
    <row r="51" spans="1:5" x14ac:dyDescent="0.35">
      <c r="A51" t="s">
        <v>78</v>
      </c>
    </row>
    <row r="52" spans="1:5" x14ac:dyDescent="0.35">
      <c r="B52" s="2" t="s">
        <v>51</v>
      </c>
      <c r="C52" t="s">
        <v>0</v>
      </c>
      <c r="D52" t="s">
        <v>1</v>
      </c>
    </row>
    <row r="53" spans="1:5" x14ac:dyDescent="0.35">
      <c r="B53">
        <v>2012</v>
      </c>
      <c r="C53">
        <f>0.0897+(0.0177*LOG10(I12))+(0.0014*I2)-0.0771+0.0655</f>
        <v>0.10138856641257854</v>
      </c>
      <c r="D53">
        <f>0.0897+(0.0177*LOG10(J12))+(0.0014*J2)-0.0771+0.0655</f>
        <v>9.1243538153495077E-2</v>
      </c>
    </row>
    <row r="54" spans="1:5" x14ac:dyDescent="0.35">
      <c r="B54">
        <v>2014</v>
      </c>
      <c r="C54">
        <f t="shared" ref="C54:D54" si="18">0.0897+(0.0177*LOG10(I13))+(0.0014*I3)-0.0771+0.0655</f>
        <v>0.10158620082480037</v>
      </c>
      <c r="D54">
        <f t="shared" si="18"/>
        <v>9.2643538153495075E-2</v>
      </c>
    </row>
    <row r="55" spans="1:5" x14ac:dyDescent="0.35">
      <c r="B55">
        <v>2015</v>
      </c>
      <c r="C55">
        <f t="shared" ref="C55:D55" si="19">0.0897+(0.0177*LOG10(I14))+(0.0014*I4)-0.0771+0.0655</f>
        <v>9.5745028259083473E-2</v>
      </c>
      <c r="D55">
        <f t="shared" si="19"/>
        <v>8.6878945908395455E-2</v>
      </c>
    </row>
    <row r="57" spans="1:5" x14ac:dyDescent="0.35">
      <c r="B57" s="10" t="s">
        <v>49</v>
      </c>
      <c r="C57" s="11" t="s">
        <v>0</v>
      </c>
      <c r="D57" s="12" t="s">
        <v>1</v>
      </c>
    </row>
    <row r="58" spans="1:5" x14ac:dyDescent="0.35">
      <c r="B58" s="13">
        <v>2012</v>
      </c>
      <c r="C58" s="15">
        <f t="shared" ref="C58:D60" si="20">10^C48</f>
        <v>239.62533660375581</v>
      </c>
      <c r="D58" s="16">
        <f t="shared" si="20"/>
        <v>111.29892404803986</v>
      </c>
    </row>
    <row r="59" spans="1:5" x14ac:dyDescent="0.35">
      <c r="B59" s="13">
        <v>2014</v>
      </c>
      <c r="C59" s="15">
        <f t="shared" si="20"/>
        <v>279.36598317422857</v>
      </c>
      <c r="D59" s="16">
        <f t="shared" si="20"/>
        <v>117.78526569314698</v>
      </c>
    </row>
    <row r="60" spans="1:5" x14ac:dyDescent="0.35">
      <c r="B60" s="14">
        <v>2015</v>
      </c>
      <c r="C60" s="17">
        <f t="shared" si="20"/>
        <v>135.50077214099701</v>
      </c>
      <c r="D60" s="18">
        <f t="shared" si="20"/>
        <v>80.784317871257329</v>
      </c>
    </row>
    <row r="62" spans="1:5" x14ac:dyDescent="0.35">
      <c r="B62" s="10" t="s">
        <v>50</v>
      </c>
      <c r="C62" s="11" t="s">
        <v>0</v>
      </c>
      <c r="D62" s="12" t="s">
        <v>1</v>
      </c>
    </row>
    <row r="63" spans="1:5" x14ac:dyDescent="0.35">
      <c r="B63" s="13">
        <v>2012</v>
      </c>
      <c r="C63" s="15">
        <f>10^C53</f>
        <v>1.2629570060056998</v>
      </c>
      <c r="D63" s="15">
        <f>10^D53</f>
        <v>1.2337965120410657</v>
      </c>
    </row>
    <row r="64" spans="1:5" x14ac:dyDescent="0.35">
      <c r="B64" s="13">
        <v>2014</v>
      </c>
      <c r="C64" s="15">
        <f t="shared" ref="C64:D64" si="21">10^C54</f>
        <v>1.2635318707073291</v>
      </c>
      <c r="D64" s="15">
        <f t="shared" si="21"/>
        <v>1.2377802196082091</v>
      </c>
    </row>
    <row r="65" spans="1:4" x14ac:dyDescent="0.35">
      <c r="B65" s="14">
        <v>2015</v>
      </c>
      <c r="C65" s="15">
        <f t="shared" ref="C65:D65" si="22">10^C55</f>
        <v>1.2466513976358702</v>
      </c>
      <c r="D65" s="15">
        <f t="shared" si="22"/>
        <v>1.2214591464284597</v>
      </c>
    </row>
    <row r="67" spans="1:4" x14ac:dyDescent="0.35">
      <c r="B67" s="8" t="s">
        <v>39</v>
      </c>
      <c r="C67" t="s">
        <v>0</v>
      </c>
      <c r="D67" t="s">
        <v>1</v>
      </c>
    </row>
    <row r="68" spans="1:4" x14ac:dyDescent="0.35">
      <c r="B68">
        <v>2012</v>
      </c>
      <c r="C68">
        <f>0.03*C75*(1-0.72)</f>
        <v>8.3999999999999995E-5</v>
      </c>
      <c r="D68">
        <f>0.1*D75*(1-0.77)</f>
        <v>8.9032258064516138E-5</v>
      </c>
    </row>
    <row r="69" spans="1:4" x14ac:dyDescent="0.35">
      <c r="B69">
        <v>2014</v>
      </c>
      <c r="C69">
        <f>0.1*C76*(1-0.72)</f>
        <v>7.2333333333333342E-4</v>
      </c>
      <c r="D69">
        <f>0.76*D76*(1-0.72)</f>
        <v>2.7486666666666666E-3</v>
      </c>
    </row>
    <row r="70" spans="1:4" x14ac:dyDescent="0.35">
      <c r="B70">
        <v>2015</v>
      </c>
      <c r="C70">
        <f>1.2*C77*(1-0.72)</f>
        <v>8.6800000000000002E-3</v>
      </c>
      <c r="D70">
        <f>0.99*D77*(1-0.72)</f>
        <v>3.5805000000000003E-3</v>
      </c>
    </row>
    <row r="73" spans="1:4" x14ac:dyDescent="0.35">
      <c r="A73" t="s">
        <v>33</v>
      </c>
    </row>
    <row r="74" spans="1:4" x14ac:dyDescent="0.35">
      <c r="A74" t="s">
        <v>34</v>
      </c>
    </row>
    <row r="75" spans="1:4" x14ac:dyDescent="0.35">
      <c r="A75" t="s">
        <v>37</v>
      </c>
      <c r="B75" t="s">
        <v>45</v>
      </c>
      <c r="C75">
        <f>1/100</f>
        <v>0.01</v>
      </c>
      <c r="D75">
        <f>(1/100)*(12/31)</f>
        <v>3.8709677419354839E-3</v>
      </c>
    </row>
    <row r="76" spans="1:4" x14ac:dyDescent="0.35">
      <c r="A76" t="s">
        <v>38</v>
      </c>
      <c r="C76">
        <f>1/(100*12/31)</f>
        <v>2.5833333333333333E-2</v>
      </c>
      <c r="D76">
        <f>1/(200*12/31)</f>
        <v>1.2916666666666667E-2</v>
      </c>
    </row>
    <row r="77" spans="1:4" x14ac:dyDescent="0.35">
      <c r="C77">
        <f>1/(100*12/31)</f>
        <v>2.5833333333333333E-2</v>
      </c>
      <c r="D77">
        <f>1/(200*12/31)</f>
        <v>1.2916666666666667E-2</v>
      </c>
    </row>
    <row r="79" spans="1:4" x14ac:dyDescent="0.35">
      <c r="B79" s="8" t="s">
        <v>40</v>
      </c>
    </row>
    <row r="81" spans="1:4" x14ac:dyDescent="0.35">
      <c r="A81" t="s">
        <v>41</v>
      </c>
    </row>
    <row r="82" spans="1:4" x14ac:dyDescent="0.35">
      <c r="A82">
        <f>(2.74/43.14)*(12/31)</f>
        <v>2.4586118713266634E-2</v>
      </c>
      <c r="B82" t="s">
        <v>42</v>
      </c>
      <c r="C82">
        <f>(0.03*C75*0.72)-((0.03*0.5-0.035)*0.025)</f>
        <v>7.1600000000000006E-4</v>
      </c>
      <c r="D82">
        <f>(0.03*D76*0.72)-((0.03*0.5-0.035)*0.025)</f>
        <v>7.7900000000000018E-4</v>
      </c>
    </row>
    <row r="83" spans="1:4" x14ac:dyDescent="0.35">
      <c r="A83">
        <f>1/(A82*31/12)</f>
        <v>15.744525547445257</v>
      </c>
      <c r="C83">
        <f>(0.03*C76*0.72)-((0.03*0.5-0.035)*0.025)</f>
        <v>1.0580000000000001E-3</v>
      </c>
    </row>
    <row r="84" spans="1:4" x14ac:dyDescent="0.35">
      <c r="A84">
        <f>(43.14/2.74)*(31/12)</f>
        <v>40.673357664233578</v>
      </c>
    </row>
    <row r="85" spans="1:4" x14ac:dyDescent="0.35">
      <c r="A85" t="s">
        <v>43</v>
      </c>
    </row>
    <row r="86" spans="1:4" x14ac:dyDescent="0.35">
      <c r="A86" t="s">
        <v>44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30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1118-7300-4CD2-82A1-E1B53136AEB8}">
  <dimension ref="A1:G7"/>
  <sheetViews>
    <sheetView workbookViewId="0">
      <selection activeCell="D3" sqref="D3"/>
    </sheetView>
  </sheetViews>
  <sheetFormatPr defaultRowHeight="14.5" x14ac:dyDescent="0.35"/>
  <sheetData>
    <row r="1" spans="1:7" x14ac:dyDescent="0.35">
      <c r="A1" t="s">
        <v>54</v>
      </c>
      <c r="B1" t="s">
        <v>55</v>
      </c>
      <c r="C1" t="s">
        <v>59</v>
      </c>
      <c r="D1" t="s">
        <v>53</v>
      </c>
      <c r="E1" t="s">
        <v>58</v>
      </c>
      <c r="F1" t="s">
        <v>56</v>
      </c>
      <c r="G1" t="s">
        <v>57</v>
      </c>
    </row>
    <row r="2" spans="1:7" x14ac:dyDescent="0.35">
      <c r="A2">
        <v>2012</v>
      </c>
      <c r="B2">
        <v>222</v>
      </c>
      <c r="C2">
        <v>0.65</v>
      </c>
      <c r="D2">
        <v>239.62533660375581</v>
      </c>
      <c r="E2">
        <v>1.2629570060056998</v>
      </c>
      <c r="F2">
        <v>27.598392989007433</v>
      </c>
      <c r="G2">
        <v>1.3120933180391832</v>
      </c>
    </row>
    <row r="3" spans="1:7" x14ac:dyDescent="0.35">
      <c r="A3">
        <v>2014</v>
      </c>
      <c r="B3">
        <v>222</v>
      </c>
      <c r="C3">
        <v>0.96</v>
      </c>
      <c r="D3">
        <v>279.36598317422857</v>
      </c>
      <c r="E3">
        <v>1.2635318707073291</v>
      </c>
      <c r="F3">
        <v>31.468251277957375</v>
      </c>
      <c r="G3">
        <v>1.3104985968296734</v>
      </c>
    </row>
    <row r="4" spans="1:7" x14ac:dyDescent="0.35">
      <c r="A4">
        <v>2015</v>
      </c>
      <c r="B4">
        <v>222</v>
      </c>
      <c r="C4">
        <v>0.26</v>
      </c>
      <c r="D4">
        <v>135.50077214099701</v>
      </c>
      <c r="E4">
        <v>1.2466513976358702</v>
      </c>
      <c r="F4">
        <v>17.187350184456029</v>
      </c>
      <c r="G4">
        <v>1.2936206918777799</v>
      </c>
    </row>
    <row r="5" spans="1:7" x14ac:dyDescent="0.35">
      <c r="A5">
        <v>2012</v>
      </c>
      <c r="B5">
        <v>239</v>
      </c>
      <c r="C5">
        <v>0.25</v>
      </c>
      <c r="D5">
        <v>111.29892404803986</v>
      </c>
      <c r="E5">
        <v>1.2337965120410657</v>
      </c>
      <c r="F5">
        <v>14.70194754518673</v>
      </c>
      <c r="G5">
        <v>1.2748461307355781</v>
      </c>
    </row>
    <row r="6" spans="1:7" x14ac:dyDescent="0.35">
      <c r="A6">
        <v>2014</v>
      </c>
      <c r="B6">
        <v>239</v>
      </c>
      <c r="C6">
        <v>0.25</v>
      </c>
      <c r="D6">
        <v>117.78526569314698</v>
      </c>
      <c r="E6">
        <v>1.2377802196082091</v>
      </c>
      <c r="F6">
        <v>15.373574929434854</v>
      </c>
      <c r="G6">
        <v>1.280730553112277</v>
      </c>
    </row>
    <row r="7" spans="1:7" x14ac:dyDescent="0.35">
      <c r="A7">
        <v>2015</v>
      </c>
      <c r="B7">
        <v>239</v>
      </c>
      <c r="C7">
        <v>0.17</v>
      </c>
      <c r="D7">
        <v>80.784317871257329</v>
      </c>
      <c r="E7">
        <v>1.2214591464284597</v>
      </c>
      <c r="F7">
        <v>11.30425406865114</v>
      </c>
      <c r="G7">
        <v>1.2589955726674278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DF4-9995-442C-AB20-CADCFF9DC24B}">
  <dimension ref="A1:F7"/>
  <sheetViews>
    <sheetView workbookViewId="0">
      <selection activeCell="D2" sqref="D2"/>
    </sheetView>
  </sheetViews>
  <sheetFormatPr defaultRowHeight="14.5" x14ac:dyDescent="0.35"/>
  <cols>
    <col min="1" max="1" width="10.81640625" customWidth="1"/>
    <col min="2" max="3" width="14.453125" customWidth="1"/>
    <col min="5" max="5" width="12.81640625" customWidth="1"/>
    <col min="6" max="6" width="11.54296875" customWidth="1"/>
  </cols>
  <sheetData>
    <row r="1" spans="1:6" ht="29" x14ac:dyDescent="0.35">
      <c r="A1" t="s">
        <v>54</v>
      </c>
      <c r="B1" t="s">
        <v>55</v>
      </c>
      <c r="C1" t="s">
        <v>3</v>
      </c>
      <c r="D1" t="s">
        <v>77</v>
      </c>
      <c r="E1" s="20" t="s">
        <v>53</v>
      </c>
      <c r="F1" s="20" t="s">
        <v>56</v>
      </c>
    </row>
    <row r="2" spans="1:6" x14ac:dyDescent="0.35">
      <c r="A2" t="s">
        <v>74</v>
      </c>
      <c r="B2" t="s">
        <v>72</v>
      </c>
      <c r="C2">
        <v>19</v>
      </c>
      <c r="D2">
        <v>0.65</v>
      </c>
      <c r="E2" s="19" t="s">
        <v>60</v>
      </c>
      <c r="F2" s="19" t="s">
        <v>66</v>
      </c>
    </row>
    <row r="3" spans="1:6" x14ac:dyDescent="0.35">
      <c r="B3" t="s">
        <v>73</v>
      </c>
      <c r="C3">
        <v>17</v>
      </c>
      <c r="D3">
        <v>0.25</v>
      </c>
      <c r="E3" s="19" t="s">
        <v>63</v>
      </c>
      <c r="F3" s="19" t="s">
        <v>69</v>
      </c>
    </row>
    <row r="4" spans="1:6" x14ac:dyDescent="0.35">
      <c r="A4" t="s">
        <v>75</v>
      </c>
      <c r="B4" t="s">
        <v>72</v>
      </c>
      <c r="C4">
        <v>20</v>
      </c>
      <c r="D4">
        <v>0.96</v>
      </c>
      <c r="E4" s="19" t="s">
        <v>61</v>
      </c>
      <c r="F4" s="19" t="s">
        <v>67</v>
      </c>
    </row>
    <row r="5" spans="1:6" x14ac:dyDescent="0.35">
      <c r="B5" t="s">
        <v>73</v>
      </c>
      <c r="C5">
        <v>17</v>
      </c>
      <c r="D5">
        <v>0.25</v>
      </c>
      <c r="E5" s="19" t="s">
        <v>64</v>
      </c>
      <c r="F5" s="19" t="s">
        <v>70</v>
      </c>
    </row>
    <row r="6" spans="1:6" x14ac:dyDescent="0.35">
      <c r="A6" t="s">
        <v>76</v>
      </c>
      <c r="B6" t="s">
        <v>72</v>
      </c>
      <c r="C6">
        <v>18</v>
      </c>
      <c r="D6">
        <v>0.26</v>
      </c>
      <c r="E6" s="19" t="s">
        <v>62</v>
      </c>
      <c r="F6" s="19" t="s">
        <v>68</v>
      </c>
    </row>
    <row r="7" spans="1:6" x14ac:dyDescent="0.35">
      <c r="B7" t="s">
        <v>73</v>
      </c>
      <c r="C7">
        <v>16</v>
      </c>
      <c r="D7">
        <v>0.17</v>
      </c>
      <c r="E7" s="19" t="s">
        <v>65</v>
      </c>
      <c r="F7" s="19" t="s">
        <v>71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 excretion</vt:lpstr>
      <vt:lpstr>Primary production demand</vt:lpstr>
      <vt:lpstr>Vanni and McIntyre fig</vt:lpstr>
      <vt:lpstr>Vanni and McIntyre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2023-02-02T19:52:15Z</dcterms:modified>
</cp:coreProperties>
</file>