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lem\Documents\Etudes\Trent\Xenopoulos lab\Projects\AgNP ELA lakes &amp; fish excretion\Data\"/>
    </mc:Choice>
  </mc:AlternateContent>
  <xr:revisionPtr revIDLastSave="0" documentId="13_ncr:1_{BFE1E970-AF30-4585-9582-68BC4F4528B0}" xr6:coauthVersionLast="47" xr6:coauthVersionMax="47" xr10:uidLastSave="{00000000-0000-0000-0000-000000000000}"/>
  <bookViews>
    <workbookView xWindow="-110" yWindow="490" windowWidth="19420" windowHeight="10420" xr2:uid="{097E9588-E6E8-4050-963F-81EF450CE2DB}"/>
  </bookViews>
  <sheets>
    <sheet name="Fish excretion" sheetId="1" r:id="rId1"/>
    <sheet name="Primary production deman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5" i="1" l="1"/>
  <c r="C55" i="1"/>
  <c r="D54" i="1"/>
  <c r="C54" i="1"/>
  <c r="D53" i="1"/>
  <c r="C53" i="1"/>
  <c r="D50" i="1"/>
  <c r="D51" i="1"/>
  <c r="C51" i="1"/>
  <c r="C50" i="1"/>
  <c r="C48" i="1"/>
  <c r="D48" i="1"/>
  <c r="D47" i="1"/>
  <c r="C47" i="1"/>
  <c r="C41" i="1"/>
  <c r="C42" i="1"/>
  <c r="D41" i="1"/>
  <c r="D42" i="1"/>
  <c r="D40" i="1"/>
  <c r="D33" i="1" s="1"/>
  <c r="C40" i="1"/>
  <c r="A51" i="1"/>
  <c r="M28" i="1"/>
  <c r="N28" i="1"/>
  <c r="M29" i="1"/>
  <c r="N29" i="1"/>
  <c r="N27" i="1"/>
  <c r="M27" i="1"/>
  <c r="D34" i="1"/>
  <c r="C33" i="1" l="1"/>
  <c r="A47" i="1"/>
  <c r="C34" i="1" l="1"/>
  <c r="M23" i="1" l="1"/>
  <c r="N23" i="1"/>
  <c r="M24" i="1"/>
  <c r="N24" i="1"/>
  <c r="N22" i="1"/>
  <c r="M22" i="1"/>
  <c r="C17" i="1" l="1"/>
  <c r="C23" i="1" s="1"/>
  <c r="C28" i="1" s="1"/>
  <c r="F3" i="1"/>
  <c r="D19" i="1"/>
  <c r="D25" i="1" s="1"/>
  <c r="D30" i="1" s="1"/>
  <c r="D17" i="1"/>
  <c r="D23" i="1" s="1"/>
  <c r="D28" i="1" s="1"/>
  <c r="C18" i="1"/>
  <c r="C24" i="1" s="1"/>
  <c r="C29" i="1" s="1"/>
  <c r="C19" i="1"/>
  <c r="C25" i="1" s="1"/>
  <c r="C30" i="1" s="1"/>
  <c r="D18" i="1"/>
  <c r="D24" i="1"/>
  <c r="D29" i="1" s="1"/>
  <c r="C7" i="1"/>
  <c r="C12" i="1" s="1"/>
  <c r="C8" i="1"/>
  <c r="C13" i="1" s="1"/>
  <c r="D9" i="1"/>
  <c r="D14" i="1" s="1"/>
  <c r="D8" i="1"/>
  <c r="D13" i="1" s="1"/>
  <c r="D7" i="1"/>
  <c r="D12" i="1" s="1"/>
  <c r="C9" i="1"/>
  <c r="C14" i="1" s="1"/>
  <c r="M18" i="1"/>
  <c r="C3" i="1" s="1"/>
  <c r="N18" i="1"/>
  <c r="D3" i="1" s="1"/>
  <c r="M19" i="1"/>
  <c r="C4" i="1" s="1"/>
  <c r="N19" i="1"/>
  <c r="D4" i="1" s="1"/>
  <c r="N17" i="1"/>
  <c r="D2" i="1" s="1"/>
  <c r="M17" i="1"/>
  <c r="C2" i="1" s="1"/>
</calcChain>
</file>

<file path=xl/sharedStrings.xml><?xml version="1.0" encoding="utf-8"?>
<sst xmlns="http://schemas.openxmlformats.org/spreadsheetml/2006/main" count="83" uniqueCount="49">
  <si>
    <t>L222</t>
  </si>
  <si>
    <t>L239</t>
  </si>
  <si>
    <t>PARAMETERS</t>
  </si>
  <si>
    <t>Temperature</t>
  </si>
  <si>
    <t>did not have any data for 2012 so generated random number between 16 and 20 (RANDBETWEEEN(), temp range for 2014/2015), then had to fix them because kept changing</t>
  </si>
  <si>
    <t>Dry mass</t>
  </si>
  <si>
    <t>Wet mass</t>
  </si>
  <si>
    <t>P excretion (mass-corrected ug P/g/h, from the emmeans model in Rstudio)</t>
  </si>
  <si>
    <t>Notes</t>
  </si>
  <si>
    <t>P excretion (g P/d, raw value)</t>
  </si>
  <si>
    <t>P excretion (ug P/h, raw value)</t>
  </si>
  <si>
    <t>L2222</t>
  </si>
  <si>
    <t>Fish density (number of fish per hectare)</t>
  </si>
  <si>
    <t>Mean daily primary production (g C/m2/d)</t>
  </si>
  <si>
    <t>P:C seston (mg P/mg C</t>
  </si>
  <si>
    <t>Solving for per capita P excretion (g P/d) using Schindler &amp; Eby (1997)</t>
  </si>
  <si>
    <t>Solving for log per capita P excretion using Schindler &amp; Eby (1997)</t>
  </si>
  <si>
    <t>Growth rate (dC/d)</t>
  </si>
  <si>
    <t>Area</t>
  </si>
  <si>
    <t>C:P seston</t>
  </si>
  <si>
    <t>MODELS</t>
  </si>
  <si>
    <t>Solving for log10 P excretion (ug P/h) using Mcintyre and Vanni (2017)</t>
  </si>
  <si>
    <t>Solving for P excretion (ug P/h) using Mcintyre and Vanni (2017)</t>
  </si>
  <si>
    <t>Solving for per capita P excretion (g P/d) using Mcintyre and Vanni (2017)</t>
  </si>
  <si>
    <t>T = temperature</t>
  </si>
  <si>
    <t>F = prey proportion of wet mass comprised of P</t>
  </si>
  <si>
    <t>X = per capita P excretion (g P/d)</t>
  </si>
  <si>
    <t>B = wet mass</t>
  </si>
  <si>
    <t>D = dry mass</t>
  </si>
  <si>
    <t>Solving for F prey proportion of wet mass comprised of P using Schindler &amp; Eby (1997)</t>
  </si>
  <si>
    <r>
      <t xml:space="preserve">Log10 X = 0.6757 + 0.5656 x log10(D) + 0.0194 x log10(T) - </t>
    </r>
    <r>
      <rPr>
        <sz val="11"/>
        <color theme="8"/>
        <rFont val="Calibri"/>
        <family val="2"/>
        <scheme val="minor"/>
      </rPr>
      <t>0.2480 [or -0.0337 or -0.4525]</t>
    </r>
    <r>
      <rPr>
        <sz val="11"/>
        <color theme="1"/>
        <rFont val="Calibri"/>
        <family val="2"/>
        <scheme val="minor"/>
      </rPr>
      <t xml:space="preserve"> + 0.7504</t>
    </r>
  </si>
  <si>
    <t>Numbers estimated visually from Hayhurst et al. (2020)</t>
  </si>
  <si>
    <t xml:space="preserve"> </t>
  </si>
  <si>
    <t>invert/invert</t>
  </si>
  <si>
    <t>invert+fish/invert</t>
  </si>
  <si>
    <t>invert+fish/omni</t>
  </si>
  <si>
    <t>From Frost et al (2006): Ic_max = 0.03 mg C/mg C/day</t>
  </si>
  <si>
    <t>From Frost et al (2003): Benthic invertebrates mean C:P = 148</t>
  </si>
  <si>
    <t>P excretion (mass-corrected g P/g/d)</t>
  </si>
  <si>
    <t>P excretion (mass-corrected mg P/mg C/d)</t>
  </si>
  <si>
    <t>From Schindler and Eby (1997): Ap = 0.72</t>
  </si>
  <si>
    <t>Solving for per capita P excretion (mg P/mg/d) using Narr &amp; Frost (2015) mass balance model for P-limited animals</t>
  </si>
  <si>
    <t>Solving for per capita P excretion (mg P/mg/d) using Narr &amp; Frost (2015) mass balance model for C-limited animals</t>
  </si>
  <si>
    <t>From Tanner et al. (2000), YP body P:C = 0.025</t>
  </si>
  <si>
    <t>Pex = (Ic*fP:C*Ap)-(Ic*Ac-Rc)*QP:QC</t>
  </si>
  <si>
    <t>Benthic invertebrates P:C calculation</t>
  </si>
  <si>
    <t>From Bajer et al. (2005), respiration rate Rc = 0.0108 g O2/g convert to mg C/mg C/d</t>
  </si>
  <si>
    <t>From Paul Frost, Ac = 0.8</t>
  </si>
  <si>
    <t>mg C: mg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</si>
</sst>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2" fillId="4" borderId="0" xfId="0" applyFont="1" applyFill="1"/>
    <xf numFmtId="0" fontId="3" fillId="0" borderId="0" xfId="0" applyFont="1"/>
    <xf numFmtId="0" fontId="0" fillId="0" borderId="1" xfId="0" applyBorder="1"/>
    <xf numFmtId="0" fontId="0" fillId="4" borderId="0" xfId="0" applyFill="1"/>
    <xf numFmtId="0" fontId="0" fillId="5" borderId="0" xfId="0" applyFill="1"/>
    <xf numFmtId="0" fontId="2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603250</xdr:colOff>
      <xdr:row>0</xdr:row>
      <xdr:rowOff>31750</xdr:rowOff>
    </xdr:from>
    <xdr:to>
      <xdr:col>18</xdr:col>
      <xdr:colOff>12924</xdr:colOff>
      <xdr:row>14</xdr:row>
      <xdr:rowOff>38233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47C4AAF-2519-433A-B9A4-49374C8ED6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3200" y="31750"/>
          <a:ext cx="4362674" cy="258458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107951</xdr:rowOff>
    </xdr:from>
    <xdr:to>
      <xdr:col>1</xdr:col>
      <xdr:colOff>0</xdr:colOff>
      <xdr:row>7</xdr:row>
      <xdr:rowOff>149200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CEED649-5457-4E35-81DF-AF9386CCB6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28701"/>
          <a:ext cx="2343150" cy="409549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24</xdr:row>
      <xdr:rowOff>38129</xdr:rowOff>
    </xdr:from>
    <xdr:to>
      <xdr:col>0</xdr:col>
      <xdr:colOff>2076450</xdr:colOff>
      <xdr:row>26</xdr:row>
      <xdr:rowOff>120650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F05FD42-0A5A-4F62-870D-3EDD0D741C0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359" t="25266" r="4085"/>
        <a:stretch/>
      </xdr:blipFill>
      <xdr:spPr>
        <a:xfrm>
          <a:off x="57150" y="4457729"/>
          <a:ext cx="2019300" cy="450821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21</xdr:row>
      <xdr:rowOff>10204</xdr:rowOff>
    </xdr:from>
    <xdr:to>
      <xdr:col>0</xdr:col>
      <xdr:colOff>2209800</xdr:colOff>
      <xdr:row>23</xdr:row>
      <xdr:rowOff>152444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B630BDE-5B63-4FD7-A66A-EA3A10807E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877354"/>
          <a:ext cx="2152650" cy="510540"/>
        </a:xfrm>
        <a:prstGeom prst="rect">
          <a:avLst/>
        </a:prstGeom>
      </xdr:spPr>
    </xdr:pic>
    <xdr:clientData/>
  </xdr:twoCellAnchor>
  <xdr:twoCellAnchor editAs="oneCell">
    <xdr:from>
      <xdr:col>1</xdr:col>
      <xdr:colOff>539750</xdr:colOff>
      <xdr:row>32</xdr:row>
      <xdr:rowOff>120650</xdr:rowOff>
    </xdr:from>
    <xdr:to>
      <xdr:col>1</xdr:col>
      <xdr:colOff>2279739</xdr:colOff>
      <xdr:row>34</xdr:row>
      <xdr:rowOff>165121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769FB14-67E4-4C6F-B3FB-62DFD59D28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82900" y="6013450"/>
          <a:ext cx="1739989" cy="4127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64C61-89D6-4CA9-B9CD-6190EAD1FA66}">
  <dimension ref="A1:N55"/>
  <sheetViews>
    <sheetView tabSelected="1" topLeftCell="A35" workbookViewId="0">
      <selection activeCell="B46" sqref="B46"/>
    </sheetView>
  </sheetViews>
  <sheetFormatPr defaultRowHeight="14.5" x14ac:dyDescent="0.35"/>
  <cols>
    <col min="1" max="1" width="33.54296875" customWidth="1"/>
    <col min="2" max="2" width="42" customWidth="1"/>
    <col min="4" max="4" width="9.81640625" bestFit="1" customWidth="1"/>
    <col min="13" max="13" width="9.81640625" bestFit="1" customWidth="1"/>
  </cols>
  <sheetData>
    <row r="1" spans="1:14" x14ac:dyDescent="0.35">
      <c r="A1" s="1" t="s">
        <v>20</v>
      </c>
      <c r="B1" s="4" t="s">
        <v>29</v>
      </c>
      <c r="C1" t="s">
        <v>0</v>
      </c>
      <c r="D1" t="s">
        <v>1</v>
      </c>
      <c r="G1" s="1" t="s">
        <v>2</v>
      </c>
      <c r="H1" s="2" t="s">
        <v>3</v>
      </c>
      <c r="I1" t="s">
        <v>0</v>
      </c>
      <c r="J1" t="s">
        <v>1</v>
      </c>
      <c r="K1" t="s">
        <v>8</v>
      </c>
    </row>
    <row r="2" spans="1:14" x14ac:dyDescent="0.35">
      <c r="A2" t="s">
        <v>26</v>
      </c>
      <c r="B2">
        <v>2012</v>
      </c>
      <c r="C2">
        <f t="shared" ref="C2:D4" si="0">((-4.776+0.902*LOG(I7)+0.008*I2)-(LOG(M17)))/-96.801</f>
        <v>5.6129069476602376E-3</v>
      </c>
      <c r="D2" s="5">
        <f t="shared" si="0"/>
        <v>1.443324964471818E-2</v>
      </c>
      <c r="H2">
        <v>2012</v>
      </c>
      <c r="I2">
        <v>19</v>
      </c>
      <c r="J2">
        <v>17</v>
      </c>
      <c r="K2" t="s">
        <v>4</v>
      </c>
    </row>
    <row r="3" spans="1:14" x14ac:dyDescent="0.35">
      <c r="A3" t="s">
        <v>27</v>
      </c>
      <c r="B3">
        <v>2014</v>
      </c>
      <c r="C3" s="5">
        <f t="shared" si="0"/>
        <v>6.8548833652332768E-3</v>
      </c>
      <c r="D3" s="5">
        <f t="shared" si="0"/>
        <v>1.2405240927286022E-2</v>
      </c>
      <c r="F3">
        <f>30*0.25+15*1.5</f>
        <v>30</v>
      </c>
      <c r="H3">
        <v>2014</v>
      </c>
      <c r="I3">
        <v>17</v>
      </c>
      <c r="J3">
        <v>18</v>
      </c>
    </row>
    <row r="4" spans="1:14" x14ac:dyDescent="0.35">
      <c r="A4" s="7" t="s">
        <v>25</v>
      </c>
      <c r="B4">
        <v>2015</v>
      </c>
      <c r="C4" s="5">
        <f t="shared" si="0"/>
        <v>1.1972607948045352E-2</v>
      </c>
      <c r="D4" s="5">
        <f t="shared" si="0"/>
        <v>1.3790434357190084E-2</v>
      </c>
      <c r="H4">
        <v>2015</v>
      </c>
      <c r="I4">
        <v>20</v>
      </c>
      <c r="J4">
        <v>16</v>
      </c>
    </row>
    <row r="5" spans="1:14" x14ac:dyDescent="0.35">
      <c r="A5" t="s">
        <v>24</v>
      </c>
    </row>
    <row r="6" spans="1:14" x14ac:dyDescent="0.35">
      <c r="B6" s="2" t="s">
        <v>16</v>
      </c>
      <c r="C6" t="s">
        <v>0</v>
      </c>
      <c r="D6" t="s">
        <v>1</v>
      </c>
      <c r="E6" t="s">
        <v>32</v>
      </c>
      <c r="H6" s="2" t="s">
        <v>6</v>
      </c>
      <c r="I6" t="s">
        <v>0</v>
      </c>
      <c r="J6" t="s">
        <v>1</v>
      </c>
    </row>
    <row r="7" spans="1:14" x14ac:dyDescent="0.35">
      <c r="B7">
        <v>2012</v>
      </c>
      <c r="C7">
        <f>(-4.776)+(0.902*LOG(I7))+(96.801*0.006)+(0.008*I2)</f>
        <v>-3.5468880255443045</v>
      </c>
      <c r="D7">
        <f>(-4.776)+(0.902*LOG(J7))+(96.801*0.014)+(0.008*J2)</f>
        <v>-3.2847859999999995</v>
      </c>
      <c r="H7">
        <v>2012</v>
      </c>
      <c r="I7">
        <v>3.55</v>
      </c>
      <c r="J7">
        <v>1</v>
      </c>
    </row>
    <row r="8" spans="1:14" x14ac:dyDescent="0.35">
      <c r="B8">
        <v>2014</v>
      </c>
      <c r="C8">
        <f>(-4.776)+(0.902*LOG(I8))+(96.801*0.007)+(0.008*I3)</f>
        <v>-3.4343074219833323</v>
      </c>
      <c r="D8">
        <f>(-4.776)+(0.902*LOG(J8))+(96.801*0.012)+(0.008*J3)</f>
        <v>-3.4743250544730095</v>
      </c>
      <c r="H8">
        <v>2014</v>
      </c>
      <c r="I8">
        <v>3.85</v>
      </c>
      <c r="J8">
        <v>0.99</v>
      </c>
    </row>
    <row r="9" spans="1:14" x14ac:dyDescent="0.35">
      <c r="B9">
        <v>2015</v>
      </c>
      <c r="C9">
        <f>(-4.776)+(0.902*LOG(I9))+(96.801*0.012)+(0.008*I4)</f>
        <v>-3.4390239279525003</v>
      </c>
      <c r="D9">
        <f>(-4.776)+(0.902*LOG(J9))+(96.801*0.014)+(0.008*J4)</f>
        <v>-3.4438629607389748</v>
      </c>
      <c r="H9">
        <v>2015</v>
      </c>
      <c r="I9">
        <v>1.04</v>
      </c>
      <c r="J9">
        <v>0.68</v>
      </c>
    </row>
    <row r="11" spans="1:14" x14ac:dyDescent="0.35">
      <c r="B11" s="3" t="s">
        <v>15</v>
      </c>
      <c r="C11" t="s">
        <v>0</v>
      </c>
      <c r="D11" t="s">
        <v>1</v>
      </c>
      <c r="H11" t="s">
        <v>5</v>
      </c>
      <c r="I11" t="s">
        <v>0</v>
      </c>
      <c r="J11" t="s">
        <v>1</v>
      </c>
    </row>
    <row r="12" spans="1:14" x14ac:dyDescent="0.35">
      <c r="B12">
        <v>2012</v>
      </c>
      <c r="C12">
        <f>10^(C7)</f>
        <v>2.8386508254624399E-4</v>
      </c>
      <c r="D12">
        <f>10^(D7)</f>
        <v>5.1905574230759672E-4</v>
      </c>
      <c r="H12">
        <v>2012</v>
      </c>
      <c r="I12">
        <v>0.89</v>
      </c>
      <c r="J12">
        <v>0.25</v>
      </c>
    </row>
    <row r="13" spans="1:14" x14ac:dyDescent="0.35">
      <c r="B13">
        <v>2014</v>
      </c>
      <c r="C13">
        <f t="shared" ref="C13:D13" si="1">10^(C8)</f>
        <v>3.6786848013300294E-4</v>
      </c>
      <c r="D13">
        <f t="shared" si="1"/>
        <v>3.3548642021022249E-4</v>
      </c>
      <c r="H13">
        <v>2014</v>
      </c>
      <c r="I13">
        <v>0.96</v>
      </c>
      <c r="J13">
        <v>0.25</v>
      </c>
    </row>
    <row r="14" spans="1:14" x14ac:dyDescent="0.35">
      <c r="B14">
        <v>2015</v>
      </c>
      <c r="C14">
        <f t="shared" ref="C14:D14" si="2">10^(C9)</f>
        <v>3.6389498636331538E-4</v>
      </c>
      <c r="D14">
        <f t="shared" si="2"/>
        <v>3.5986287001297829E-4</v>
      </c>
      <c r="H14">
        <v>2015</v>
      </c>
      <c r="I14">
        <v>0.26</v>
      </c>
      <c r="J14">
        <v>0.17</v>
      </c>
    </row>
    <row r="15" spans="1:14" x14ac:dyDescent="0.35">
      <c r="A15" s="6"/>
      <c r="B15" s="6"/>
      <c r="C15" s="6"/>
      <c r="D15" s="6"/>
    </row>
    <row r="16" spans="1:14" x14ac:dyDescent="0.35">
      <c r="B16" s="2" t="s">
        <v>21</v>
      </c>
      <c r="C16" t="s">
        <v>0</v>
      </c>
      <c r="D16" t="s">
        <v>1</v>
      </c>
      <c r="H16" s="2" t="s">
        <v>10</v>
      </c>
      <c r="I16" t="s">
        <v>0</v>
      </c>
      <c r="J16" t="s">
        <v>1</v>
      </c>
      <c r="L16" s="3" t="s">
        <v>9</v>
      </c>
      <c r="M16" t="s">
        <v>0</v>
      </c>
      <c r="N16" t="s">
        <v>1</v>
      </c>
    </row>
    <row r="17" spans="1:14" x14ac:dyDescent="0.35">
      <c r="B17">
        <v>2012</v>
      </c>
      <c r="C17">
        <f>0.6757+(0.5656*LOG10(I12))+(0.0194*I2)-0.4525+0.7504</f>
        <v>1.3135749877583627</v>
      </c>
      <c r="D17">
        <f>0.6757+(0.5656*LOG10(J12))+(0.0194*J2)+0.7504</f>
        <v>1.4153748689049044</v>
      </c>
      <c r="E17" t="s">
        <v>35</v>
      </c>
      <c r="H17">
        <v>2012</v>
      </c>
      <c r="I17">
        <v>10.85</v>
      </c>
      <c r="J17">
        <v>23.82</v>
      </c>
      <c r="L17">
        <v>2012</v>
      </c>
      <c r="M17">
        <f>I17*24*(1/10^(6))</f>
        <v>2.6039999999999999E-4</v>
      </c>
      <c r="N17">
        <f>J17*24*(1/10^(6))</f>
        <v>5.7168000000000008E-4</v>
      </c>
    </row>
    <row r="18" spans="1:14" x14ac:dyDescent="0.35">
      <c r="A18" t="s">
        <v>28</v>
      </c>
      <c r="B18">
        <v>2014</v>
      </c>
      <c r="C18">
        <f>0.6757+(0.5656*LOG10(I13))+(0.0194*I3)-0.4525+0.7504</f>
        <v>1.2933726094071798</v>
      </c>
      <c r="D18">
        <f>0.6757+(0.5656*LOG10(J13))+(0.0194*J3)-0.248+0.7504</f>
        <v>1.1867748689049045</v>
      </c>
      <c r="E18" t="s">
        <v>34</v>
      </c>
      <c r="H18">
        <v>2014</v>
      </c>
      <c r="I18">
        <v>14.84</v>
      </c>
      <c r="J18">
        <v>15.3</v>
      </c>
      <c r="L18">
        <v>2014</v>
      </c>
      <c r="M18">
        <f t="shared" ref="M18:M19" si="3">I18*24*(1/10^(6))</f>
        <v>3.5615999999999995E-4</v>
      </c>
      <c r="N18">
        <f t="shared" ref="N18:N19" si="4">J18*24*(1/10^(6))</f>
        <v>3.6720000000000004E-4</v>
      </c>
    </row>
    <row r="19" spans="1:14" x14ac:dyDescent="0.35">
      <c r="B19">
        <v>2015</v>
      </c>
      <c r="C19">
        <f>0.6757+(0.5656*LOG10(I14))+(0.0194*I4)-0.248+0.7504</f>
        <v>1.2352089256122945</v>
      </c>
      <c r="D19">
        <f>0.6757+(0.5656*LOG10(J14))+(0.0194*J4)-0.248+0.7504</f>
        <v>1.0532419099315518</v>
      </c>
      <c r="E19" t="s">
        <v>33</v>
      </c>
      <c r="H19">
        <v>2015</v>
      </c>
      <c r="I19">
        <v>15.07</v>
      </c>
      <c r="J19">
        <v>14.31</v>
      </c>
      <c r="L19">
        <v>2015</v>
      </c>
      <c r="M19">
        <f t="shared" si="3"/>
        <v>3.6167999999999997E-4</v>
      </c>
      <c r="N19">
        <f t="shared" si="4"/>
        <v>3.4343999999999998E-4</v>
      </c>
    </row>
    <row r="20" spans="1:14" x14ac:dyDescent="0.35">
      <c r="A20" t="s">
        <v>30</v>
      </c>
    </row>
    <row r="21" spans="1:14" x14ac:dyDescent="0.35">
      <c r="H21" s="2" t="s">
        <v>7</v>
      </c>
      <c r="I21" t="s">
        <v>0</v>
      </c>
      <c r="J21" t="s">
        <v>1</v>
      </c>
      <c r="L21" s="3" t="s">
        <v>38</v>
      </c>
      <c r="M21" t="s">
        <v>0</v>
      </c>
      <c r="N21" t="s">
        <v>1</v>
      </c>
    </row>
    <row r="22" spans="1:14" x14ac:dyDescent="0.35">
      <c r="B22" s="2" t="s">
        <v>22</v>
      </c>
      <c r="C22" t="s">
        <v>0</v>
      </c>
      <c r="D22" t="s">
        <v>1</v>
      </c>
      <c r="H22">
        <v>2012</v>
      </c>
      <c r="I22">
        <v>20</v>
      </c>
      <c r="J22">
        <v>103.7</v>
      </c>
      <c r="L22">
        <v>2012</v>
      </c>
      <c r="M22">
        <f>I22*24*(1/10^(6))</f>
        <v>4.7999999999999996E-4</v>
      </c>
      <c r="N22">
        <f>J22*24*(1/10^(6))</f>
        <v>2.4888000000000002E-3</v>
      </c>
    </row>
    <row r="23" spans="1:14" x14ac:dyDescent="0.35">
      <c r="B23">
        <v>2012</v>
      </c>
      <c r="C23">
        <f t="shared" ref="C23:D25" si="5">10^C17</f>
        <v>20.586143119266385</v>
      </c>
      <c r="D23">
        <f t="shared" si="5"/>
        <v>26.024049054447858</v>
      </c>
      <c r="H23">
        <v>2014</v>
      </c>
      <c r="I23">
        <v>17.7</v>
      </c>
      <c r="J23">
        <v>67.099999999999994</v>
      </c>
      <c r="L23">
        <v>2014</v>
      </c>
      <c r="M23">
        <f t="shared" ref="M23:M24" si="6">I23*24*(1/10^(6))</f>
        <v>4.2479999999999992E-4</v>
      </c>
      <c r="N23">
        <f t="shared" ref="N23:N24" si="7">J23*24*(1/10^(6))</f>
        <v>1.6103999999999999E-3</v>
      </c>
    </row>
    <row r="24" spans="1:14" x14ac:dyDescent="0.35">
      <c r="B24">
        <v>2014</v>
      </c>
      <c r="C24">
        <f t="shared" si="5"/>
        <v>19.650454937989167</v>
      </c>
      <c r="D24">
        <f t="shared" si="5"/>
        <v>15.373574929434854</v>
      </c>
      <c r="H24">
        <v>2015</v>
      </c>
      <c r="I24">
        <v>67.2</v>
      </c>
      <c r="J24">
        <v>85.6</v>
      </c>
      <c r="L24">
        <v>2015</v>
      </c>
      <c r="M24">
        <f t="shared" si="6"/>
        <v>1.6128000000000002E-3</v>
      </c>
      <c r="N24">
        <f t="shared" si="7"/>
        <v>2.0543999999999996E-3</v>
      </c>
    </row>
    <row r="25" spans="1:14" x14ac:dyDescent="0.35">
      <c r="B25">
        <v>2015</v>
      </c>
      <c r="C25">
        <f t="shared" si="5"/>
        <v>17.187350184456029</v>
      </c>
      <c r="D25">
        <f t="shared" si="5"/>
        <v>11.30425406865114</v>
      </c>
    </row>
    <row r="26" spans="1:14" x14ac:dyDescent="0.35">
      <c r="L26" s="9" t="s">
        <v>39</v>
      </c>
      <c r="M26" t="s">
        <v>0</v>
      </c>
      <c r="N26" t="s">
        <v>1</v>
      </c>
    </row>
    <row r="27" spans="1:14" x14ac:dyDescent="0.35">
      <c r="B27" s="3" t="s">
        <v>23</v>
      </c>
      <c r="C27" t="s">
        <v>0</v>
      </c>
      <c r="D27" t="s">
        <v>1</v>
      </c>
      <c r="L27">
        <v>2012</v>
      </c>
      <c r="M27">
        <f>I22*24*(1/10^(3))*2*(10^(-3))</f>
        <v>9.6000000000000002E-4</v>
      </c>
      <c r="N27">
        <f>J22*24*(1/10^(3))*2*(10^(-3))</f>
        <v>4.9776000000000004E-3</v>
      </c>
    </row>
    <row r="28" spans="1:14" x14ac:dyDescent="0.35">
      <c r="B28">
        <v>2012</v>
      </c>
      <c r="C28">
        <f>C23*24*10^(-6)</f>
        <v>4.9406743486239322E-4</v>
      </c>
      <c r="D28">
        <f>D23*24*10^(-6)</f>
        <v>6.2457717730674857E-4</v>
      </c>
      <c r="L28">
        <v>2014</v>
      </c>
      <c r="M28">
        <f t="shared" ref="M28:N28" si="8">I23*24*(1/10^(3))*2*(10^(-3))</f>
        <v>8.4959999999999994E-4</v>
      </c>
      <c r="N28">
        <f t="shared" si="8"/>
        <v>3.2207999999999998E-3</v>
      </c>
    </row>
    <row r="29" spans="1:14" x14ac:dyDescent="0.35">
      <c r="B29">
        <v>2014</v>
      </c>
      <c r="C29">
        <f t="shared" ref="C29:D29" si="9">C24*24*10^(-6)</f>
        <v>4.7161091851173999E-4</v>
      </c>
      <c r="D29">
        <f t="shared" si="9"/>
        <v>3.6896579830643649E-4</v>
      </c>
      <c r="L29">
        <v>2015</v>
      </c>
      <c r="M29">
        <f t="shared" ref="M29:N29" si="10">I24*24*(1/10^(3))*2*(10^(-3))</f>
        <v>3.2256000000000003E-3</v>
      </c>
      <c r="N29">
        <f t="shared" si="10"/>
        <v>4.1087999999999993E-3</v>
      </c>
    </row>
    <row r="30" spans="1:14" x14ac:dyDescent="0.35">
      <c r="B30">
        <v>2015</v>
      </c>
      <c r="C30">
        <f t="shared" ref="C30:D30" si="11">C25*24*10^(-6)</f>
        <v>4.1249640442694467E-4</v>
      </c>
      <c r="D30">
        <f t="shared" si="11"/>
        <v>2.7130209764762736E-4</v>
      </c>
    </row>
    <row r="32" spans="1:14" x14ac:dyDescent="0.35">
      <c r="B32" s="8" t="s">
        <v>41</v>
      </c>
      <c r="C32" t="s">
        <v>0</v>
      </c>
      <c r="D32" t="s">
        <v>1</v>
      </c>
    </row>
    <row r="33" spans="1:4" x14ac:dyDescent="0.35">
      <c r="B33">
        <v>2012</v>
      </c>
      <c r="C33">
        <f>0.03*C40*(1-0.72)</f>
        <v>2.1700000000000004E-4</v>
      </c>
      <c r="D33">
        <f>0.03*D40*(1-0.77)</f>
        <v>8.9124999999999998E-5</v>
      </c>
    </row>
    <row r="34" spans="1:4" x14ac:dyDescent="0.35">
      <c r="B34">
        <v>2014</v>
      </c>
      <c r="C34">
        <f>0.1*C41*(1-0.72)</f>
        <v>7.2333333333333353E-4</v>
      </c>
      <c r="D34">
        <f>0.1*D41*(1-0.72)</f>
        <v>3.6166666666666677E-4</v>
      </c>
    </row>
    <row r="35" spans="1:4" x14ac:dyDescent="0.35">
      <c r="B35">
        <v>2015</v>
      </c>
    </row>
    <row r="38" spans="1:4" x14ac:dyDescent="0.35">
      <c r="A38" t="s">
        <v>36</v>
      </c>
    </row>
    <row r="39" spans="1:4" x14ac:dyDescent="0.35">
      <c r="A39" t="s">
        <v>37</v>
      </c>
    </row>
    <row r="40" spans="1:4" x14ac:dyDescent="0.35">
      <c r="A40" t="s">
        <v>48</v>
      </c>
      <c r="B40" t="s">
        <v>45</v>
      </c>
      <c r="C40">
        <f>(1/100)*(31/12)</f>
        <v>2.5833333333333337E-2</v>
      </c>
      <c r="D40">
        <f>(1/200)*(31/12)</f>
        <v>1.2916666666666668E-2</v>
      </c>
    </row>
    <row r="41" spans="1:4" x14ac:dyDescent="0.35">
      <c r="A41" t="s">
        <v>40</v>
      </c>
      <c r="C41">
        <f t="shared" ref="C41:C42" si="12">(1/100)*(31/12)</f>
        <v>2.5833333333333337E-2</v>
      </c>
      <c r="D41">
        <f t="shared" ref="D41:D42" si="13">(1/200)*(31/12)</f>
        <v>1.2916666666666668E-2</v>
      </c>
    </row>
    <row r="42" spans="1:4" x14ac:dyDescent="0.35">
      <c r="C42">
        <f t="shared" si="12"/>
        <v>2.5833333333333337E-2</v>
      </c>
      <c r="D42">
        <f t="shared" si="13"/>
        <v>1.2916666666666668E-2</v>
      </c>
    </row>
    <row r="44" spans="1:4" x14ac:dyDescent="0.35">
      <c r="B44" s="8" t="s">
        <v>42</v>
      </c>
    </row>
    <row r="46" spans="1:4" x14ac:dyDescent="0.35">
      <c r="A46" t="s">
        <v>43</v>
      </c>
    </row>
    <row r="47" spans="1:4" x14ac:dyDescent="0.35">
      <c r="A47">
        <f>(2.74/43.14)*(12/31)</f>
        <v>2.4586118713266634E-2</v>
      </c>
      <c r="B47" t="s">
        <v>44</v>
      </c>
      <c r="C47">
        <f>(0.03*C40*0.9)-((0.03*0.8-0.017)*0.025)</f>
        <v>5.2250000000000007E-4</v>
      </c>
      <c r="D47">
        <f>(0.03*D40*0.9)-((0.03*0.8-0.017)*0.025)</f>
        <v>1.7375000000000005E-4</v>
      </c>
    </row>
    <row r="48" spans="1:4" x14ac:dyDescent="0.35">
      <c r="C48">
        <f>(0.1*C41*0.9)-((0.1*0.8-0.017)*0.025)</f>
        <v>7.499999999999998E-4</v>
      </c>
      <c r="D48">
        <f>(0.1*D41*0.9)-((0.1*0.8-0.017)*0.025)</f>
        <v>-4.1250000000000032E-4</v>
      </c>
    </row>
    <row r="50" spans="1:4" x14ac:dyDescent="0.35">
      <c r="A50" t="s">
        <v>46</v>
      </c>
      <c r="C50">
        <f>0.03*C40*0.9</f>
        <v>6.9750000000000009E-4</v>
      </c>
      <c r="D50">
        <f>0.03*D40*0.9</f>
        <v>3.4875000000000005E-4</v>
      </c>
    </row>
    <row r="51" spans="1:4" x14ac:dyDescent="0.35">
      <c r="A51">
        <f>0.017</f>
        <v>1.7000000000000001E-2</v>
      </c>
      <c r="C51">
        <f>((0.03*0.8)-0.017)*0.025</f>
        <v>1.75E-4</v>
      </c>
      <c r="D51">
        <f>((0.03*0.8)-0.017)*0.025</f>
        <v>1.75E-4</v>
      </c>
    </row>
    <row r="53" spans="1:4" x14ac:dyDescent="0.35">
      <c r="A53" t="s">
        <v>47</v>
      </c>
      <c r="C53">
        <f>0.1*C40*0.9</f>
        <v>2.3250000000000002E-3</v>
      </c>
      <c r="D53">
        <f>0.1*D40*0.9</f>
        <v>1.1625000000000001E-3</v>
      </c>
    </row>
    <row r="54" spans="1:4" x14ac:dyDescent="0.35">
      <c r="C54">
        <f>((0.1*0.8)-0.017)*0.025</f>
        <v>1.5750000000000004E-3</v>
      </c>
      <c r="D54">
        <f>((0.1*0.8)-0.017)*0.025</f>
        <v>1.5750000000000004E-3</v>
      </c>
    </row>
    <row r="55" spans="1:4" x14ac:dyDescent="0.35">
      <c r="C55">
        <f>C53-C54</f>
        <v>7.499999999999998E-4</v>
      </c>
      <c r="D55">
        <f>D53-D54</f>
        <v>-4.1250000000000032E-4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B38FD-02DA-4CA7-A83B-648ED744C11A}">
  <dimension ref="H1:L14"/>
  <sheetViews>
    <sheetView workbookViewId="0">
      <selection activeCell="I3" sqref="I3:I4"/>
    </sheetView>
  </sheetViews>
  <sheetFormatPr defaultRowHeight="14.5" x14ac:dyDescent="0.35"/>
  <sheetData>
    <row r="1" spans="8:12" x14ac:dyDescent="0.35">
      <c r="H1" s="2" t="s">
        <v>12</v>
      </c>
      <c r="I1" t="s">
        <v>11</v>
      </c>
      <c r="J1" t="s">
        <v>1</v>
      </c>
      <c r="K1" t="s">
        <v>8</v>
      </c>
    </row>
    <row r="2" spans="8:12" x14ac:dyDescent="0.35">
      <c r="H2">
        <v>2012</v>
      </c>
      <c r="I2">
        <v>13500</v>
      </c>
      <c r="J2">
        <v>2500</v>
      </c>
      <c r="K2" t="s">
        <v>31</v>
      </c>
    </row>
    <row r="3" spans="8:12" x14ac:dyDescent="0.35">
      <c r="H3">
        <v>2014</v>
      </c>
      <c r="I3">
        <v>1100</v>
      </c>
      <c r="J3">
        <v>3000</v>
      </c>
    </row>
    <row r="4" spans="8:12" x14ac:dyDescent="0.35">
      <c r="H4">
        <v>2015</v>
      </c>
      <c r="I4">
        <v>9000</v>
      </c>
      <c r="J4">
        <v>3250</v>
      </c>
    </row>
    <row r="6" spans="8:12" x14ac:dyDescent="0.35">
      <c r="H6" s="2" t="s">
        <v>13</v>
      </c>
      <c r="I6" t="s">
        <v>11</v>
      </c>
      <c r="J6" t="s">
        <v>1</v>
      </c>
      <c r="L6" t="s">
        <v>17</v>
      </c>
    </row>
    <row r="7" spans="8:12" x14ac:dyDescent="0.35">
      <c r="H7">
        <v>2012</v>
      </c>
      <c r="L7" t="s">
        <v>18</v>
      </c>
    </row>
    <row r="8" spans="8:12" x14ac:dyDescent="0.35">
      <c r="H8">
        <v>2014</v>
      </c>
    </row>
    <row r="9" spans="8:12" x14ac:dyDescent="0.35">
      <c r="H9">
        <v>2015</v>
      </c>
    </row>
    <row r="11" spans="8:12" x14ac:dyDescent="0.35">
      <c r="H11" s="2" t="s">
        <v>14</v>
      </c>
      <c r="I11" t="s">
        <v>11</v>
      </c>
      <c r="J11" t="s">
        <v>1</v>
      </c>
      <c r="L11" t="s">
        <v>19</v>
      </c>
    </row>
    <row r="12" spans="8:12" x14ac:dyDescent="0.35">
      <c r="H12">
        <v>2012</v>
      </c>
    </row>
    <row r="13" spans="8:12" x14ac:dyDescent="0.35">
      <c r="H13">
        <v>2014</v>
      </c>
    </row>
    <row r="14" spans="8:12" x14ac:dyDescent="0.35">
      <c r="H14">
        <v>2015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Fish excretion</vt:lpstr>
      <vt:lpstr>Primary production 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Klemet</dc:creator>
  <cp:lastModifiedBy>Sandra Klemet</cp:lastModifiedBy>
  <dcterms:created xsi:type="dcterms:W3CDTF">2021-03-03T13:37:45Z</dcterms:created>
  <dcterms:modified xsi:type="dcterms:W3CDTF">2021-06-21T16:05:46Z</dcterms:modified>
</cp:coreProperties>
</file>