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67EEF708-0E5C-4C64-B2D7-58707A722529}" xr6:coauthVersionLast="47" xr6:coauthVersionMax="47" xr10:uidLastSave="{00000000-0000-0000-0000-000000000000}"/>
  <bookViews>
    <workbookView xWindow="-110" yWindow="490" windowWidth="19420" windowHeight="10420" xr2:uid="{097E9588-E6E8-4050-963F-81EF450CE2DB}"/>
  </bookViews>
  <sheets>
    <sheet name="Fish excretion" sheetId="1" r:id="rId1"/>
    <sheet name="Primary production deman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A51" i="1"/>
  <c r="D41" i="1"/>
  <c r="D48" i="1"/>
  <c r="C48" i="1"/>
  <c r="D47" i="1" l="1"/>
  <c r="D33" i="1"/>
  <c r="D40" i="1" l="1"/>
  <c r="C41" i="1"/>
  <c r="C42" i="1"/>
  <c r="D42" i="1"/>
  <c r="C40" i="1"/>
  <c r="C33" i="1" l="1"/>
  <c r="A48" i="1"/>
  <c r="A49" i="1"/>
  <c r="A47" i="1"/>
  <c r="D35" i="1" l="1"/>
  <c r="D34" i="1"/>
  <c r="C34" i="1"/>
  <c r="C35" i="1"/>
  <c r="M28" i="1" l="1"/>
  <c r="N28" i="1"/>
  <c r="M29" i="1"/>
  <c r="N29" i="1"/>
  <c r="N27" i="1"/>
  <c r="M27" i="1"/>
  <c r="M23" i="1"/>
  <c r="N23" i="1"/>
  <c r="M24" i="1"/>
  <c r="N24" i="1"/>
  <c r="N22" i="1"/>
  <c r="M22" i="1"/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<sst xmlns="http://schemas.openxmlformats.org/spreadsheetml/2006/main" count="85" uniqueCount="51">
  <si>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</si>
  <si>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</si>
  <si>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</si>
  <si>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</si>
  <si>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</si>
  <si>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</si>
  <si>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</si>
  <si>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</si>
  <si>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</si>
  <si>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</si>
  <si>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</si>
  <si>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</si>
  <si>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</si>
  <si>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</si>
  <si>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</si>
  <si>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</si>
  <si>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</si>
  <si>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</si>
  <si>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</si>
  <si>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</si>
  <si>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</si>
  <si>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</si>
  <si>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</si>
  <si>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</si>
  <si>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</si>
  <si>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</si>
  <si>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</si>
  <si>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</si>
  <si>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</si>
  <si>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</si>
  <si>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</si>
  <si>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</si>
  <si>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</si>
  <si>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</si>
  <si>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</si>
  <si>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</si>
  <si>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From Frost et al (2006): Ic_max = 0.03 mg C/mg C/day</t>
  </si>
  <si>
    <t>From Frost et al (2003): Benthic invertebrates mean C:P = 148</t>
  </si>
  <si>
    <t>P excretion (mass-corrected g P/g/d)</t>
  </si>
  <si>
    <t>P excretion (mass-corrected mg P/mg C/d)</t>
  </si>
  <si>
    <t>mg C: mg P?</t>
  </si>
  <si>
    <t>From Schindler and Eby (1997): Ap = 0.72</t>
  </si>
  <si>
    <t>Solving for per capita P excretion (mg P/mg/d) using Narr &amp; Frost (2015) mass balance model for P-limited animals</t>
  </si>
  <si>
    <t>Solving for per capita P excretion (mg P/mg/d) using Narr &amp; Frost (2015) mass balance model for C-limited animals</t>
  </si>
  <si>
    <t>From Tanner et al. (2000), YP body P:C = 0.025</t>
  </si>
  <si>
    <t>Pex = (Ic*fP:C*Ap)-(Ic*Ac-Rc)*QP:QC</t>
  </si>
  <si>
    <t>From Paul Frost, Ac = 0.5</t>
  </si>
  <si>
    <t>Benthic invertebrates P:C calculation</t>
  </si>
  <si>
    <t>PEx = IC(fP:C−fN:CANQP:N)</t>
  </si>
  <si>
    <t>From Schindler and Eby (1997), An=0.8</t>
  </si>
  <si>
    <t>From Bajer et al (2003) respiration rate Rc = 0.0108 g O2/g = 0.0108 mg C/mg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</si>
</sst>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32</xdr:row>
      <xdr:rowOff>120650</xdr:rowOff>
    </xdr:from>
    <xdr:to>
      <xdr:col>1</xdr:col>
      <xdr:colOff>2279739</xdr:colOff>
      <xdr:row>34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54"/>
  <sheetViews>
    <sheetView tabSelected="1" topLeftCell="B23" workbookViewId="0">
      <selection activeCell="F33" sqref="F33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 t="shared" ref="C12:D14" si="1">10^(C7)</f>
        <v>2.8386508254624399E-4</v>
      </c>
      <c r="D12">
        <f t="shared" si="1"/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si="1"/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si="1"/>
        <v>3.6389498636331538E-4</v>
      </c>
      <c r="D14">
        <f t="shared" si="1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 t="shared" ref="M17:N19" si="2">I17*24*(1/10^(6))</f>
        <v>2.6039999999999999E-4</v>
      </c>
      <c r="N17">
        <f t="shared" si="2"/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si="2"/>
        <v>3.5615999999999995E-4</v>
      </c>
      <c r="N18">
        <f t="shared" si="2"/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2"/>
        <v>3.6167999999999997E-4</v>
      </c>
      <c r="N19">
        <f t="shared" si="2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38</v>
      </c>
      <c r="M21" t="s">
        <v>0</v>
      </c>
      <c r="N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20</v>
      </c>
      <c r="J22">
        <v>103.7</v>
      </c>
      <c r="L22">
        <v>2012</v>
      </c>
      <c r="M22">
        <f t="shared" ref="M22:N24" si="3">I22*24*(1/10^(6))</f>
        <v>4.7999999999999996E-4</v>
      </c>
      <c r="N22">
        <f t="shared" si="3"/>
        <v>2.4888000000000002E-3</v>
      </c>
    </row>
    <row r="23" spans="1:14" x14ac:dyDescent="0.35">
      <c r="B23">
        <v>2012</v>
      </c>
      <c r="C23">
        <f t="shared" ref="C23:D25" si="4">10^C17</f>
        <v>20.586143119266385</v>
      </c>
      <c r="D23">
        <f t="shared" si="4"/>
        <v>26.024049054447858</v>
      </c>
      <c r="H23">
        <v>2014</v>
      </c>
      <c r="I23">
        <v>17.7</v>
      </c>
      <c r="J23">
        <v>67.099999999999994</v>
      </c>
      <c r="L23">
        <v>2014</v>
      </c>
      <c r="M23">
        <f t="shared" si="3"/>
        <v>4.2479999999999992E-4</v>
      </c>
      <c r="N23">
        <f t="shared" si="3"/>
        <v>1.6103999999999999E-3</v>
      </c>
    </row>
    <row r="24" spans="1:14" x14ac:dyDescent="0.35">
      <c r="B24">
        <v>2014</v>
      </c>
      <c r="C24">
        <f t="shared" si="4"/>
        <v>19.650454937989167</v>
      </c>
      <c r="D24">
        <f t="shared" si="4"/>
        <v>15.373574929434854</v>
      </c>
      <c r="H24">
        <v>2015</v>
      </c>
      <c r="I24">
        <v>67.2</v>
      </c>
      <c r="J24">
        <v>85.6</v>
      </c>
      <c r="L24">
        <v>2015</v>
      </c>
      <c r="M24">
        <f t="shared" si="3"/>
        <v>1.6128000000000002E-3</v>
      </c>
      <c r="N24">
        <f t="shared" si="3"/>
        <v>2.0543999999999996E-3</v>
      </c>
    </row>
    <row r="25" spans="1:14" x14ac:dyDescent="0.35">
      <c r="B25">
        <v>2015</v>
      </c>
      <c r="C25">
        <f t="shared" si="4"/>
        <v>17.187350184456029</v>
      </c>
      <c r="D25">
        <f t="shared" si="4"/>
        <v>11.30425406865114</v>
      </c>
    </row>
    <row r="26" spans="1:14" x14ac:dyDescent="0.35">
      <c r="L26" s="9" t="s">
        <v>39</v>
      </c>
      <c r="M26" t="s">
        <v>0</v>
      </c>
      <c r="N26" t="s">
        <v>1</v>
      </c>
    </row>
    <row r="27" spans="1:14" x14ac:dyDescent="0.35">
      <c r="B27" s="3" t="s">
        <v>23</v>
      </c>
      <c r="C27" t="s">
        <v>0</v>
      </c>
      <c r="D27" t="s">
        <v>1</v>
      </c>
      <c r="L27">
        <v>2012</v>
      </c>
      <c r="M27">
        <f t="shared" ref="M27:N29" si="5">I22*24*(1/10^(3))*2*(10^(-3))</f>
        <v>9.6000000000000002E-4</v>
      </c>
      <c r="N27">
        <f t="shared" si="5"/>
        <v>4.9776000000000004E-3</v>
      </c>
    </row>
    <row r="28" spans="1:14" x14ac:dyDescent="0.35">
      <c r="B28">
        <v>2012</v>
      </c>
      <c r="C28">
        <f t="shared" ref="C28:D30" si="6">C23*24*10^(-6)</f>
        <v>4.9406743486239322E-4</v>
      </c>
      <c r="D28">
        <f t="shared" si="6"/>
        <v>6.2457717730674857E-4</v>
      </c>
      <c r="L28">
        <v>2014</v>
      </c>
      <c r="M28">
        <f t="shared" si="5"/>
        <v>8.4959999999999994E-4</v>
      </c>
      <c r="N28">
        <f t="shared" si="5"/>
        <v>3.2207999999999998E-3</v>
      </c>
    </row>
    <row r="29" spans="1:14" x14ac:dyDescent="0.35">
      <c r="B29">
        <v>2014</v>
      </c>
      <c r="C29">
        <f t="shared" si="6"/>
        <v>4.7161091851173999E-4</v>
      </c>
      <c r="D29">
        <f t="shared" si="6"/>
        <v>3.6896579830643649E-4</v>
      </c>
      <c r="L29">
        <v>2015</v>
      </c>
      <c r="M29">
        <f t="shared" si="5"/>
        <v>3.2256000000000003E-3</v>
      </c>
      <c r="N29">
        <f t="shared" si="5"/>
        <v>4.1087999999999993E-3</v>
      </c>
    </row>
    <row r="30" spans="1:14" x14ac:dyDescent="0.35">
      <c r="B30">
        <v>2015</v>
      </c>
      <c r="C30">
        <f t="shared" si="6"/>
        <v>4.1249640442694467E-4</v>
      </c>
      <c r="D30">
        <f t="shared" si="6"/>
        <v>2.7130209764762736E-4</v>
      </c>
    </row>
    <row r="32" spans="1:14" x14ac:dyDescent="0.35">
      <c r="B32" s="8" t="s">
        <v>42</v>
      </c>
      <c r="C32" t="s">
        <v>0</v>
      </c>
      <c r="D32" t="s">
        <v>1</v>
      </c>
    </row>
    <row r="33" spans="1:4" x14ac:dyDescent="0.35">
      <c r="B33">
        <v>2012</v>
      </c>
      <c r="C33">
        <f>0.03*C40*(1-0.72)</f>
        <v>8.3999999999999995E-5</v>
      </c>
      <c r="D33">
        <f>0.1*D40*(1-0.77)</f>
        <v>1.1499999999999999E-4</v>
      </c>
    </row>
    <row r="34" spans="1:4" x14ac:dyDescent="0.35">
      <c r="B34">
        <v>2014</v>
      </c>
      <c r="C34">
        <f>0.1*C41*(1-0.72)</f>
        <v>2.8000000000000003E-4</v>
      </c>
      <c r="D34">
        <f>0.76*D41*(1-0.72)</f>
        <v>1.0640000000000001E-3</v>
      </c>
    </row>
    <row r="35" spans="1:4" x14ac:dyDescent="0.35">
      <c r="B35">
        <v>2015</v>
      </c>
      <c r="C35">
        <f>1.2*C42*(1-0.72)</f>
        <v>3.3600000000000006E-3</v>
      </c>
      <c r="D35">
        <f>0.99*D42*(1-0.72)</f>
        <v>2.7720000000000006E-3</v>
      </c>
    </row>
    <row r="38" spans="1:4" x14ac:dyDescent="0.35">
      <c r="A38" t="s">
        <v>36</v>
      </c>
    </row>
    <row r="39" spans="1:4" x14ac:dyDescent="0.35">
      <c r="A39" t="s">
        <v>37</v>
      </c>
    </row>
    <row r="40" spans="1:4" x14ac:dyDescent="0.35">
      <c r="A40" t="s">
        <v>40</v>
      </c>
      <c r="B40" t="s">
        <v>47</v>
      </c>
      <c r="C40">
        <f>1/100</f>
        <v>0.01</v>
      </c>
      <c r="D40">
        <f>1/200</f>
        <v>5.0000000000000001E-3</v>
      </c>
    </row>
    <row r="41" spans="1:4" x14ac:dyDescent="0.35">
      <c r="A41" t="s">
        <v>41</v>
      </c>
      <c r="C41">
        <f>1/100</f>
        <v>0.01</v>
      </c>
      <c r="D41">
        <f>1/200</f>
        <v>5.0000000000000001E-3</v>
      </c>
    </row>
    <row r="42" spans="1:4" x14ac:dyDescent="0.35">
      <c r="C42">
        <f>1/100</f>
        <v>0.01</v>
      </c>
      <c r="D42">
        <f>1/100</f>
        <v>0.01</v>
      </c>
    </row>
    <row r="44" spans="1:4" x14ac:dyDescent="0.35">
      <c r="B44" s="8" t="s">
        <v>43</v>
      </c>
    </row>
    <row r="46" spans="1:4" x14ac:dyDescent="0.35">
      <c r="A46" t="s">
        <v>44</v>
      </c>
    </row>
    <row r="47" spans="1:4" x14ac:dyDescent="0.35">
      <c r="A47">
        <f>(2.74/43.14)*(12/31)</f>
        <v>2.4586118713266634E-2</v>
      </c>
      <c r="B47" t="s">
        <v>45</v>
      </c>
      <c r="C47">
        <f>(0.03*C40*0.72)-((0.03*0.5-A51)*0.025)</f>
        <v>3.8100000000000005E-4</v>
      </c>
      <c r="D47">
        <f>(0.03*D40*0.72)-((0.03*0.5-0.0108)*0.025)</f>
        <v>3.0000000000000052E-6</v>
      </c>
    </row>
    <row r="48" spans="1:4" x14ac:dyDescent="0.35">
      <c r="A48">
        <f>1/(A47*31/12)</f>
        <v>15.744525547445257</v>
      </c>
      <c r="C48">
        <f>(0.1*C41*0.72)-((0.1*0.5-0.0108)*0.025)</f>
        <v>-2.6000000000000003E-4</v>
      </c>
      <c r="D48">
        <f>(0.1*D41*0.72)-((0.1*0.5-0.0108)*0.025)</f>
        <v>-6.2E-4</v>
      </c>
    </row>
    <row r="49" spans="1:2" x14ac:dyDescent="0.35">
      <c r="A49">
        <f>(43.14/2.74)*(31/12)</f>
        <v>40.673357664233578</v>
      </c>
    </row>
    <row r="50" spans="1:2" x14ac:dyDescent="0.35">
      <c r="A50" t="s">
        <v>50</v>
      </c>
    </row>
    <row r="51" spans="1:2" x14ac:dyDescent="0.35">
      <c r="A51">
        <f>0.0108*2</f>
        <v>2.1600000000000001E-2</v>
      </c>
    </row>
    <row r="52" spans="1:2" x14ac:dyDescent="0.35">
      <c r="A52" t="s">
        <v>46</v>
      </c>
    </row>
    <row r="54" spans="1:2" x14ac:dyDescent="0.35">
      <c r="A54" t="s">
        <v>49</v>
      </c>
      <c r="B54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2021-06-14T20:24:02Z</dcterms:modified>
</cp:coreProperties>
</file>