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66925"/>
  <mc:AlternateContent xmlns:mc="http://schemas.openxmlformats.org/markup-compatibility/2006">
    <mc:Choice Requires="x15">
      <x15ac:absPath xmlns:x15ac="http://schemas.microsoft.com/office/spreadsheetml/2010/11/ac" url="https://trentu-my.sharepoint.com/personal/sandraklemet_trentu_ca/Documents/Documents/Etudes/Trent/Xenopoulos lab/Projects/LakeErie_animal-excretion/data/"/>
    </mc:Choice>
  </mc:AlternateContent>
  <xr:revisionPtr revIDLastSave="460" documentId="13_ncr:1_{EA2E9A16-F367-47E5-9F32-F761EF32E94C}" xr6:coauthVersionLast="47" xr6:coauthVersionMax="47" xr10:uidLastSave="{628324BC-6800-441E-BA77-8A9F29459029}"/>
  <bookViews>
    <workbookView xWindow="28680" yWindow="-120" windowWidth="29040" windowHeight="15720" firstSheet="2" activeTab="6" xr2:uid="{FCD5901F-55C5-46A6-83E9-A175C073FB2F}"/>
  </bookViews>
  <sheets>
    <sheet name="Fishing and Environmental data" sheetId="3" r:id="rId1"/>
    <sheet name="Fish and mussel sampling" sheetId="1" r:id="rId2"/>
    <sheet name="Fish_biomass_estimates" sheetId="5" r:id="rId3"/>
    <sheet name="Dreissenid_biomass_estimates" sheetId="6" r:id="rId4"/>
    <sheet name="WesternBasin_biomass" sheetId="7" r:id="rId5"/>
    <sheet name="Column headings" sheetId="4" r:id="rId6"/>
    <sheet name="21 08 26 Lake Erie Mastersheet" sheetId="2" r:id="rId7"/>
  </sheets>
  <definedNames>
    <definedName name="_xlnm._FilterDatabase" localSheetId="6" hidden="1">'21 08 26 Lake Erie Mastersheet'!$A$1:$CJ$160</definedName>
    <definedName name="_xlnm._FilterDatabase" localSheetId="1" hidden="1">'Fish and mussel sampling'!$A$1:$L$160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7" l="1"/>
  <c r="B9" i="7"/>
  <c r="D8" i="7"/>
  <c r="B8" i="7"/>
  <c r="D7" i="7"/>
  <c r="B7" i="7"/>
  <c r="D6" i="7"/>
  <c r="B6" i="7"/>
  <c r="B5" i="7"/>
  <c r="D5" i="7"/>
  <c r="C12" i="7"/>
  <c r="C11" i="7"/>
  <c r="D3" i="7" l="1"/>
  <c r="B3" i="7"/>
  <c r="B9" i="6"/>
  <c r="B8" i="6"/>
  <c r="B7" i="6"/>
  <c r="B6" i="6"/>
  <c r="B5" i="6"/>
  <c r="B4" i="6"/>
  <c r="B3" i="6"/>
  <c r="B2" i="6"/>
  <c r="AA3" i="2"/>
  <c r="AA4" i="2"/>
  <c r="AA5" i="2"/>
  <c r="AA6" i="2"/>
  <c r="AA7" i="2"/>
  <c r="AA8" i="2"/>
  <c r="AA9" i="2"/>
  <c r="AA10" i="2"/>
  <c r="AA11" i="2"/>
  <c r="AA12" i="2"/>
  <c r="AA13" i="2"/>
  <c r="AA14" i="2"/>
  <c r="AA15" i="2"/>
  <c r="AA16" i="2"/>
  <c r="AA17" i="2"/>
  <c r="AA18" i="2"/>
  <c r="AA19" i="2"/>
  <c r="AA20" i="2"/>
  <c r="AA21" i="2"/>
  <c r="AA22" i="2"/>
  <c r="AA23" i="2"/>
  <c r="AA26" i="2"/>
  <c r="AA27" i="2"/>
  <c r="AA28" i="2"/>
  <c r="AA29" i="2"/>
  <c r="AA31" i="2"/>
  <c r="AA33" i="2"/>
  <c r="AA34" i="2"/>
  <c r="AA35" i="2"/>
  <c r="AA36" i="2"/>
  <c r="AA37" i="2"/>
  <c r="AA38" i="2"/>
  <c r="AA39" i="2"/>
  <c r="AA40" i="2"/>
  <c r="AA41" i="2"/>
  <c r="AA42" i="2"/>
  <c r="AA44" i="2"/>
  <c r="AA45" i="2"/>
  <c r="AA46"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2"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17" i="2"/>
  <c r="Z116" i="2"/>
  <c r="Z96" i="2"/>
  <c r="Z97" i="2"/>
  <c r="Z98" i="2"/>
  <c r="Z99" i="2"/>
  <c r="Z100" i="2"/>
  <c r="Z101" i="2"/>
  <c r="Z102" i="2"/>
  <c r="Z103" i="2"/>
  <c r="Z104" i="2"/>
  <c r="Z105" i="2"/>
  <c r="Z106" i="2"/>
  <c r="Z107" i="2"/>
  <c r="Z108" i="2"/>
  <c r="Z109" i="2"/>
  <c r="Z110" i="2"/>
  <c r="Z111" i="2"/>
  <c r="Z112" i="2"/>
  <c r="Z113" i="2"/>
  <c r="Z114" i="2"/>
  <c r="Z115" i="2"/>
  <c r="Z95" i="2"/>
  <c r="Z71" i="2"/>
  <c r="Z72" i="2"/>
  <c r="Z73" i="2"/>
  <c r="Z74" i="2"/>
  <c r="Z75" i="2"/>
  <c r="Z76" i="2"/>
  <c r="Z77" i="2"/>
  <c r="Z78" i="2"/>
  <c r="Z79" i="2"/>
  <c r="Z80" i="2"/>
  <c r="Z81" i="2"/>
  <c r="Z82" i="2"/>
  <c r="Z83" i="2"/>
  <c r="Z84" i="2"/>
  <c r="Z85" i="2"/>
  <c r="Z86" i="2"/>
  <c r="Z87" i="2"/>
  <c r="Z88" i="2"/>
  <c r="Z89" i="2"/>
  <c r="Z90" i="2"/>
  <c r="Z91" i="2"/>
  <c r="Z92" i="2"/>
  <c r="Z93" i="2"/>
  <c r="Z94" i="2"/>
  <c r="Z49" i="2"/>
  <c r="Z50" i="2"/>
  <c r="Z51" i="2"/>
  <c r="Z52" i="2"/>
  <c r="Z53" i="2"/>
  <c r="Z54" i="2"/>
  <c r="Z55" i="2"/>
  <c r="Z56" i="2"/>
  <c r="Z57" i="2"/>
  <c r="Z58" i="2"/>
  <c r="Z59" i="2"/>
  <c r="Z60" i="2"/>
  <c r="Z61" i="2"/>
  <c r="Z62" i="2"/>
  <c r="Z63" i="2"/>
  <c r="Z64" i="2"/>
  <c r="Z65" i="2"/>
  <c r="Z66" i="2"/>
  <c r="Z67" i="2"/>
  <c r="Z68" i="2"/>
  <c r="Z69" i="2"/>
  <c r="Z70" i="2"/>
  <c r="Z48" i="2"/>
  <c r="Z34" i="2"/>
  <c r="Z35" i="2"/>
  <c r="Z36" i="2"/>
  <c r="Z37" i="2"/>
  <c r="Z38" i="2"/>
  <c r="Z39" i="2"/>
  <c r="Z40" i="2"/>
  <c r="Z41" i="2"/>
  <c r="Z42" i="2"/>
  <c r="Z43" i="2"/>
  <c r="Z44" i="2"/>
  <c r="Z45" i="2"/>
  <c r="Z46" i="2"/>
  <c r="Z47" i="2"/>
  <c r="Z33" i="2"/>
  <c r="Z27" i="2"/>
  <c r="Z28" i="2"/>
  <c r="Z29" i="2"/>
  <c r="Z30" i="2"/>
  <c r="Z31" i="2"/>
  <c r="Z32" i="2"/>
  <c r="Z26" i="2"/>
  <c r="Z3" i="2"/>
  <c r="Z4" i="2"/>
  <c r="Z5" i="2"/>
  <c r="Z6" i="2"/>
  <c r="Z7" i="2"/>
  <c r="Z8" i="2"/>
  <c r="Z9" i="2"/>
  <c r="Z10" i="2"/>
  <c r="Z11" i="2"/>
  <c r="Z12" i="2"/>
  <c r="Z13" i="2"/>
  <c r="Z14" i="2"/>
  <c r="Z15" i="2"/>
  <c r="Z16" i="2"/>
  <c r="Z17" i="2"/>
  <c r="Z18" i="2"/>
  <c r="Z19" i="2"/>
  <c r="Z20" i="2"/>
  <c r="Z21" i="2"/>
  <c r="Z22" i="2"/>
  <c r="Z23" i="2"/>
  <c r="Z24" i="2"/>
  <c r="Z25" i="2"/>
  <c r="Z2" i="2"/>
  <c r="X49" i="2"/>
  <c r="X50" i="2"/>
  <c r="X51" i="2"/>
  <c r="X52"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4" i="2"/>
  <c r="X95" i="2"/>
  <c r="X96" i="2"/>
  <c r="X97" i="2"/>
  <c r="X98" i="2"/>
  <c r="X99" i="2"/>
  <c r="X100" i="2"/>
  <c r="X101" i="2"/>
  <c r="X102" i="2"/>
  <c r="X103" i="2"/>
  <c r="X104" i="2"/>
  <c r="X105" i="2"/>
  <c r="X106" i="2"/>
  <c r="X107" i="2"/>
  <c r="X108" i="2"/>
  <c r="X109" i="2"/>
  <c r="X110" i="2"/>
  <c r="X111" i="2"/>
  <c r="X112" i="2"/>
  <c r="X113"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48"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16" i="2"/>
  <c r="W96" i="2"/>
  <c r="W97" i="2"/>
  <c r="W98" i="2"/>
  <c r="W99" i="2"/>
  <c r="W100" i="2"/>
  <c r="W101" i="2"/>
  <c r="W102" i="2"/>
  <c r="W103" i="2"/>
  <c r="W104" i="2"/>
  <c r="W105" i="2"/>
  <c r="W106" i="2"/>
  <c r="W107" i="2"/>
  <c r="W108" i="2"/>
  <c r="W109" i="2"/>
  <c r="W110" i="2"/>
  <c r="W111" i="2"/>
  <c r="W112" i="2"/>
  <c r="W113" i="2"/>
  <c r="W114" i="2"/>
  <c r="W115" i="2"/>
  <c r="W95"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48" i="2"/>
  <c r="W34" i="2"/>
  <c r="W35" i="2"/>
  <c r="W36" i="2"/>
  <c r="W37" i="2"/>
  <c r="W38" i="2"/>
  <c r="W39" i="2"/>
  <c r="W40" i="2"/>
  <c r="W41" i="2"/>
  <c r="W42" i="2"/>
  <c r="W43" i="2"/>
  <c r="W44" i="2"/>
  <c r="W45" i="2"/>
  <c r="W46" i="2"/>
  <c r="W47" i="2"/>
  <c r="W33" i="2"/>
  <c r="W30" i="2"/>
  <c r="W31" i="2"/>
  <c r="W32" i="2"/>
  <c r="W27" i="2"/>
  <c r="W28" i="2"/>
  <c r="W29" i="2"/>
  <c r="W26" i="2"/>
  <c r="W24" i="2"/>
  <c r="W25" i="2"/>
  <c r="W3" i="2"/>
  <c r="W4" i="2"/>
  <c r="W5" i="2"/>
  <c r="W6" i="2"/>
  <c r="W7" i="2"/>
  <c r="W8" i="2"/>
  <c r="W9" i="2"/>
  <c r="W10" i="2"/>
  <c r="W11" i="2"/>
  <c r="W12" i="2"/>
  <c r="W13" i="2"/>
  <c r="W14" i="2"/>
  <c r="W15" i="2"/>
  <c r="W16" i="2"/>
  <c r="W17" i="2"/>
  <c r="W18" i="2"/>
  <c r="W19" i="2"/>
  <c r="W20" i="2"/>
  <c r="W21" i="2"/>
  <c r="W22" i="2"/>
  <c r="W23" i="2"/>
  <c r="W2" i="2"/>
  <c r="Q27" i="2" l="1"/>
  <c r="T91" i="2"/>
  <c r="U91" i="2" s="1"/>
  <c r="T89" i="2"/>
  <c r="U89" i="2" s="1"/>
  <c r="T87" i="2"/>
  <c r="U87" i="2" s="1"/>
  <c r="T85" i="2"/>
  <c r="U85" i="2" s="1"/>
  <c r="T83" i="2"/>
  <c r="U83" i="2" s="1"/>
  <c r="T81" i="2"/>
  <c r="U81" i="2" s="1"/>
  <c r="T79" i="2"/>
  <c r="U79" i="2" s="1"/>
  <c r="T77" i="2"/>
  <c r="T75" i="2"/>
  <c r="U75" i="2" s="1"/>
  <c r="T73" i="2"/>
  <c r="U73" i="2" s="1"/>
  <c r="T71" i="2"/>
  <c r="U71" i="2" s="1"/>
  <c r="T69" i="2"/>
  <c r="U69" i="2" s="1"/>
  <c r="T67" i="2"/>
  <c r="U67" i="2" s="1"/>
  <c r="T65" i="2"/>
  <c r="U65" i="2" s="1"/>
  <c r="T63" i="2"/>
  <c r="U63" i="2" s="1"/>
  <c r="T61" i="2"/>
  <c r="U61" i="2" s="1"/>
  <c r="T59" i="2"/>
  <c r="U59" i="2" s="1"/>
  <c r="T57" i="2"/>
  <c r="T55" i="2"/>
  <c r="T53" i="2"/>
  <c r="U53" i="2" s="1"/>
  <c r="T51" i="2"/>
  <c r="T49"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5" i="2"/>
  <c r="N96" i="2"/>
  <c r="N97" i="2"/>
  <c r="N98" i="2"/>
  <c r="N99" i="2"/>
  <c r="N100" i="2"/>
  <c r="N101" i="2"/>
  <c r="N102" i="2"/>
  <c r="N103" i="2"/>
  <c r="N104" i="2"/>
  <c r="N105" i="2"/>
  <c r="N106" i="2"/>
  <c r="N107" i="2"/>
  <c r="N108" i="2"/>
  <c r="N109" i="2"/>
  <c r="N110" i="2"/>
  <c r="N111" i="2"/>
  <c r="N112" i="2"/>
  <c r="N113"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48" i="2"/>
  <c r="Q117" i="2"/>
  <c r="R117" i="2" s="1"/>
  <c r="Q118" i="2"/>
  <c r="R118" i="2" s="1"/>
  <c r="Q119" i="2"/>
  <c r="R119" i="2" s="1"/>
  <c r="Q120" i="2"/>
  <c r="Q121" i="2"/>
  <c r="Q122" i="2"/>
  <c r="Q123" i="2"/>
  <c r="Q124" i="2"/>
  <c r="Q125" i="2"/>
  <c r="Q126" i="2"/>
  <c r="R126" i="2" s="1"/>
  <c r="Q127" i="2"/>
  <c r="R127" i="2" s="1"/>
  <c r="Q128" i="2"/>
  <c r="R128" i="2" s="1"/>
  <c r="Q129" i="2"/>
  <c r="R129" i="2" s="1"/>
  <c r="Q130" i="2"/>
  <c r="Q131" i="2"/>
  <c r="Q132" i="2"/>
  <c r="Q133" i="2"/>
  <c r="Q134" i="2"/>
  <c r="Q135" i="2"/>
  <c r="Q136" i="2"/>
  <c r="Q137" i="2"/>
  <c r="Q138" i="2"/>
  <c r="R138" i="2" s="1"/>
  <c r="Q139" i="2"/>
  <c r="R139" i="2" s="1"/>
  <c r="Q140" i="2"/>
  <c r="Q141" i="2"/>
  <c r="Q142" i="2"/>
  <c r="R142" i="2" s="1"/>
  <c r="Q143" i="2"/>
  <c r="R143" i="2" s="1"/>
  <c r="Q144" i="2"/>
  <c r="R144" i="2" s="1"/>
  <c r="Q145" i="2"/>
  <c r="R145" i="2" s="1"/>
  <c r="Q146" i="2"/>
  <c r="Q147" i="2"/>
  <c r="Q148" i="2"/>
  <c r="Q149" i="2"/>
  <c r="Q150" i="2"/>
  <c r="Q151" i="2"/>
  <c r="Q152" i="2"/>
  <c r="R152" i="2" s="1"/>
  <c r="Q153" i="2"/>
  <c r="R153" i="2" s="1"/>
  <c r="Q154" i="2"/>
  <c r="R154" i="2" s="1"/>
  <c r="Q155" i="2"/>
  <c r="R155" i="2" s="1"/>
  <c r="Q156" i="2"/>
  <c r="R156" i="2" s="1"/>
  <c r="Q157" i="2"/>
  <c r="R157" i="2" s="1"/>
  <c r="Q158" i="2"/>
  <c r="Q159" i="2"/>
  <c r="R159" i="2" s="1"/>
  <c r="Q160" i="2"/>
  <c r="R160" i="2" s="1"/>
  <c r="Q116" i="2"/>
  <c r="Q96" i="2"/>
  <c r="R96" i="2" s="1"/>
  <c r="Q97" i="2"/>
  <c r="Q98" i="2"/>
  <c r="Q99" i="2"/>
  <c r="R99" i="2" s="1"/>
  <c r="Q100" i="2"/>
  <c r="R100" i="2" s="1"/>
  <c r="Q101" i="2"/>
  <c r="R101" i="2" s="1"/>
  <c r="Q102" i="2"/>
  <c r="R102" i="2" s="1"/>
  <c r="Q103" i="2"/>
  <c r="R103" i="2" s="1"/>
  <c r="Q104" i="2"/>
  <c r="Q105" i="2"/>
  <c r="R105" i="2" s="1"/>
  <c r="Q106" i="2"/>
  <c r="R106" i="2" s="1"/>
  <c r="Q107" i="2"/>
  <c r="R107" i="2" s="1"/>
  <c r="Q108" i="2"/>
  <c r="R108" i="2" s="1"/>
  <c r="Q109" i="2"/>
  <c r="R109" i="2" s="1"/>
  <c r="Q110" i="2"/>
  <c r="R110" i="2" s="1"/>
  <c r="Q111" i="2"/>
  <c r="R111" i="2" s="1"/>
  <c r="Q112" i="2"/>
  <c r="R112" i="2" s="1"/>
  <c r="Q113" i="2"/>
  <c r="R113" i="2" s="1"/>
  <c r="Q114" i="2"/>
  <c r="R114" i="2" s="1"/>
  <c r="Q115" i="2"/>
  <c r="R115" i="2" s="1"/>
  <c r="Q95" i="2"/>
  <c r="Q93" i="2"/>
  <c r="Q94" i="2"/>
  <c r="R94" i="2" s="1"/>
  <c r="Q92" i="2"/>
  <c r="R92" i="2" s="1"/>
  <c r="Q49" i="2"/>
  <c r="Q50" i="2"/>
  <c r="Q51" i="2"/>
  <c r="Q52" i="2"/>
  <c r="Q53" i="2"/>
  <c r="R53" i="2" s="1"/>
  <c r="Q54" i="2"/>
  <c r="R54" i="2" s="1"/>
  <c r="Q55" i="2"/>
  <c r="Q56" i="2"/>
  <c r="Q57" i="2"/>
  <c r="Q58" i="2"/>
  <c r="Q59" i="2"/>
  <c r="R59" i="2" s="1"/>
  <c r="Q60" i="2"/>
  <c r="R60" i="2" s="1"/>
  <c r="Q61" i="2"/>
  <c r="R61" i="2" s="1"/>
  <c r="Q62" i="2"/>
  <c r="R62" i="2" s="1"/>
  <c r="Q63" i="2"/>
  <c r="R63" i="2" s="1"/>
  <c r="Q64" i="2"/>
  <c r="R64" i="2" s="1"/>
  <c r="Q65" i="2"/>
  <c r="R65" i="2" s="1"/>
  <c r="Q66" i="2"/>
  <c r="R66" i="2" s="1"/>
  <c r="Q67" i="2"/>
  <c r="R67" i="2" s="1"/>
  <c r="Q68" i="2"/>
  <c r="R68" i="2" s="1"/>
  <c r="Q69" i="2"/>
  <c r="R69" i="2" s="1"/>
  <c r="Q70" i="2"/>
  <c r="R70" i="2" s="1"/>
  <c r="Q71" i="2"/>
  <c r="R71" i="2" s="1"/>
  <c r="Q72" i="2"/>
  <c r="R72" i="2" s="1"/>
  <c r="Q73" i="2"/>
  <c r="R73" i="2" s="1"/>
  <c r="Q74" i="2"/>
  <c r="R74" i="2" s="1"/>
  <c r="Q75" i="2"/>
  <c r="R75" i="2" s="1"/>
  <c r="Q76" i="2"/>
  <c r="R76" i="2" s="1"/>
  <c r="Q77" i="2"/>
  <c r="Q78" i="2"/>
  <c r="R78" i="2" s="1"/>
  <c r="Q79" i="2"/>
  <c r="R79" i="2" s="1"/>
  <c r="Q80" i="2"/>
  <c r="R80" i="2" s="1"/>
  <c r="Q82" i="2"/>
  <c r="R82" i="2" s="1"/>
  <c r="Q83" i="2"/>
  <c r="R83" i="2" s="1"/>
  <c r="Q84" i="2"/>
  <c r="R84" i="2" s="1"/>
  <c r="Q85" i="2"/>
  <c r="R85" i="2" s="1"/>
  <c r="Q86" i="2"/>
  <c r="R86" i="2" s="1"/>
  <c r="Q87" i="2"/>
  <c r="R87" i="2" s="1"/>
  <c r="Q88" i="2"/>
  <c r="R88" i="2" s="1"/>
  <c r="Q89" i="2"/>
  <c r="R89" i="2" s="1"/>
  <c r="Q90" i="2"/>
  <c r="R90" i="2" s="1"/>
  <c r="Q91" i="2"/>
  <c r="R91" i="2" s="1"/>
  <c r="Q48" i="2"/>
  <c r="T117" i="2"/>
  <c r="U117" i="2" s="1"/>
  <c r="T118" i="2"/>
  <c r="U118" i="2" s="1"/>
  <c r="T119" i="2"/>
  <c r="U119" i="2" s="1"/>
  <c r="T120" i="2"/>
  <c r="T121" i="2"/>
  <c r="T122" i="2"/>
  <c r="T123" i="2"/>
  <c r="T124" i="2"/>
  <c r="T125" i="2"/>
  <c r="T126" i="2"/>
  <c r="U126" i="2" s="1"/>
  <c r="T127" i="2"/>
  <c r="U127" i="2" s="1"/>
  <c r="T128" i="2"/>
  <c r="U128" i="2" s="1"/>
  <c r="T129" i="2"/>
  <c r="U129" i="2" s="1"/>
  <c r="T130" i="2"/>
  <c r="T131" i="2"/>
  <c r="T132" i="2"/>
  <c r="T133" i="2"/>
  <c r="T134" i="2"/>
  <c r="T135" i="2"/>
  <c r="T136" i="2"/>
  <c r="T137" i="2"/>
  <c r="T138" i="2"/>
  <c r="U138" i="2" s="1"/>
  <c r="T139" i="2"/>
  <c r="U139" i="2" s="1"/>
  <c r="T140" i="2"/>
  <c r="T141" i="2"/>
  <c r="T142" i="2"/>
  <c r="U142" i="2" s="1"/>
  <c r="T143" i="2"/>
  <c r="U143" i="2" s="1"/>
  <c r="T144" i="2"/>
  <c r="U144" i="2" s="1"/>
  <c r="T145" i="2"/>
  <c r="U145" i="2" s="1"/>
  <c r="T146" i="2"/>
  <c r="T147" i="2"/>
  <c r="T148" i="2"/>
  <c r="T149" i="2"/>
  <c r="T150" i="2"/>
  <c r="T151" i="2"/>
  <c r="T152" i="2"/>
  <c r="U152" i="2" s="1"/>
  <c r="T153" i="2"/>
  <c r="U153" i="2" s="1"/>
  <c r="T154" i="2"/>
  <c r="U154" i="2" s="1"/>
  <c r="T155" i="2"/>
  <c r="U155" i="2" s="1"/>
  <c r="T156" i="2"/>
  <c r="U156" i="2" s="1"/>
  <c r="T157" i="2"/>
  <c r="U157" i="2" s="1"/>
  <c r="T158" i="2"/>
  <c r="T159" i="2"/>
  <c r="U159" i="2" s="1"/>
  <c r="T160" i="2"/>
  <c r="U160" i="2" s="1"/>
  <c r="T116" i="2"/>
  <c r="T96" i="2"/>
  <c r="U96" i="2" s="1"/>
  <c r="T97" i="2"/>
  <c r="T98" i="2"/>
  <c r="T99" i="2"/>
  <c r="U99" i="2" s="1"/>
  <c r="T100" i="2"/>
  <c r="U100" i="2" s="1"/>
  <c r="T101" i="2"/>
  <c r="U101" i="2" s="1"/>
  <c r="T102" i="2"/>
  <c r="U102" i="2" s="1"/>
  <c r="T103" i="2"/>
  <c r="U103" i="2" s="1"/>
  <c r="T104" i="2"/>
  <c r="T105" i="2"/>
  <c r="U105" i="2" s="1"/>
  <c r="T106" i="2"/>
  <c r="U106" i="2" s="1"/>
  <c r="T107" i="2"/>
  <c r="U107" i="2" s="1"/>
  <c r="T108" i="2"/>
  <c r="U108" i="2" s="1"/>
  <c r="T109" i="2"/>
  <c r="U109" i="2" s="1"/>
  <c r="T110" i="2"/>
  <c r="U110" i="2" s="1"/>
  <c r="T111" i="2"/>
  <c r="U111" i="2" s="1"/>
  <c r="T112" i="2"/>
  <c r="U112" i="2" s="1"/>
  <c r="T113" i="2"/>
  <c r="U113" i="2" s="1"/>
  <c r="T114" i="2"/>
  <c r="U114" i="2" s="1"/>
  <c r="T115" i="2"/>
  <c r="U115" i="2" s="1"/>
  <c r="T95" i="2"/>
  <c r="T50" i="2"/>
  <c r="T52" i="2"/>
  <c r="T54" i="2"/>
  <c r="U54" i="2" s="1"/>
  <c r="T56" i="2"/>
  <c r="T58" i="2"/>
  <c r="T60" i="2"/>
  <c r="U60" i="2" s="1"/>
  <c r="T62" i="2"/>
  <c r="U62" i="2" s="1"/>
  <c r="T64" i="2"/>
  <c r="U64" i="2" s="1"/>
  <c r="T66" i="2"/>
  <c r="U66" i="2" s="1"/>
  <c r="T68" i="2"/>
  <c r="U68" i="2" s="1"/>
  <c r="T70" i="2"/>
  <c r="U70" i="2" s="1"/>
  <c r="T72" i="2"/>
  <c r="U72" i="2" s="1"/>
  <c r="T74" i="2"/>
  <c r="U74" i="2" s="1"/>
  <c r="T76" i="2"/>
  <c r="U76" i="2" s="1"/>
  <c r="T78" i="2"/>
  <c r="U78" i="2" s="1"/>
  <c r="T80" i="2"/>
  <c r="U80" i="2" s="1"/>
  <c r="T82" i="2"/>
  <c r="U82" i="2" s="1"/>
  <c r="T84" i="2"/>
  <c r="U84" i="2" s="1"/>
  <c r="T86" i="2"/>
  <c r="U86" i="2" s="1"/>
  <c r="T88" i="2"/>
  <c r="U88" i="2" s="1"/>
  <c r="T90" i="2"/>
  <c r="U90" i="2" s="1"/>
  <c r="T92" i="2"/>
  <c r="U92" i="2" s="1"/>
  <c r="T93" i="2"/>
  <c r="T94" i="2"/>
  <c r="U94" i="2" s="1"/>
  <c r="T48" i="2"/>
  <c r="J158" i="2"/>
  <c r="J151" i="2"/>
  <c r="J150" i="2"/>
  <c r="J149" i="2"/>
  <c r="J148" i="2"/>
  <c r="J147" i="2"/>
  <c r="J146" i="2"/>
  <c r="J141" i="2"/>
  <c r="J140" i="2"/>
  <c r="J137" i="2"/>
  <c r="J136" i="2"/>
  <c r="J135" i="2"/>
  <c r="J134" i="2"/>
  <c r="J133" i="2"/>
  <c r="J132" i="2"/>
  <c r="J131" i="2"/>
  <c r="J130" i="2"/>
  <c r="J125" i="2"/>
  <c r="J124" i="2"/>
  <c r="J123" i="2"/>
  <c r="J122" i="2"/>
  <c r="J121" i="2"/>
  <c r="J120" i="2"/>
  <c r="J116" i="2"/>
  <c r="J104" i="2"/>
  <c r="J98" i="2"/>
  <c r="J97" i="2"/>
  <c r="J95" i="2"/>
  <c r="J77" i="2"/>
  <c r="J58" i="2"/>
  <c r="J57" i="2"/>
  <c r="J56" i="2"/>
  <c r="J55" i="2"/>
  <c r="J52" i="2"/>
  <c r="J51" i="2"/>
  <c r="J50" i="2"/>
  <c r="J49" i="2"/>
  <c r="J48" i="2"/>
  <c r="I87" i="1"/>
  <c r="I80" i="1"/>
  <c r="I71" i="1"/>
  <c r="I79" i="1"/>
  <c r="I89" i="1"/>
  <c r="I78" i="1"/>
  <c r="I77" i="1"/>
  <c r="I51" i="1"/>
  <c r="I50" i="1"/>
  <c r="I72" i="1"/>
  <c r="I70" i="1"/>
  <c r="I69" i="1"/>
  <c r="I68" i="1"/>
  <c r="I67" i="1"/>
  <c r="I66" i="1"/>
  <c r="I65" i="1"/>
  <c r="I64" i="1"/>
  <c r="I59" i="1"/>
  <c r="I56" i="1"/>
  <c r="I57" i="1"/>
  <c r="I48" i="1"/>
  <c r="I58" i="1"/>
  <c r="I55" i="1"/>
  <c r="U56" i="2" l="1"/>
  <c r="U116" i="2"/>
  <c r="R56" i="2"/>
  <c r="R57" i="2"/>
  <c r="R49" i="2"/>
  <c r="R104" i="2"/>
  <c r="R146" i="2"/>
  <c r="R130" i="2"/>
  <c r="R122" i="2"/>
  <c r="R121" i="2"/>
  <c r="R135" i="2"/>
  <c r="R98" i="2"/>
  <c r="R151" i="2"/>
  <c r="U95" i="2"/>
  <c r="R77" i="2"/>
  <c r="R95" i="2"/>
  <c r="R158" i="2"/>
  <c r="R150" i="2"/>
  <c r="R134" i="2"/>
  <c r="U149" i="2"/>
  <c r="U141" i="2"/>
  <c r="R52" i="2"/>
  <c r="R149" i="2"/>
  <c r="R141" i="2"/>
  <c r="R133" i="2"/>
  <c r="R125" i="2"/>
  <c r="U132" i="2"/>
  <c r="U124" i="2"/>
  <c r="R48" i="2"/>
  <c r="R51" i="2"/>
  <c r="R148" i="2"/>
  <c r="R140" i="2"/>
  <c r="R132" i="2"/>
  <c r="R124" i="2"/>
  <c r="R58" i="2"/>
  <c r="R50" i="2"/>
  <c r="R147" i="2"/>
  <c r="R131" i="2"/>
  <c r="R123" i="2"/>
  <c r="U77" i="2"/>
  <c r="R116" i="2"/>
  <c r="R137" i="2"/>
  <c r="U136" i="2"/>
  <c r="U120" i="2"/>
  <c r="R55" i="2"/>
  <c r="R136" i="2"/>
  <c r="R120" i="2"/>
  <c r="R97" i="2"/>
  <c r="U55" i="2"/>
  <c r="U137" i="2"/>
  <c r="U133" i="2"/>
  <c r="U125" i="2"/>
  <c r="U98" i="2"/>
  <c r="U48" i="2"/>
  <c r="U58" i="2"/>
  <c r="U50" i="2"/>
  <c r="U97" i="2"/>
  <c r="U151" i="2"/>
  <c r="U147" i="2"/>
  <c r="U135" i="2"/>
  <c r="U131" i="2"/>
  <c r="U123" i="2"/>
  <c r="U49" i="2"/>
  <c r="U57" i="2"/>
  <c r="U121" i="2"/>
  <c r="U52" i="2"/>
  <c r="U148" i="2"/>
  <c r="U140" i="2"/>
  <c r="U104" i="2"/>
  <c r="U158" i="2"/>
  <c r="U150" i="2"/>
  <c r="U146" i="2"/>
  <c r="U134" i="2"/>
  <c r="U130" i="2"/>
  <c r="U122" i="2"/>
  <c r="U51" i="2"/>
  <c r="I92" i="1"/>
  <c r="I106" i="1"/>
  <c r="I103" i="1"/>
  <c r="I112" i="1"/>
  <c r="I90" i="1"/>
  <c r="I123" i="1"/>
  <c r="I133" i="1"/>
  <c r="I141" i="1"/>
  <c r="I140" i="1"/>
  <c r="I139" i="1"/>
  <c r="I131" i="1"/>
  <c r="I130" i="1"/>
  <c r="I129" i="1"/>
  <c r="I128" i="1"/>
  <c r="I127" i="1"/>
  <c r="X31" i="2" l="1"/>
  <c r="X26" i="2"/>
  <c r="X27" i="2"/>
  <c r="X28" i="2"/>
  <c r="X29" i="2"/>
  <c r="X33" i="2"/>
  <c r="X34" i="2"/>
  <c r="X35" i="2"/>
  <c r="X36" i="2"/>
  <c r="X37" i="2"/>
  <c r="X38" i="2"/>
  <c r="X39" i="2"/>
  <c r="X40" i="2"/>
  <c r="X41" i="2"/>
  <c r="X42" i="2"/>
  <c r="X44" i="2"/>
  <c r="X45" i="2"/>
  <c r="X46" i="2"/>
  <c r="X14" i="2"/>
  <c r="X15" i="2"/>
  <c r="X16" i="2"/>
  <c r="X17" i="2"/>
  <c r="X18" i="2"/>
  <c r="X19" i="2"/>
  <c r="X20" i="2"/>
  <c r="X21" i="2"/>
  <c r="X22" i="2"/>
  <c r="X23" i="2"/>
  <c r="X3" i="2"/>
  <c r="X4" i="2"/>
  <c r="X5" i="2"/>
  <c r="X6" i="2"/>
  <c r="X7" i="2"/>
  <c r="X8" i="2"/>
  <c r="X9" i="2"/>
  <c r="X10" i="2"/>
  <c r="X11" i="2"/>
  <c r="X12" i="2"/>
  <c r="X13" i="2"/>
  <c r="X2" i="2"/>
  <c r="T34" i="2" l="1"/>
  <c r="U34" i="2" s="1"/>
  <c r="T35" i="2"/>
  <c r="U35" i="2" s="1"/>
  <c r="T36" i="2"/>
  <c r="U36" i="2" s="1"/>
  <c r="T37" i="2"/>
  <c r="U37" i="2" s="1"/>
  <c r="T38" i="2"/>
  <c r="U38" i="2" s="1"/>
  <c r="T39" i="2"/>
  <c r="U39" i="2" s="1"/>
  <c r="T40" i="2"/>
  <c r="U40" i="2" s="1"/>
  <c r="T41" i="2"/>
  <c r="U41" i="2" s="1"/>
  <c r="T42" i="2"/>
  <c r="U42" i="2" s="1"/>
  <c r="T43" i="2"/>
  <c r="T44" i="2"/>
  <c r="U44" i="2" s="1"/>
  <c r="T45" i="2"/>
  <c r="U45" i="2" s="1"/>
  <c r="T46" i="2"/>
  <c r="U46" i="2" s="1"/>
  <c r="T47" i="2"/>
  <c r="T33" i="2"/>
  <c r="U33" i="2" s="1"/>
  <c r="T27" i="2"/>
  <c r="U27" i="2" s="1"/>
  <c r="T28" i="2"/>
  <c r="U28" i="2" s="1"/>
  <c r="T29" i="2"/>
  <c r="U29" i="2" s="1"/>
  <c r="T30" i="2"/>
  <c r="T31" i="2"/>
  <c r="U31" i="2" s="1"/>
  <c r="T32" i="2"/>
  <c r="T26" i="2"/>
  <c r="U26" i="2" s="1"/>
  <c r="T3" i="2"/>
  <c r="U3" i="2" s="1"/>
  <c r="T4" i="2"/>
  <c r="U4" i="2" s="1"/>
  <c r="T5" i="2"/>
  <c r="U5" i="2" s="1"/>
  <c r="T6" i="2"/>
  <c r="U6" i="2" s="1"/>
  <c r="T7" i="2"/>
  <c r="U7" i="2" s="1"/>
  <c r="T8" i="2"/>
  <c r="U8" i="2" s="1"/>
  <c r="T9" i="2"/>
  <c r="U9" i="2" s="1"/>
  <c r="T10" i="2"/>
  <c r="U10" i="2" s="1"/>
  <c r="T11" i="2"/>
  <c r="U11" i="2" s="1"/>
  <c r="T12" i="2"/>
  <c r="U12" i="2" s="1"/>
  <c r="T13" i="2"/>
  <c r="U13" i="2" s="1"/>
  <c r="T14" i="2"/>
  <c r="U14" i="2" s="1"/>
  <c r="T15" i="2"/>
  <c r="U15" i="2" s="1"/>
  <c r="T16" i="2"/>
  <c r="U16" i="2" s="1"/>
  <c r="T17" i="2"/>
  <c r="U17" i="2" s="1"/>
  <c r="T18" i="2"/>
  <c r="U18" i="2" s="1"/>
  <c r="T19" i="2"/>
  <c r="U19" i="2" s="1"/>
  <c r="T20" i="2"/>
  <c r="U20" i="2" s="1"/>
  <c r="T21" i="2"/>
  <c r="U21" i="2" s="1"/>
  <c r="T22" i="2"/>
  <c r="U22" i="2" s="1"/>
  <c r="T23" i="2"/>
  <c r="U23" i="2" s="1"/>
  <c r="T24" i="2"/>
  <c r="T25" i="2"/>
  <c r="T2" i="2"/>
  <c r="U2" i="2" s="1"/>
  <c r="Q2" i="2"/>
  <c r="R2" i="2" s="1"/>
  <c r="N28" i="2"/>
  <c r="N29" i="2"/>
  <c r="N3" i="2"/>
  <c r="N4" i="2"/>
  <c r="N5" i="2"/>
  <c r="N6" i="2"/>
  <c r="N7" i="2"/>
  <c r="N8" i="2"/>
  <c r="N9" i="2"/>
  <c r="N10" i="2"/>
  <c r="N11" i="2"/>
  <c r="N12" i="2"/>
  <c r="N13" i="2"/>
  <c r="N14" i="2"/>
  <c r="N15" i="2"/>
  <c r="N16" i="2"/>
  <c r="N17" i="2"/>
  <c r="N18" i="2"/>
  <c r="N19" i="2"/>
  <c r="N20" i="2"/>
  <c r="N21" i="2"/>
  <c r="N22" i="2"/>
  <c r="N23" i="2"/>
  <c r="N26" i="2"/>
  <c r="N31" i="2"/>
  <c r="N33" i="2"/>
  <c r="N34" i="2"/>
  <c r="N35" i="2"/>
  <c r="N36" i="2"/>
  <c r="N37" i="2"/>
  <c r="N38" i="2"/>
  <c r="N39" i="2"/>
  <c r="N40" i="2"/>
  <c r="N41" i="2"/>
  <c r="N2" i="2"/>
  <c r="M42" i="2"/>
  <c r="M27" i="2"/>
  <c r="M45" i="2"/>
  <c r="M46" i="2"/>
  <c r="M44" i="2"/>
  <c r="Q34" i="2"/>
  <c r="R34" i="2" s="1"/>
  <c r="Q35" i="2"/>
  <c r="R35" i="2" s="1"/>
  <c r="Q36" i="2"/>
  <c r="R36" i="2" s="1"/>
  <c r="Q37" i="2"/>
  <c r="R37" i="2" s="1"/>
  <c r="Q38" i="2"/>
  <c r="R38" i="2" s="1"/>
  <c r="Q39" i="2"/>
  <c r="R39" i="2" s="1"/>
  <c r="Q40" i="2"/>
  <c r="R40" i="2" s="1"/>
  <c r="Q41" i="2"/>
  <c r="R41" i="2" s="1"/>
  <c r="Q42" i="2"/>
  <c r="R42" i="2" s="1"/>
  <c r="Q43" i="2"/>
  <c r="Q44" i="2"/>
  <c r="R44" i="2" s="1"/>
  <c r="Q45" i="2"/>
  <c r="R45" i="2" s="1"/>
  <c r="Q46" i="2"/>
  <c r="R46" i="2" s="1"/>
  <c r="Q47" i="2"/>
  <c r="Q33" i="2"/>
  <c r="R33" i="2" s="1"/>
  <c r="R27" i="2"/>
  <c r="Q28" i="2"/>
  <c r="R28" i="2" s="1"/>
  <c r="Q29" i="2"/>
  <c r="R29" i="2" s="1"/>
  <c r="Q30" i="2"/>
  <c r="Q31" i="2"/>
  <c r="R31" i="2" s="1"/>
  <c r="Q32" i="2"/>
  <c r="Q26" i="2"/>
  <c r="R26" i="2" s="1"/>
  <c r="Q3" i="2"/>
  <c r="R3" i="2" s="1"/>
  <c r="Q4" i="2"/>
  <c r="R4" i="2" s="1"/>
  <c r="Q5" i="2"/>
  <c r="R5" i="2" s="1"/>
  <c r="Q6" i="2"/>
  <c r="R6" i="2" s="1"/>
  <c r="Q7" i="2"/>
  <c r="R7" i="2" s="1"/>
  <c r="Q8" i="2"/>
  <c r="R8" i="2" s="1"/>
  <c r="Q9" i="2"/>
  <c r="R9" i="2" s="1"/>
  <c r="Q10" i="2"/>
  <c r="R10" i="2" s="1"/>
  <c r="Q11" i="2"/>
  <c r="R11" i="2" s="1"/>
  <c r="Q12" i="2"/>
  <c r="R12" i="2" s="1"/>
  <c r="Q13" i="2"/>
  <c r="R13" i="2" s="1"/>
  <c r="Q14" i="2"/>
  <c r="R14" i="2" s="1"/>
  <c r="Q15" i="2"/>
  <c r="R15" i="2" s="1"/>
  <c r="Q16" i="2"/>
  <c r="R16" i="2" s="1"/>
  <c r="Q17" i="2"/>
  <c r="R17" i="2" s="1"/>
  <c r="Q18" i="2"/>
  <c r="R18" i="2" s="1"/>
  <c r="Q19" i="2"/>
  <c r="R19" i="2" s="1"/>
  <c r="Q20" i="2"/>
  <c r="R20" i="2" s="1"/>
  <c r="Q21" i="2"/>
  <c r="R21" i="2" s="1"/>
  <c r="Q22" i="2"/>
  <c r="R22" i="2" s="1"/>
  <c r="Q23" i="2"/>
  <c r="R23" i="2" s="1"/>
  <c r="Q24" i="2"/>
  <c r="Q25" i="2"/>
  <c r="N44" i="2" l="1"/>
  <c r="N46" i="2"/>
  <c r="N27" i="2"/>
  <c r="N45" i="2"/>
  <c r="N42" i="2"/>
</calcChain>
</file>

<file path=xl/sharedStrings.xml><?xml version="1.0" encoding="utf-8"?>
<sst xmlns="http://schemas.openxmlformats.org/spreadsheetml/2006/main" count="2351" uniqueCount="223">
  <si>
    <t>Sampling run</t>
  </si>
  <si>
    <t>Date</t>
  </si>
  <si>
    <t>Start time</t>
  </si>
  <si>
    <t>End time</t>
  </si>
  <si>
    <t>Temperature</t>
  </si>
  <si>
    <t>pH</t>
  </si>
  <si>
    <t>DO%</t>
  </si>
  <si>
    <t>DOmg/L</t>
  </si>
  <si>
    <t>Conductivity uS/cm</t>
  </si>
  <si>
    <t>42.026562, -82.600949</t>
  </si>
  <si>
    <t>42.008264, -82.572246</t>
  </si>
  <si>
    <t>42.008511, -82.574360</t>
  </si>
  <si>
    <t>ID</t>
  </si>
  <si>
    <t>Species code</t>
  </si>
  <si>
    <t>Incub. Start time (24h)</t>
  </si>
  <si>
    <t>Incub. End time (24h)</t>
  </si>
  <si>
    <t>Time elapsed (min)</t>
  </si>
  <si>
    <t>Vol. pre-filtered water (L)</t>
  </si>
  <si>
    <t>Weight (g)</t>
  </si>
  <si>
    <t>Incub. Temperature</t>
  </si>
  <si>
    <t>WP</t>
  </si>
  <si>
    <t>GF</t>
  </si>
  <si>
    <t>LB</t>
  </si>
  <si>
    <t>YB</t>
  </si>
  <si>
    <t>WE</t>
  </si>
  <si>
    <t>QM</t>
  </si>
  <si>
    <t>YP</t>
  </si>
  <si>
    <t>Incub. Container</t>
  </si>
  <si>
    <t># indiv.</t>
  </si>
  <si>
    <t>4L WP</t>
  </si>
  <si>
    <t>0.5L WP</t>
  </si>
  <si>
    <t>NA</t>
  </si>
  <si>
    <t>CTL1</t>
  </si>
  <si>
    <t>CTL3</t>
  </si>
  <si>
    <t>CTL2</t>
  </si>
  <si>
    <t>CTL4</t>
  </si>
  <si>
    <t>Notes</t>
  </si>
  <si>
    <t>Weather</t>
  </si>
  <si>
    <t>GPS coordinates</t>
  </si>
  <si>
    <t>Crew</t>
  </si>
  <si>
    <t>Claire, Emma, Aaron, Todd, Sandra</t>
  </si>
  <si>
    <t>Aaron, Todd, Lydia, Abigail, Emma, Claire, Sandra, Riley</t>
  </si>
  <si>
    <t>Todd, Chris, Don, Sandra, Emma, Claire, Lydia, Cailin</t>
  </si>
  <si>
    <t>overcast, rocky waters (1 to 1&amp;1/2 m waves, turbid in some areas)</t>
  </si>
  <si>
    <t>overcast then sunny</t>
  </si>
  <si>
    <t xml:space="preserve">tried e-fisher in shallower waters close to shoreline around the beach area &amp; sturgeon creek but did not catch any species of interest. Used long gill net set twice and caught 1 fish each time </t>
  </si>
  <si>
    <t>sunny, calm waters</t>
  </si>
  <si>
    <t>used e-fisher in marina only because waves too high outside. Caught many fish but several too big to be tested. Lots of macrophytes around (porbably what the fish like)</t>
  </si>
  <si>
    <t>Sampling day</t>
  </si>
  <si>
    <t>± 5g for the weight due to the wind</t>
  </si>
  <si>
    <t>± 5g for the weight due to the wind. Fish upside down after incubation</t>
  </si>
  <si>
    <t>WP = White perch</t>
  </si>
  <si>
    <t>YB = Yellow bullhead</t>
  </si>
  <si>
    <t>LB = Largemouth bass</t>
  </si>
  <si>
    <t>GF = Goldfish</t>
  </si>
  <si>
    <t>YP = Yellow perch</t>
  </si>
  <si>
    <t>QM = Quagga mussel</t>
  </si>
  <si>
    <t>WE = Walleye</t>
  </si>
  <si>
    <t>± 5g for the weight due to the wind. Fish removed from the bag after 20min then out back for another 10min (took it out sooner than was supposed to)</t>
  </si>
  <si>
    <t>± 5g for the weight due to the wind. Fish double bagged because spikes pierce holes in the first bag to make sure no water is leaking outside the bags</t>
  </si>
  <si>
    <t>± 5g for the weight due to the wind. Fish was upside down during the incubation due to bag floating in the water and not leaving enough water for the fish to stand</t>
  </si>
  <si>
    <t xml:space="preserve">± 5g for the weight due to the wind. 1 mussel looking dead as shell broken up </t>
  </si>
  <si>
    <t>GS</t>
  </si>
  <si>
    <t>CTL5</t>
  </si>
  <si>
    <t>CTL6</t>
  </si>
  <si>
    <t>1L WP</t>
  </si>
  <si>
    <t>42.0267802,-82.6712699</t>
  </si>
  <si>
    <t>Todd, Chris, Riley, Sandra, Emma, Claire, Lydia, Cailin</t>
  </si>
  <si>
    <t>08/12/2021</t>
  </si>
  <si>
    <t>08/13/2021</t>
  </si>
  <si>
    <t>08/14/2022</t>
  </si>
  <si>
    <t>08/15/2021</t>
  </si>
  <si>
    <t>GS = gizzard shad</t>
  </si>
  <si>
    <t>± 5g for the weight due to the wind. Fish upside down in the bag</t>
  </si>
  <si>
    <t>SRP (ug/L)</t>
  </si>
  <si>
    <t>P excretion (ug)</t>
  </si>
  <si>
    <t>P excretion rate (ug/h/ind)</t>
  </si>
  <si>
    <t>used both e-fisher and 2 gill net sets to catch fish. 1 yellow perch caught with gill net sets died</t>
  </si>
  <si>
    <t>Chlorophyll (ug/L)</t>
  </si>
  <si>
    <t>Chlorophyll</t>
  </si>
  <si>
    <t>daily average from Raeon 01 for Day 1-3, and from Raeon 6 for Day 4</t>
  </si>
  <si>
    <t>from YSI probe except for Day 4 where is daily average</t>
  </si>
  <si>
    <t>SD1</t>
  </si>
  <si>
    <t>SD1 = Summer day 1</t>
  </si>
  <si>
    <t xml:space="preserve">SD2 = Summer day 2 </t>
  </si>
  <si>
    <t>SD3 = Summer day 3</t>
  </si>
  <si>
    <t>SD4 = Summer day 4</t>
  </si>
  <si>
    <t>SD2</t>
  </si>
  <si>
    <t>SD3</t>
  </si>
  <si>
    <t>SD4</t>
  </si>
  <si>
    <t>Ind. wet.dry mass (g)</t>
  </si>
  <si>
    <t>Group dry mass (g)</t>
  </si>
  <si>
    <t>Ind. dry mass (g)</t>
  </si>
  <si>
    <t>± 5g for the weight due to the wind + group includes one big mussel</t>
  </si>
  <si>
    <t>NH4 (ug/L)</t>
  </si>
  <si>
    <t>N excretion (ug)</t>
  </si>
  <si>
    <t>N excretion rate (ug/h/ind)</t>
  </si>
  <si>
    <t>TDP (ug/L)</t>
  </si>
  <si>
    <t>P excretion 2 (ug)</t>
  </si>
  <si>
    <t>P excretion rate 2 (ug/h/ind)</t>
  </si>
  <si>
    <t>± 5g for the weight due to the wind. For all values under detection limit (negative value), divide instrument detection limit by 2 (=lowest standard used for standard curve)</t>
  </si>
  <si>
    <t>± 5g for the weight due to the wind. Fish was upside down during the incubation due to bag floating in the water and not leaving enough water for the fish to stand. For all values under detection limit (negative value), divide instrument detection limit by 2 (=lowest standard used for standard curve)</t>
  </si>
  <si>
    <t>± 5g for the weight due to the wind.For all values under detection limit (negative value), divide instrument detection limit by 2 (=lowest standard used for standard curve)</t>
  </si>
  <si>
    <t>± 5g for the weight due to the wind. 1 mussel looking dead as shell broken up. For all values under detection limit (negative value), divide instrument detection limit by 2 (=lowest standard used for standard curve)</t>
  </si>
  <si>
    <t>± 5g for the weight due to the wind. Fish upside down in the bag. For all values under detection limit (negative value), divide instrument detection limit by 2 (=lowest standard used for standard curve)</t>
  </si>
  <si>
    <t>± 5g for the weight due to the wind + group includes one big mussel. For all values under detection limit (negative value), divide instrument detection limit by 2 (=lowest standard used for standard curve)</t>
  </si>
  <si>
    <t>FD1</t>
  </si>
  <si>
    <t>LP</t>
  </si>
  <si>
    <t>RG</t>
  </si>
  <si>
    <t>LP = Logperch</t>
  </si>
  <si>
    <t>RG = Round goby</t>
  </si>
  <si>
    <t>BB = Brown bullhead</t>
  </si>
  <si>
    <t>FD2</t>
  </si>
  <si>
    <t>42.344459, -82.929547</t>
  </si>
  <si>
    <t>Todd, Aaron, Claire, James, Allie, Abigail, Lydia, Sandra</t>
  </si>
  <si>
    <t>10/18/2021</t>
  </si>
  <si>
    <t>sunny, clear blue sky</t>
  </si>
  <si>
    <t>used both e-fisher and minnow traps set 32h prior</t>
  </si>
  <si>
    <t>Todd, Aaron, Claire, James, Sandra</t>
  </si>
  <si>
    <t>10/19/2021</t>
  </si>
  <si>
    <t>from minnow traps set 32h prior so been starved  for that long + filtered water 5h later</t>
  </si>
  <si>
    <t>from minnow traps set 32h prior so been starved for that long + filtered water 5h later</t>
  </si>
  <si>
    <t>from minnow traps set 32h prior so been starved for that long</t>
  </si>
  <si>
    <t>BB</t>
  </si>
  <si>
    <t>&lt;1</t>
  </si>
  <si>
    <t>from minnow traps set 16h prior so been starved for that long</t>
  </si>
  <si>
    <t>FD3</t>
  </si>
  <si>
    <t>NP</t>
  </si>
  <si>
    <t>NP = Northern pike</t>
  </si>
  <si>
    <t>Season</t>
  </si>
  <si>
    <t>S</t>
  </si>
  <si>
    <t>F</t>
  </si>
  <si>
    <t>42.34357, -82.92858</t>
  </si>
  <si>
    <t>night</t>
  </si>
  <si>
    <t>used e-fisher only</t>
  </si>
  <si>
    <t>used both e-fisher and minnow traps set 13h prior</t>
  </si>
  <si>
    <t>%P tissue</t>
  </si>
  <si>
    <t>10/20/2021</t>
  </si>
  <si>
    <t>%C</t>
  </si>
  <si>
    <t>%N</t>
  </si>
  <si>
    <t>C:N</t>
  </si>
  <si>
    <t>for fish, from stable isotopes analyses in Fisk lab; for mussels, from elementar analyses in Frost lab</t>
  </si>
  <si>
    <t>from Xenopoulos lab</t>
  </si>
  <si>
    <t>d13C</t>
  </si>
  <si>
    <t>d15N</t>
  </si>
  <si>
    <t>%N tissue</t>
  </si>
  <si>
    <t>%C tissue</t>
  </si>
  <si>
    <t>C:P</t>
  </si>
  <si>
    <t>N:P</t>
  </si>
  <si>
    <t>calculation = %C/%N*14/12</t>
  </si>
  <si>
    <t>calculation = %C/%P*31/12</t>
  </si>
  <si>
    <t>calculation = %N/%P*31/14</t>
  </si>
  <si>
    <t>Year</t>
  </si>
  <si>
    <t>Biomass (kg/ha)</t>
  </si>
  <si>
    <t>Cecilia, Aaron, Claire, James, Sandra</t>
  </si>
  <si>
    <t xml:space="preserve">    </t>
  </si>
  <si>
    <t>TDN (ug/L)</t>
  </si>
  <si>
    <t>N excretion 2 (ug)</t>
  </si>
  <si>
    <t>N excretion rate 2 (ug/h/ind)</t>
  </si>
  <si>
    <t>Specfic Conductance ( µS)</t>
  </si>
  <si>
    <t>Conductivity ( µS)</t>
  </si>
  <si>
    <t>NO3 (ug/L)</t>
  </si>
  <si>
    <t>Chlorophyll-a (ug/L)</t>
  </si>
  <si>
    <t>K (ug/L)</t>
  </si>
  <si>
    <t>Ca (ug/L)</t>
  </si>
  <si>
    <t>V (ug/L)</t>
  </si>
  <si>
    <t>Mn (ug/L)</t>
  </si>
  <si>
    <t>Fe (ug/L)</t>
  </si>
  <si>
    <t>Cu (ug/L)</t>
  </si>
  <si>
    <t>Zn (ug/L)</t>
  </si>
  <si>
    <t>Sr (ug/L)</t>
  </si>
  <si>
    <t>Mo (ug/L)</t>
  </si>
  <si>
    <t>Ba (ug/L)</t>
  </si>
  <si>
    <t>DOC (mg/L)</t>
  </si>
  <si>
    <t>A254</t>
  </si>
  <si>
    <t>A280</t>
  </si>
  <si>
    <t>A350</t>
  </si>
  <si>
    <t>A440</t>
  </si>
  <si>
    <t>S275to295</t>
  </si>
  <si>
    <t>S350to400</t>
  </si>
  <si>
    <t>SR</t>
  </si>
  <si>
    <t>BA</t>
  </si>
  <si>
    <t>FI</t>
  </si>
  <si>
    <t>HIX</t>
  </si>
  <si>
    <t>HIX.ohno</t>
  </si>
  <si>
    <t>PeakA</t>
  </si>
  <si>
    <t>PeakB</t>
  </si>
  <si>
    <t>PeakC</t>
  </si>
  <si>
    <t>PeakD</t>
  </si>
  <si>
    <t>PeakE</t>
  </si>
  <si>
    <t>PeakM</t>
  </si>
  <si>
    <t>PeakN</t>
  </si>
  <si>
    <t>PeakP</t>
  </si>
  <si>
    <t>PeakT</t>
  </si>
  <si>
    <t>C1</t>
  </si>
  <si>
    <t>C2</t>
  </si>
  <si>
    <t>C3</t>
  </si>
  <si>
    <t>C4</t>
  </si>
  <si>
    <t>C5</t>
  </si>
  <si>
    <t>C6</t>
  </si>
  <si>
    <t>C7</t>
  </si>
  <si>
    <t>C.SUM</t>
  </si>
  <si>
    <t>C1.PER</t>
  </si>
  <si>
    <t>C2.PER</t>
  </si>
  <si>
    <t>C3.PER</t>
  </si>
  <si>
    <t>C4.PER</t>
  </si>
  <si>
    <t>C5.PER</t>
  </si>
  <si>
    <t>C6.PER</t>
  </si>
  <si>
    <t>C7.PER</t>
  </si>
  <si>
    <t>N/A</t>
  </si>
  <si>
    <t>pH_sampleTrent</t>
  </si>
  <si>
    <t>pH_probeOnsite</t>
  </si>
  <si>
    <t>used 2 gill net sets (1 big + 1 small) close to Jill Crossman's buoys about 5km from the shore. Caught many white perch in the big net, had to release about 6 of them because they wer enot recovering from the net (the net was deployed for 45min and the fish had stayed entangled in it for some time before being released and tested). Fish waited for about 1h between the time they were released and when they were tested. For pH_sampleTrent onwards, used data from SD2 ambient water sample as no water sample was collected on SD1</t>
  </si>
  <si>
    <t>for fish, from stable isotopes analyses in Fisk lab - used data based on whole body or muscle analyses. Summer data = collected in Aug. 2019, with YP average of all YP values since only have one individual tested for excretion. Fall data = collected in Oct. 2021. For mussels, used mussel tissue collected from individuals tested in the summer 2021 and analyzed at Trent Water Quality Centre in Feb 2023</t>
  </si>
  <si>
    <t>Ref: 500 g/m2 = 3.6cm</t>
  </si>
  <si>
    <t>Biomass (g/m2)</t>
  </si>
  <si>
    <t>Species.code</t>
  </si>
  <si>
    <t>DM</t>
  </si>
  <si>
    <t>Source</t>
  </si>
  <si>
    <t>Fish</t>
  </si>
  <si>
    <t>Dreissenid</t>
  </si>
  <si>
    <t>Biomass (kg/ha) SD</t>
  </si>
  <si>
    <t>Biomass (g/m2) 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</si>
</sst>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color theme="1"/>
      <name val="Calibri"/>
      <family val="2"/>
    </font>
    <font>
      <sz val="10"/>
      <color rgb="FF000000"/>
      <name val="Arial"/>
    </font>
    <font>
      <sz val="10"/>
      <color theme="1"/>
      <name val="Arial"/>
    </font>
    <font>
      <sz val="12"/>
      <color theme="1"/>
      <name val="Times New Roman"/>
      <family val="1"/>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0">
    <xf numFmtId="0" fontId="0" fillId="0" borderId="0" xfId="0"/>
    <xf numFmtId="2" fontId="0" fillId="0" borderId="0" xfId="0" applyNumberFormat="1"/>
    <xf numFmtId="0" fontId="2" fillId="0" borderId="0" xfId="0" applyFont="1"/>
    <xf numFmtId="0" fontId="0" fillId="0" borderId="0" xfId="0" applyAlignment="1">
      <alignment wrapText="1"/>
    </xf>
    <xf numFmtId="2" fontId="0" fillId="0" borderId="0" xfId="0" applyNumberFormat="1" applyAlignment="1">
      <alignment horizontal="center"/>
    </xf>
    <xf numFmtId="0" fontId="0" fillId="0" borderId="0" xfId="0" applyAlignment="1">
      <alignment horizontal="center"/>
    </xf>
    <xf numFmtId="0" fontId="3" fillId="0" borderId="0" xfId="1"/>
    <xf numFmtId="0" fontId="4" fillId="0" borderId="0" xfId="1" applyFont="1"/>
    <xf numFmtId="0" fontId="5" fillId="0" borderId="0" xfId="0" applyFont="1"/>
    <xf numFmtId="0" fontId="6" fillId="0" borderId="0" xfId="0" applyFont="1"/>
  </cellXfs>
  <cellStyles count="2">
    <cellStyle name="Normal" xfId="0" builtinId="0"/>
    <cellStyle name="Normal 2" xfId="1" xr:uid="{3AEE0380-50D3-4945-AAD3-B53E489D18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8862-2595-4F8C-BCE3-C83A0E339B61}">
  <dimension ref="A1:BO8"/>
  <sheetViews>
    <sheetView workbookViewId="0">
      <selection activeCell="S14" sqref="S14"/>
    </sheetView>
  </sheetViews>
  <sheetFormatPr defaultRowHeight="14.5" x14ac:dyDescent="0.35"/>
  <cols>
    <col min="14" max="14" width="9.26953125" customWidth="1"/>
  </cols>
  <sheetData>
    <row r="1" spans="1:67" x14ac:dyDescent="0.35">
      <c r="A1" t="s">
        <v>0</v>
      </c>
      <c r="B1" t="s">
        <v>38</v>
      </c>
      <c r="C1" t="s">
        <v>39</v>
      </c>
      <c r="D1" t="s">
        <v>1</v>
      </c>
      <c r="E1" t="s">
        <v>2</v>
      </c>
      <c r="F1" t="s">
        <v>3</v>
      </c>
      <c r="G1" t="s">
        <v>4</v>
      </c>
      <c r="H1" t="s">
        <v>6</v>
      </c>
      <c r="I1" t="s">
        <v>7</v>
      </c>
      <c r="J1" t="s">
        <v>211</v>
      </c>
      <c r="K1" t="s">
        <v>8</v>
      </c>
      <c r="L1" t="s">
        <v>78</v>
      </c>
      <c r="M1" t="s">
        <v>37</v>
      </c>
      <c r="N1" t="s">
        <v>36</v>
      </c>
      <c r="O1" t="s">
        <v>210</v>
      </c>
      <c r="P1" t="s">
        <v>159</v>
      </c>
      <c r="Q1" t="s">
        <v>160</v>
      </c>
      <c r="R1" t="s">
        <v>97</v>
      </c>
      <c r="S1" t="s">
        <v>156</v>
      </c>
      <c r="T1" t="s">
        <v>161</v>
      </c>
      <c r="U1" t="s">
        <v>162</v>
      </c>
      <c r="V1" t="s">
        <v>163</v>
      </c>
      <c r="W1" t="s">
        <v>164</v>
      </c>
      <c r="X1" t="s">
        <v>165</v>
      </c>
      <c r="Y1" t="s">
        <v>166</v>
      </c>
      <c r="Z1" t="s">
        <v>167</v>
      </c>
      <c r="AA1" t="s">
        <v>168</v>
      </c>
      <c r="AB1" t="s">
        <v>169</v>
      </c>
      <c r="AC1" t="s">
        <v>170</v>
      </c>
      <c r="AD1" t="s">
        <v>171</v>
      </c>
      <c r="AE1" t="s">
        <v>172</v>
      </c>
      <c r="AF1" t="s">
        <v>173</v>
      </c>
      <c r="AG1" t="s">
        <v>174</v>
      </c>
      <c r="AH1" t="s">
        <v>175</v>
      </c>
      <c r="AI1" t="s">
        <v>176</v>
      </c>
      <c r="AJ1" t="s">
        <v>177</v>
      </c>
      <c r="AK1" t="s">
        <v>178</v>
      </c>
      <c r="AL1" t="s">
        <v>179</v>
      </c>
      <c r="AM1" t="s">
        <v>180</v>
      </c>
      <c r="AN1" t="s">
        <v>181</v>
      </c>
      <c r="AO1" t="s">
        <v>182</v>
      </c>
      <c r="AP1" t="s">
        <v>183</v>
      </c>
      <c r="AQ1" t="s">
        <v>184</v>
      </c>
      <c r="AR1" t="s">
        <v>185</v>
      </c>
      <c r="AS1" t="s">
        <v>186</v>
      </c>
      <c r="AT1" t="s">
        <v>187</v>
      </c>
      <c r="AU1" t="s">
        <v>188</v>
      </c>
      <c r="AV1" t="s">
        <v>189</v>
      </c>
      <c r="AW1" t="s">
        <v>190</v>
      </c>
      <c r="AX1" t="s">
        <v>191</v>
      </c>
      <c r="AY1" t="s">
        <v>192</v>
      </c>
      <c r="AZ1" t="s">
        <v>193</v>
      </c>
      <c r="BA1" t="s">
        <v>194</v>
      </c>
      <c r="BB1" t="s">
        <v>195</v>
      </c>
      <c r="BC1" t="s">
        <v>196</v>
      </c>
      <c r="BD1" t="s">
        <v>197</v>
      </c>
      <c r="BE1" t="s">
        <v>198</v>
      </c>
      <c r="BF1" t="s">
        <v>199</v>
      </c>
      <c r="BG1" t="s">
        <v>200</v>
      </c>
      <c r="BH1" t="s">
        <v>201</v>
      </c>
      <c r="BI1" t="s">
        <v>202</v>
      </c>
      <c r="BJ1" t="s">
        <v>203</v>
      </c>
      <c r="BK1" t="s">
        <v>204</v>
      </c>
      <c r="BL1" t="s">
        <v>205</v>
      </c>
      <c r="BM1" t="s">
        <v>206</v>
      </c>
      <c r="BN1" t="s">
        <v>207</v>
      </c>
      <c r="BO1" t="s">
        <v>208</v>
      </c>
    </row>
    <row r="2" spans="1:67" x14ac:dyDescent="0.35">
      <c r="A2" t="s">
        <v>82</v>
      </c>
      <c r="B2" t="s">
        <v>10</v>
      </c>
      <c r="C2" t="s">
        <v>40</v>
      </c>
      <c r="D2" t="s">
        <v>68</v>
      </c>
      <c r="E2" s="1">
        <v>17.399999999999999</v>
      </c>
      <c r="F2" s="1">
        <v>19</v>
      </c>
      <c r="G2">
        <v>26.7</v>
      </c>
      <c r="L2">
        <v>9.1999999999999993</v>
      </c>
      <c r="M2" t="s">
        <v>43</v>
      </c>
      <c r="N2" t="s">
        <v>212</v>
      </c>
      <c r="O2">
        <v>8.51</v>
      </c>
      <c r="P2" t="s">
        <v>209</v>
      </c>
      <c r="Q2" t="s">
        <v>209</v>
      </c>
      <c r="R2">
        <v>14.505273478215095</v>
      </c>
      <c r="S2">
        <v>432.04884767182438</v>
      </c>
      <c r="T2">
        <v>220.40641334877185</v>
      </c>
      <c r="U2">
        <v>8.2533956884207491</v>
      </c>
      <c r="V2">
        <v>1103.229605</v>
      </c>
      <c r="W2">
        <v>25368.420890000001</v>
      </c>
      <c r="X2">
        <v>0.36939500000000003</v>
      </c>
      <c r="Y2">
        <v>1.8330150000000001</v>
      </c>
      <c r="Z2">
        <v>35.351290000000006</v>
      </c>
      <c r="AA2">
        <v>8.2364899999999999</v>
      </c>
      <c r="AB2">
        <v>29.496880000000001</v>
      </c>
      <c r="AC2">
        <v>98.296404999999993</v>
      </c>
      <c r="AD2">
        <v>0.91332000000000002</v>
      </c>
      <c r="AE2">
        <v>69.074079999999995</v>
      </c>
      <c r="AF2">
        <v>2.2749999999999999</v>
      </c>
      <c r="AG2">
        <v>2.7018981808576901</v>
      </c>
      <c r="AH2">
        <v>1.77028991286698</v>
      </c>
      <c r="AI2">
        <v>0.39386670843462201</v>
      </c>
      <c r="AJ2">
        <v>9.9628864266824296E-2</v>
      </c>
      <c r="AK2">
        <v>2.4628758391371401E-2</v>
      </c>
      <c r="AL2">
        <v>1.7257045411888501E-2</v>
      </c>
      <c r="AM2">
        <v>1.42717121057145</v>
      </c>
      <c r="AN2">
        <v>0.84331198579049704</v>
      </c>
      <c r="AO2">
        <v>1.34816608154423</v>
      </c>
      <c r="AP2">
        <v>1.71600253616976</v>
      </c>
      <c r="AQ2">
        <v>0.63181183129149499</v>
      </c>
      <c r="AR2">
        <v>0.26431488710654799</v>
      </c>
      <c r="AS2">
        <v>0.20904272807349</v>
      </c>
      <c r="AT2">
        <v>0.13209725934608199</v>
      </c>
      <c r="AU2">
        <v>7.9682984710949506E-2</v>
      </c>
      <c r="AV2">
        <v>4.0309370994742397E-2</v>
      </c>
      <c r="AW2">
        <v>0.18579684089158599</v>
      </c>
      <c r="AX2">
        <v>0.17934035527522099</v>
      </c>
      <c r="AY2" t="s">
        <v>31</v>
      </c>
      <c r="AZ2">
        <v>0.239241757271212</v>
      </c>
      <c r="BA2">
        <v>0.12357311002114416</v>
      </c>
      <c r="BB2">
        <v>0.12118576299946614</v>
      </c>
      <c r="BC2">
        <v>2.8472234259896971E-2</v>
      </c>
      <c r="BD2">
        <v>6.4684152247479282E-2</v>
      </c>
      <c r="BE2">
        <v>4.3574132862237359E-2</v>
      </c>
      <c r="BF2">
        <v>6.8814232217414895E-2</v>
      </c>
      <c r="BG2">
        <v>0.20672478632452421</v>
      </c>
      <c r="BH2">
        <v>0.65702841093216302</v>
      </c>
      <c r="BI2">
        <v>18.807879227904934</v>
      </c>
      <c r="BJ2">
        <v>18.444524008867912</v>
      </c>
      <c r="BK2">
        <v>4.3334860085428906</v>
      </c>
      <c r="BL2">
        <v>9.8449551299780556</v>
      </c>
      <c r="BM2">
        <v>6.6320013164143532</v>
      </c>
      <c r="BN2">
        <v>10.473555035433595</v>
      </c>
      <c r="BO2">
        <v>31.463599272858257</v>
      </c>
    </row>
    <row r="3" spans="1:67" x14ac:dyDescent="0.35">
      <c r="A3" t="s">
        <v>87</v>
      </c>
      <c r="B3" t="s">
        <v>9</v>
      </c>
      <c r="C3" t="s">
        <v>41</v>
      </c>
      <c r="D3" t="s">
        <v>69</v>
      </c>
      <c r="E3" s="1">
        <v>9.3000000000000007</v>
      </c>
      <c r="F3" s="1">
        <v>10.3</v>
      </c>
      <c r="G3">
        <v>25.7</v>
      </c>
      <c r="H3">
        <v>88.4</v>
      </c>
      <c r="I3">
        <v>7.21</v>
      </c>
      <c r="J3">
        <v>8.66</v>
      </c>
      <c r="K3">
        <v>225.4</v>
      </c>
      <c r="L3">
        <v>9.8000000000000007</v>
      </c>
      <c r="M3" t="s">
        <v>44</v>
      </c>
      <c r="N3" t="s">
        <v>47</v>
      </c>
      <c r="O3">
        <v>8.51</v>
      </c>
      <c r="P3" t="s">
        <v>209</v>
      </c>
      <c r="Q3" t="s">
        <v>209</v>
      </c>
      <c r="R3">
        <v>14.505273478215095</v>
      </c>
      <c r="S3">
        <v>432.04884767182438</v>
      </c>
      <c r="T3">
        <v>220.40641334877185</v>
      </c>
      <c r="U3">
        <v>8.2533956884207491</v>
      </c>
      <c r="V3">
        <v>1103.229605</v>
      </c>
      <c r="W3">
        <v>25368.420890000001</v>
      </c>
      <c r="X3">
        <v>0.36939500000000003</v>
      </c>
      <c r="Y3">
        <v>1.8330150000000001</v>
      </c>
      <c r="Z3">
        <v>35.351290000000006</v>
      </c>
      <c r="AA3">
        <v>8.2364899999999999</v>
      </c>
      <c r="AB3">
        <v>29.496880000000001</v>
      </c>
      <c r="AC3">
        <v>98.296404999999993</v>
      </c>
      <c r="AD3">
        <v>0.91332000000000002</v>
      </c>
      <c r="AE3">
        <v>69.074079999999995</v>
      </c>
      <c r="AF3">
        <v>2.2749999999999999</v>
      </c>
      <c r="AG3">
        <v>2.7018981808576901</v>
      </c>
      <c r="AH3">
        <v>1.77028991286698</v>
      </c>
      <c r="AI3">
        <v>0.39386670843462201</v>
      </c>
      <c r="AJ3">
        <v>9.9628864266824296E-2</v>
      </c>
      <c r="AK3">
        <v>2.4628758391371401E-2</v>
      </c>
      <c r="AL3">
        <v>1.7257045411888501E-2</v>
      </c>
      <c r="AM3">
        <v>1.42717121057145</v>
      </c>
      <c r="AN3">
        <v>0.84331198579049704</v>
      </c>
      <c r="AO3">
        <v>1.34816608154423</v>
      </c>
      <c r="AP3">
        <v>1.71600253616976</v>
      </c>
      <c r="AQ3">
        <v>0.63181183129149499</v>
      </c>
      <c r="AR3">
        <v>0.26431488710654799</v>
      </c>
      <c r="AS3">
        <v>0.20904272807349</v>
      </c>
      <c r="AT3">
        <v>0.13209725934608199</v>
      </c>
      <c r="AU3">
        <v>7.9682984710949506E-2</v>
      </c>
      <c r="AV3">
        <v>4.0309370994742397E-2</v>
      </c>
      <c r="AW3">
        <v>0.18579684089158599</v>
      </c>
      <c r="AX3">
        <v>0.17934035527522099</v>
      </c>
      <c r="AY3" t="s">
        <v>31</v>
      </c>
      <c r="AZ3">
        <v>0.239241757271212</v>
      </c>
      <c r="BA3">
        <v>0.12357311002114416</v>
      </c>
      <c r="BB3">
        <v>0.12118576299946614</v>
      </c>
      <c r="BC3">
        <v>2.8472234259896971E-2</v>
      </c>
      <c r="BD3">
        <v>6.4684152247479282E-2</v>
      </c>
      <c r="BE3">
        <v>4.3574132862237359E-2</v>
      </c>
      <c r="BF3">
        <v>6.8814232217414895E-2</v>
      </c>
      <c r="BG3">
        <v>0.20672478632452421</v>
      </c>
      <c r="BH3">
        <v>0.65702841093216302</v>
      </c>
      <c r="BI3">
        <v>18.807879227904934</v>
      </c>
      <c r="BJ3">
        <v>18.444524008867912</v>
      </c>
      <c r="BK3">
        <v>4.3334860085428906</v>
      </c>
      <c r="BL3">
        <v>9.8449551299780556</v>
      </c>
      <c r="BM3">
        <v>6.6320013164143532</v>
      </c>
      <c r="BN3">
        <v>10.473555035433595</v>
      </c>
      <c r="BO3">
        <v>31.463599272858257</v>
      </c>
    </row>
    <row r="4" spans="1:67" x14ac:dyDescent="0.35">
      <c r="A4" t="s">
        <v>88</v>
      </c>
      <c r="B4" t="s">
        <v>11</v>
      </c>
      <c r="C4" t="s">
        <v>42</v>
      </c>
      <c r="D4" t="s">
        <v>70</v>
      </c>
      <c r="E4" s="1">
        <v>11.28</v>
      </c>
      <c r="F4" s="1">
        <v>12.45</v>
      </c>
      <c r="G4">
        <v>25</v>
      </c>
      <c r="H4">
        <v>88.4</v>
      </c>
      <c r="I4">
        <v>7.3</v>
      </c>
      <c r="J4">
        <v>8.65</v>
      </c>
      <c r="K4">
        <v>228.3</v>
      </c>
      <c r="L4">
        <v>8.8000000000000007</v>
      </c>
      <c r="M4" t="s">
        <v>46</v>
      </c>
      <c r="N4" t="s">
        <v>45</v>
      </c>
      <c r="O4">
        <v>8.49</v>
      </c>
      <c r="P4" t="s">
        <v>209</v>
      </c>
      <c r="Q4" t="s">
        <v>209</v>
      </c>
      <c r="R4">
        <v>14.272444048388209</v>
      </c>
      <c r="S4">
        <v>483.68041721035127</v>
      </c>
      <c r="T4">
        <v>247.4617147763864</v>
      </c>
      <c r="U4">
        <v>12.203445979793864</v>
      </c>
      <c r="V4">
        <v>1214.399805</v>
      </c>
      <c r="W4">
        <v>25948.338680000001</v>
      </c>
      <c r="X4">
        <v>0.41236499999999998</v>
      </c>
      <c r="Y4">
        <v>10.045579999999999</v>
      </c>
      <c r="Z4">
        <v>44.272959999999998</v>
      </c>
      <c r="AA4">
        <v>17.441474999999997</v>
      </c>
      <c r="AB4">
        <v>36.730184999999999</v>
      </c>
      <c r="AC4">
        <v>106.54972000000001</v>
      </c>
      <c r="AD4">
        <v>1.1345800000000001</v>
      </c>
      <c r="AE4">
        <v>78.850654999999989</v>
      </c>
      <c r="AF4">
        <v>2.7850000000000001</v>
      </c>
      <c r="AG4">
        <v>2.8905364968598701</v>
      </c>
      <c r="AH4">
        <v>1.9875864751916299</v>
      </c>
      <c r="AI4">
        <v>0.45810803894074598</v>
      </c>
      <c r="AJ4">
        <v>0.11035015538078</v>
      </c>
      <c r="AK4">
        <v>2.1620846296293701E-2</v>
      </c>
      <c r="AL4">
        <v>1.68161575956913E-2</v>
      </c>
      <c r="AM4">
        <v>1.2857185818616199</v>
      </c>
      <c r="AN4">
        <v>0.99256402266516797</v>
      </c>
      <c r="AO4">
        <v>1.3760047190268401</v>
      </c>
      <c r="AP4">
        <v>3.0325658720373001</v>
      </c>
      <c r="AQ4">
        <v>0.75201892994873998</v>
      </c>
      <c r="AR4">
        <v>0.23966477671354999</v>
      </c>
      <c r="AS4">
        <v>0.121883668199887</v>
      </c>
      <c r="AT4">
        <v>0.119878816842869</v>
      </c>
      <c r="AU4">
        <v>5.5794800991056603E-2</v>
      </c>
      <c r="AV4">
        <v>1.60666279426552E-2</v>
      </c>
      <c r="AW4">
        <v>0.131904635919324</v>
      </c>
      <c r="AX4">
        <v>0.126780744561339</v>
      </c>
      <c r="AY4" t="s">
        <v>31</v>
      </c>
      <c r="AZ4">
        <v>0.134618176857943</v>
      </c>
      <c r="BA4">
        <v>9.075950404130545E-2</v>
      </c>
      <c r="BB4">
        <v>6.730982930009978E-2</v>
      </c>
      <c r="BC4">
        <v>9.9639695690282859E-2</v>
      </c>
      <c r="BD4">
        <v>1.0790831602627357E-2</v>
      </c>
      <c r="BE4">
        <v>1.5561610263245079E-2</v>
      </c>
      <c r="BF4">
        <v>7.5151657626444435E-2</v>
      </c>
      <c r="BG4">
        <v>0.11605602815137467</v>
      </c>
      <c r="BH4">
        <v>0.47526915667537961</v>
      </c>
      <c r="BI4">
        <v>19.096443092623492</v>
      </c>
      <c r="BJ4">
        <v>14.162465279873826</v>
      </c>
      <c r="BK4">
        <v>20.964898371963827</v>
      </c>
      <c r="BL4">
        <v>2.2704674711297868</v>
      </c>
      <c r="BM4">
        <v>3.2742731239077729</v>
      </c>
      <c r="BN4">
        <v>15.812441554623089</v>
      </c>
      <c r="BO4">
        <v>24.419011105878212</v>
      </c>
    </row>
    <row r="5" spans="1:67" x14ac:dyDescent="0.35">
      <c r="A5" t="s">
        <v>89</v>
      </c>
      <c r="B5" t="s">
        <v>66</v>
      </c>
      <c r="C5" t="s">
        <v>67</v>
      </c>
      <c r="D5" t="s">
        <v>71</v>
      </c>
      <c r="E5" s="1">
        <v>9.1999999999999993</v>
      </c>
      <c r="F5" s="1">
        <v>10.3</v>
      </c>
      <c r="G5">
        <v>24.7</v>
      </c>
      <c r="H5">
        <v>95.5</v>
      </c>
      <c r="L5">
        <v>2.5</v>
      </c>
      <c r="M5" t="s">
        <v>46</v>
      </c>
      <c r="N5" t="s">
        <v>77</v>
      </c>
      <c r="O5">
        <v>8.4700000000000006</v>
      </c>
      <c r="P5" t="s">
        <v>209</v>
      </c>
      <c r="Q5" t="s">
        <v>209</v>
      </c>
      <c r="R5">
        <v>11.105963802742538</v>
      </c>
      <c r="S5">
        <v>349.50187510738766</v>
      </c>
      <c r="T5">
        <v>154.26224357580398</v>
      </c>
      <c r="U5">
        <v>6.5129684331604309</v>
      </c>
      <c r="V5">
        <v>977.21013500000004</v>
      </c>
      <c r="W5">
        <v>23667.102175</v>
      </c>
      <c r="X5">
        <v>0.34913</v>
      </c>
      <c r="Y5">
        <v>7.1194249999999997</v>
      </c>
      <c r="Z5">
        <v>12.855995</v>
      </c>
      <c r="AA5">
        <v>3.6722299999999999</v>
      </c>
      <c r="AB5">
        <v>27.063825000000001</v>
      </c>
      <c r="AC5">
        <v>91.942084999999992</v>
      </c>
      <c r="AD5">
        <v>0.70595999999999992</v>
      </c>
      <c r="AE5">
        <v>53.014785000000003</v>
      </c>
      <c r="AF5">
        <v>2.2690000000000001</v>
      </c>
      <c r="AG5">
        <v>2.1762986860025899</v>
      </c>
      <c r="AH5">
        <v>1.3647001187228001</v>
      </c>
      <c r="AI5">
        <v>0.29302172826226203</v>
      </c>
      <c r="AJ5">
        <v>8.0565156459535603E-2</v>
      </c>
      <c r="AK5">
        <v>2.6752190410289801E-2</v>
      </c>
      <c r="AL5">
        <v>1.6297522855873901E-2</v>
      </c>
      <c r="AM5">
        <v>1.64148813576584</v>
      </c>
      <c r="AN5">
        <v>0.60812421921279103</v>
      </c>
      <c r="AO5">
        <v>1.5498438311012299</v>
      </c>
      <c r="AP5">
        <v>3.2021905828271602</v>
      </c>
      <c r="AQ5">
        <v>0.76202887986883805</v>
      </c>
      <c r="AR5">
        <v>0.169395869358866</v>
      </c>
      <c r="AS5">
        <v>4.17796100161172E-2</v>
      </c>
      <c r="AT5">
        <v>8.2216389132537496E-2</v>
      </c>
      <c r="AU5">
        <v>4.2639602375306E-2</v>
      </c>
      <c r="AV5">
        <v>1.05139037327278E-2</v>
      </c>
      <c r="AW5">
        <v>9.9945088381935707E-2</v>
      </c>
      <c r="AX5">
        <v>7.7852127541559193E-2</v>
      </c>
      <c r="AY5" t="s">
        <v>31</v>
      </c>
      <c r="AZ5">
        <v>6.8658109721587104E-2</v>
      </c>
      <c r="BA5">
        <v>5.8816905793324187E-2</v>
      </c>
      <c r="BB5">
        <v>3.812722718711517E-2</v>
      </c>
      <c r="BC5">
        <v>6.1890640725397655E-2</v>
      </c>
      <c r="BD5">
        <v>9.6477979368313274E-3</v>
      </c>
      <c r="BE5">
        <v>7.5027487608367392E-3</v>
      </c>
      <c r="BF5">
        <v>6.5927325596186304E-2</v>
      </c>
      <c r="BG5">
        <v>7.5172654191082433E-2</v>
      </c>
      <c r="BH5">
        <v>0.3170853001907738</v>
      </c>
      <c r="BI5">
        <v>18.549237620897941</v>
      </c>
      <c r="BJ5">
        <v>12.024280899863852</v>
      </c>
      <c r="BK5">
        <v>19.518609247467879</v>
      </c>
      <c r="BL5">
        <v>3.0426506466956202</v>
      </c>
      <c r="BM5">
        <v>2.3661610160807593</v>
      </c>
      <c r="BN5">
        <v>20.791668852678207</v>
      </c>
      <c r="BO5">
        <v>23.707391716315747</v>
      </c>
    </row>
    <row r="6" spans="1:67" x14ac:dyDescent="0.35">
      <c r="A6" t="s">
        <v>106</v>
      </c>
      <c r="B6" t="s">
        <v>113</v>
      </c>
      <c r="C6" t="s">
        <v>114</v>
      </c>
      <c r="D6" t="s">
        <v>115</v>
      </c>
      <c r="E6" s="1">
        <v>16.3</v>
      </c>
      <c r="F6" s="1">
        <v>18.3</v>
      </c>
      <c r="G6">
        <v>16</v>
      </c>
      <c r="M6" t="s">
        <v>116</v>
      </c>
      <c r="N6" t="s">
        <v>117</v>
      </c>
      <c r="R6">
        <v>12.618307944649743</v>
      </c>
      <c r="S6">
        <v>1038.6948866828891</v>
      </c>
    </row>
    <row r="7" spans="1:67" x14ac:dyDescent="0.35">
      <c r="A7" t="s">
        <v>112</v>
      </c>
      <c r="B7" t="s">
        <v>113</v>
      </c>
      <c r="C7" t="s">
        <v>118</v>
      </c>
      <c r="D7" t="s">
        <v>119</v>
      </c>
      <c r="E7" s="1">
        <v>8</v>
      </c>
      <c r="F7" s="1">
        <v>13.3</v>
      </c>
      <c r="G7">
        <v>15.5</v>
      </c>
      <c r="H7">
        <v>65.599999999999994</v>
      </c>
      <c r="I7">
        <v>6.56</v>
      </c>
      <c r="J7">
        <v>7.95</v>
      </c>
      <c r="K7">
        <v>287.10000000000002</v>
      </c>
      <c r="M7" t="s">
        <v>116</v>
      </c>
      <c r="N7" t="s">
        <v>135</v>
      </c>
      <c r="R7">
        <v>19.410673976313994</v>
      </c>
      <c r="S7">
        <v>497.82735437242388</v>
      </c>
    </row>
    <row r="8" spans="1:67" x14ac:dyDescent="0.35">
      <c r="A8" t="s">
        <v>126</v>
      </c>
      <c r="B8" t="s">
        <v>132</v>
      </c>
      <c r="C8" t="s">
        <v>154</v>
      </c>
      <c r="D8" t="s">
        <v>137</v>
      </c>
      <c r="E8" s="1">
        <v>18.2</v>
      </c>
      <c r="F8" s="1">
        <v>19.3</v>
      </c>
      <c r="G8">
        <v>16.899999999999999</v>
      </c>
      <c r="H8">
        <v>82.5</v>
      </c>
      <c r="I8">
        <v>7.99</v>
      </c>
      <c r="J8">
        <v>8.5</v>
      </c>
      <c r="K8">
        <v>253.6</v>
      </c>
      <c r="M8" t="s">
        <v>133</v>
      </c>
      <c r="N8" t="s">
        <v>134</v>
      </c>
    </row>
  </sheetData>
  <phoneticPr fontId="1"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37BC-78DE-4393-BD94-8F05FF676FE1}">
  <sheetPr filterMode="1"/>
  <dimension ref="A1:L160"/>
  <sheetViews>
    <sheetView zoomScale="85" zoomScaleNormal="85" workbookViewId="0">
      <selection activeCell="C135" sqref="C135:C142"/>
    </sheetView>
  </sheetViews>
  <sheetFormatPr defaultRowHeight="14.5" x14ac:dyDescent="0.35"/>
  <sheetData>
    <row r="1" spans="1:12" x14ac:dyDescent="0.35">
      <c r="A1" t="s">
        <v>12</v>
      </c>
      <c r="B1" t="s">
        <v>48</v>
      </c>
      <c r="C1" t="s">
        <v>13</v>
      </c>
      <c r="D1" t="s">
        <v>27</v>
      </c>
      <c r="E1" t="s">
        <v>17</v>
      </c>
      <c r="F1" t="s">
        <v>28</v>
      </c>
      <c r="G1" t="s">
        <v>14</v>
      </c>
      <c r="H1" t="s">
        <v>15</v>
      </c>
      <c r="I1" t="s">
        <v>16</v>
      </c>
      <c r="J1" t="s">
        <v>19</v>
      </c>
      <c r="K1" t="s">
        <v>18</v>
      </c>
      <c r="L1" t="s">
        <v>36</v>
      </c>
    </row>
    <row r="2" spans="1:12" hidden="1" x14ac:dyDescent="0.35">
      <c r="A2">
        <v>142</v>
      </c>
      <c r="B2" t="s">
        <v>89</v>
      </c>
      <c r="C2" t="s">
        <v>63</v>
      </c>
      <c r="D2" t="s">
        <v>30</v>
      </c>
      <c r="E2">
        <v>0.2</v>
      </c>
      <c r="F2">
        <v>0</v>
      </c>
      <c r="G2" s="1">
        <v>11.54</v>
      </c>
      <c r="H2" s="1">
        <v>13.25</v>
      </c>
      <c r="I2">
        <v>91</v>
      </c>
      <c r="J2">
        <v>23.3</v>
      </c>
      <c r="K2" t="s">
        <v>31</v>
      </c>
      <c r="L2" s="2" t="s">
        <v>49</v>
      </c>
    </row>
    <row r="3" spans="1:12" hidden="1" x14ac:dyDescent="0.35">
      <c r="A3">
        <v>146</v>
      </c>
      <c r="B3" t="s">
        <v>89</v>
      </c>
      <c r="C3" t="s">
        <v>64</v>
      </c>
      <c r="D3" t="s">
        <v>29</v>
      </c>
      <c r="E3">
        <v>6</v>
      </c>
      <c r="F3">
        <v>0</v>
      </c>
      <c r="G3" s="1">
        <v>12.07</v>
      </c>
      <c r="H3" s="1">
        <v>13.25</v>
      </c>
      <c r="I3">
        <v>88</v>
      </c>
      <c r="J3">
        <v>23.3</v>
      </c>
      <c r="K3" t="s">
        <v>31</v>
      </c>
      <c r="L3" s="2" t="s">
        <v>49</v>
      </c>
    </row>
    <row r="4" spans="1:12" hidden="1" x14ac:dyDescent="0.35">
      <c r="A4">
        <v>134</v>
      </c>
      <c r="B4" t="s">
        <v>89</v>
      </c>
      <c r="C4" t="s">
        <v>62</v>
      </c>
      <c r="D4" t="s">
        <v>29</v>
      </c>
      <c r="E4">
        <v>6</v>
      </c>
      <c r="F4">
        <v>1</v>
      </c>
      <c r="G4" s="1">
        <v>11.08</v>
      </c>
      <c r="H4" s="1">
        <v>11.38</v>
      </c>
      <c r="I4">
        <v>30</v>
      </c>
      <c r="J4">
        <v>23.3</v>
      </c>
      <c r="K4">
        <v>524</v>
      </c>
      <c r="L4" s="2" t="s">
        <v>73</v>
      </c>
    </row>
    <row r="5" spans="1:12" hidden="1" x14ac:dyDescent="0.35">
      <c r="A5">
        <v>135</v>
      </c>
      <c r="B5" t="s">
        <v>89</v>
      </c>
      <c r="C5" t="s">
        <v>62</v>
      </c>
      <c r="D5" t="s">
        <v>29</v>
      </c>
      <c r="E5">
        <v>6</v>
      </c>
      <c r="F5">
        <v>1</v>
      </c>
      <c r="G5" s="1">
        <v>11.12</v>
      </c>
      <c r="H5" s="1">
        <v>11.46</v>
      </c>
      <c r="I5">
        <v>34</v>
      </c>
      <c r="J5">
        <v>23.3</v>
      </c>
      <c r="K5">
        <v>614</v>
      </c>
      <c r="L5" s="2" t="s">
        <v>49</v>
      </c>
    </row>
    <row r="6" spans="1:12" hidden="1" x14ac:dyDescent="0.35">
      <c r="A6">
        <v>136</v>
      </c>
      <c r="B6" t="s">
        <v>89</v>
      </c>
      <c r="C6" t="s">
        <v>62</v>
      </c>
      <c r="D6" t="s">
        <v>29</v>
      </c>
      <c r="E6">
        <v>5</v>
      </c>
      <c r="F6">
        <v>1</v>
      </c>
      <c r="G6" s="1">
        <v>11.16</v>
      </c>
      <c r="H6" s="1">
        <v>11.49</v>
      </c>
      <c r="I6">
        <v>33</v>
      </c>
      <c r="J6">
        <v>23.3</v>
      </c>
      <c r="K6">
        <v>216</v>
      </c>
      <c r="L6" s="2" t="s">
        <v>49</v>
      </c>
    </row>
    <row r="7" spans="1:12" hidden="1" x14ac:dyDescent="0.35">
      <c r="A7">
        <v>137</v>
      </c>
      <c r="B7" t="s">
        <v>89</v>
      </c>
      <c r="C7" t="s">
        <v>62</v>
      </c>
      <c r="D7" t="s">
        <v>29</v>
      </c>
      <c r="E7">
        <v>4</v>
      </c>
      <c r="F7">
        <v>1</v>
      </c>
      <c r="G7" s="1">
        <v>11.18</v>
      </c>
      <c r="H7" s="1">
        <v>11.5</v>
      </c>
      <c r="I7">
        <v>32</v>
      </c>
      <c r="J7">
        <v>23.3</v>
      </c>
      <c r="K7">
        <v>154</v>
      </c>
      <c r="L7" s="2" t="s">
        <v>49</v>
      </c>
    </row>
    <row r="8" spans="1:12" x14ac:dyDescent="0.35">
      <c r="A8">
        <v>141</v>
      </c>
      <c r="B8" t="s">
        <v>89</v>
      </c>
      <c r="C8" t="s">
        <v>25</v>
      </c>
      <c r="D8" t="s">
        <v>25</v>
      </c>
      <c r="E8">
        <v>0.2</v>
      </c>
      <c r="F8">
        <v>6</v>
      </c>
      <c r="G8" s="1">
        <v>11.42</v>
      </c>
      <c r="H8" s="1">
        <v>13.4</v>
      </c>
      <c r="I8">
        <v>118</v>
      </c>
      <c r="J8">
        <v>23.3</v>
      </c>
      <c r="K8" t="s">
        <v>31</v>
      </c>
      <c r="L8" s="2" t="s">
        <v>93</v>
      </c>
    </row>
    <row r="9" spans="1:12" x14ac:dyDescent="0.35">
      <c r="A9">
        <v>143</v>
      </c>
      <c r="B9" t="s">
        <v>89</v>
      </c>
      <c r="C9" t="s">
        <v>25</v>
      </c>
      <c r="D9" t="s">
        <v>30</v>
      </c>
      <c r="E9">
        <v>0.2</v>
      </c>
      <c r="F9">
        <v>5</v>
      </c>
      <c r="G9" s="1">
        <v>11.55</v>
      </c>
      <c r="H9" s="1">
        <v>13.34</v>
      </c>
      <c r="I9">
        <v>99</v>
      </c>
      <c r="J9">
        <v>23.3</v>
      </c>
      <c r="K9" t="s">
        <v>31</v>
      </c>
      <c r="L9" s="2" t="s">
        <v>93</v>
      </c>
    </row>
    <row r="10" spans="1:12" x14ac:dyDescent="0.35">
      <c r="A10">
        <v>144</v>
      </c>
      <c r="B10" t="s">
        <v>89</v>
      </c>
      <c r="C10" t="s">
        <v>25</v>
      </c>
      <c r="D10" t="s">
        <v>30</v>
      </c>
      <c r="E10">
        <v>0.2</v>
      </c>
      <c r="F10">
        <v>5</v>
      </c>
      <c r="G10" s="1">
        <v>11.58</v>
      </c>
      <c r="H10" s="1">
        <v>13.3</v>
      </c>
      <c r="I10">
        <v>92</v>
      </c>
      <c r="J10">
        <v>23.3</v>
      </c>
      <c r="K10" t="s">
        <v>31</v>
      </c>
      <c r="L10" s="2" t="s">
        <v>93</v>
      </c>
    </row>
    <row r="11" spans="1:12" x14ac:dyDescent="0.35">
      <c r="A11">
        <v>145</v>
      </c>
      <c r="B11" t="s">
        <v>89</v>
      </c>
      <c r="C11" t="s">
        <v>25</v>
      </c>
      <c r="D11" t="s">
        <v>30</v>
      </c>
      <c r="E11">
        <v>0.2</v>
      </c>
      <c r="F11">
        <v>9</v>
      </c>
      <c r="G11" s="1">
        <v>12.04</v>
      </c>
      <c r="H11" s="1">
        <v>13.34</v>
      </c>
      <c r="I11">
        <v>90</v>
      </c>
      <c r="J11">
        <v>23.3</v>
      </c>
      <c r="K11" t="s">
        <v>31</v>
      </c>
      <c r="L11" s="2" t="s">
        <v>93</v>
      </c>
    </row>
    <row r="12" spans="1:12" hidden="1" x14ac:dyDescent="0.35">
      <c r="A12">
        <v>140</v>
      </c>
      <c r="B12" t="s">
        <v>89</v>
      </c>
      <c r="C12" t="s">
        <v>24</v>
      </c>
      <c r="D12" t="s">
        <v>29</v>
      </c>
      <c r="E12">
        <v>2</v>
      </c>
      <c r="F12">
        <v>2</v>
      </c>
      <c r="G12" s="1">
        <v>11.23</v>
      </c>
      <c r="H12" s="1">
        <v>11.54</v>
      </c>
      <c r="I12">
        <v>31</v>
      </c>
      <c r="J12">
        <v>23.3</v>
      </c>
      <c r="K12">
        <v>50</v>
      </c>
      <c r="L12" s="2" t="s">
        <v>49</v>
      </c>
    </row>
    <row r="13" spans="1:12" hidden="1" x14ac:dyDescent="0.35">
      <c r="A13">
        <v>132</v>
      </c>
      <c r="B13" t="s">
        <v>89</v>
      </c>
      <c r="C13" t="s">
        <v>20</v>
      </c>
      <c r="D13" t="s">
        <v>65</v>
      </c>
      <c r="E13">
        <v>0.5</v>
      </c>
      <c r="F13">
        <v>1</v>
      </c>
      <c r="G13" s="1">
        <v>11.01</v>
      </c>
      <c r="H13" s="1">
        <v>11.34</v>
      </c>
      <c r="I13">
        <v>33</v>
      </c>
      <c r="J13">
        <v>23.3</v>
      </c>
      <c r="K13">
        <v>41</v>
      </c>
      <c r="L13" s="2" t="s">
        <v>73</v>
      </c>
    </row>
    <row r="14" spans="1:12" hidden="1" x14ac:dyDescent="0.35">
      <c r="A14">
        <v>133</v>
      </c>
      <c r="B14" t="s">
        <v>89</v>
      </c>
      <c r="C14" t="s">
        <v>20</v>
      </c>
      <c r="D14" t="s">
        <v>65</v>
      </c>
      <c r="E14">
        <v>0.7</v>
      </c>
      <c r="F14">
        <v>1</v>
      </c>
      <c r="G14" s="1">
        <v>11.03</v>
      </c>
      <c r="H14" s="1">
        <v>11.36</v>
      </c>
      <c r="I14">
        <v>33</v>
      </c>
      <c r="J14">
        <v>23.3</v>
      </c>
      <c r="K14">
        <v>56</v>
      </c>
      <c r="L14" s="2" t="s">
        <v>49</v>
      </c>
    </row>
    <row r="15" spans="1:12" hidden="1" x14ac:dyDescent="0.35">
      <c r="A15">
        <v>138</v>
      </c>
      <c r="B15" t="s">
        <v>89</v>
      </c>
      <c r="C15" t="s">
        <v>20</v>
      </c>
      <c r="D15" t="s">
        <v>65</v>
      </c>
      <c r="E15">
        <v>0.5</v>
      </c>
      <c r="F15">
        <v>1</v>
      </c>
      <c r="G15" s="1">
        <v>11.27</v>
      </c>
      <c r="H15" s="1">
        <v>11.57</v>
      </c>
      <c r="I15">
        <v>30</v>
      </c>
      <c r="J15">
        <v>23.3</v>
      </c>
      <c r="K15">
        <v>41</v>
      </c>
      <c r="L15" s="2" t="s">
        <v>49</v>
      </c>
    </row>
    <row r="16" spans="1:12" hidden="1" x14ac:dyDescent="0.35">
      <c r="A16">
        <v>139</v>
      </c>
      <c r="B16" t="s">
        <v>89</v>
      </c>
      <c r="C16" t="s">
        <v>20</v>
      </c>
      <c r="D16" t="s">
        <v>29</v>
      </c>
      <c r="E16">
        <v>3</v>
      </c>
      <c r="F16">
        <v>2</v>
      </c>
      <c r="G16" s="1">
        <v>11.21</v>
      </c>
      <c r="H16" s="1">
        <v>11.51</v>
      </c>
      <c r="I16">
        <v>30</v>
      </c>
      <c r="J16">
        <v>23.3</v>
      </c>
      <c r="K16">
        <v>149</v>
      </c>
      <c r="L16" s="2" t="s">
        <v>73</v>
      </c>
    </row>
    <row r="17" spans="1:12" hidden="1" x14ac:dyDescent="0.35">
      <c r="A17">
        <v>129</v>
      </c>
      <c r="B17" t="s">
        <v>88</v>
      </c>
      <c r="C17" t="s">
        <v>33</v>
      </c>
      <c r="D17" t="s">
        <v>30</v>
      </c>
      <c r="E17">
        <v>0.3</v>
      </c>
      <c r="F17">
        <v>0</v>
      </c>
      <c r="G17" s="1">
        <v>12.47</v>
      </c>
      <c r="H17" s="1">
        <v>13.47</v>
      </c>
      <c r="I17">
        <v>90</v>
      </c>
      <c r="J17">
        <v>25</v>
      </c>
      <c r="K17" t="s">
        <v>31</v>
      </c>
      <c r="L17" s="2" t="s">
        <v>49</v>
      </c>
    </row>
    <row r="18" spans="1:12" hidden="1" x14ac:dyDescent="0.35">
      <c r="A18">
        <v>131</v>
      </c>
      <c r="B18" t="s">
        <v>88</v>
      </c>
      <c r="C18" t="s">
        <v>35</v>
      </c>
      <c r="D18" t="s">
        <v>29</v>
      </c>
      <c r="E18">
        <v>2</v>
      </c>
      <c r="F18">
        <v>0</v>
      </c>
      <c r="G18" s="1">
        <v>12.56</v>
      </c>
      <c r="H18" s="1">
        <v>12.56</v>
      </c>
      <c r="I18">
        <v>30</v>
      </c>
      <c r="J18">
        <v>25</v>
      </c>
      <c r="K18" t="s">
        <v>31</v>
      </c>
      <c r="L18" s="2" t="s">
        <v>49</v>
      </c>
    </row>
    <row r="19" spans="1:12" x14ac:dyDescent="0.35">
      <c r="A19">
        <v>126</v>
      </c>
      <c r="B19" t="s">
        <v>88</v>
      </c>
      <c r="C19" t="s">
        <v>25</v>
      </c>
      <c r="D19" t="s">
        <v>30</v>
      </c>
      <c r="E19">
        <v>0.3</v>
      </c>
      <c r="F19">
        <v>10</v>
      </c>
      <c r="G19" s="1">
        <v>12.34</v>
      </c>
      <c r="H19" s="1">
        <v>13.42</v>
      </c>
      <c r="I19">
        <v>68</v>
      </c>
      <c r="J19">
        <v>25</v>
      </c>
      <c r="K19" t="s">
        <v>31</v>
      </c>
      <c r="L19" s="2" t="s">
        <v>49</v>
      </c>
    </row>
    <row r="20" spans="1:12" x14ac:dyDescent="0.35">
      <c r="A20">
        <v>127</v>
      </c>
      <c r="B20" t="s">
        <v>88</v>
      </c>
      <c r="C20" t="s">
        <v>25</v>
      </c>
      <c r="D20" t="s">
        <v>30</v>
      </c>
      <c r="E20">
        <v>0.3</v>
      </c>
      <c r="F20">
        <v>10</v>
      </c>
      <c r="G20" s="1">
        <v>12.39</v>
      </c>
      <c r="H20" s="1">
        <v>14.08</v>
      </c>
      <c r="I20">
        <v>89</v>
      </c>
      <c r="J20">
        <v>25</v>
      </c>
      <c r="K20" t="s">
        <v>31</v>
      </c>
      <c r="L20" s="2" t="s">
        <v>49</v>
      </c>
    </row>
    <row r="21" spans="1:12" x14ac:dyDescent="0.35">
      <c r="A21">
        <v>128</v>
      </c>
      <c r="B21" t="s">
        <v>88</v>
      </c>
      <c r="C21" t="s">
        <v>25</v>
      </c>
      <c r="D21" t="s">
        <v>30</v>
      </c>
      <c r="E21">
        <v>0.3</v>
      </c>
      <c r="F21">
        <v>10</v>
      </c>
      <c r="G21" s="1">
        <v>12.47</v>
      </c>
      <c r="H21" s="1">
        <v>14.15</v>
      </c>
      <c r="I21">
        <v>88</v>
      </c>
      <c r="J21">
        <v>25</v>
      </c>
      <c r="K21" t="s">
        <v>31</v>
      </c>
      <c r="L21" s="2" t="s">
        <v>61</v>
      </c>
    </row>
    <row r="22" spans="1:12" hidden="1" x14ac:dyDescent="0.35">
      <c r="A22">
        <v>125</v>
      </c>
      <c r="B22" t="s">
        <v>88</v>
      </c>
      <c r="C22" t="s">
        <v>20</v>
      </c>
      <c r="D22" t="s">
        <v>29</v>
      </c>
      <c r="E22">
        <v>2</v>
      </c>
      <c r="F22">
        <v>1</v>
      </c>
      <c r="G22" s="1">
        <v>12.25</v>
      </c>
      <c r="H22" s="1">
        <v>13.04</v>
      </c>
      <c r="I22">
        <v>39</v>
      </c>
      <c r="J22">
        <v>25</v>
      </c>
      <c r="K22">
        <v>40</v>
      </c>
      <c r="L22" s="2" t="s">
        <v>60</v>
      </c>
    </row>
    <row r="23" spans="1:12" hidden="1" x14ac:dyDescent="0.35">
      <c r="A23">
        <v>130</v>
      </c>
      <c r="B23" t="s">
        <v>88</v>
      </c>
      <c r="C23" t="s">
        <v>26</v>
      </c>
      <c r="D23" t="s">
        <v>29</v>
      </c>
      <c r="E23">
        <v>3</v>
      </c>
      <c r="F23">
        <v>1</v>
      </c>
      <c r="G23" s="1">
        <v>12.56</v>
      </c>
      <c r="H23" s="1">
        <v>13.32</v>
      </c>
      <c r="I23">
        <v>36</v>
      </c>
      <c r="J23">
        <v>25</v>
      </c>
      <c r="K23">
        <v>48</v>
      </c>
      <c r="L23" s="2" t="s">
        <v>49</v>
      </c>
    </row>
    <row r="24" spans="1:12" hidden="1" x14ac:dyDescent="0.35">
      <c r="A24">
        <v>123</v>
      </c>
      <c r="B24" t="s">
        <v>87</v>
      </c>
      <c r="C24" t="s">
        <v>32</v>
      </c>
      <c r="D24" t="s">
        <v>29</v>
      </c>
      <c r="E24">
        <v>5</v>
      </c>
      <c r="F24">
        <v>0</v>
      </c>
      <c r="G24" s="1">
        <v>11.4</v>
      </c>
      <c r="H24" s="1">
        <v>12.1</v>
      </c>
      <c r="I24">
        <v>30</v>
      </c>
      <c r="J24">
        <v>26</v>
      </c>
      <c r="K24" t="s">
        <v>31</v>
      </c>
      <c r="L24" s="2" t="s">
        <v>49</v>
      </c>
    </row>
    <row r="25" spans="1:12" hidden="1" x14ac:dyDescent="0.35">
      <c r="A25">
        <v>124</v>
      </c>
      <c r="B25" t="s">
        <v>87</v>
      </c>
      <c r="C25" t="s">
        <v>34</v>
      </c>
      <c r="D25" t="s">
        <v>29</v>
      </c>
      <c r="E25">
        <v>4</v>
      </c>
      <c r="F25">
        <v>0</v>
      </c>
      <c r="G25" s="1">
        <v>11.43</v>
      </c>
      <c r="H25" s="1">
        <v>12.1</v>
      </c>
      <c r="I25">
        <v>27</v>
      </c>
      <c r="J25">
        <v>26</v>
      </c>
      <c r="K25" t="s">
        <v>31</v>
      </c>
      <c r="L25" s="2" t="s">
        <v>49</v>
      </c>
    </row>
    <row r="26" spans="1:12" hidden="1" x14ac:dyDescent="0.35">
      <c r="A26">
        <v>108</v>
      </c>
      <c r="B26" t="s">
        <v>87</v>
      </c>
      <c r="C26" t="s">
        <v>21</v>
      </c>
      <c r="D26" t="s">
        <v>29</v>
      </c>
      <c r="E26">
        <v>5</v>
      </c>
      <c r="F26">
        <v>1</v>
      </c>
      <c r="G26" s="1">
        <v>10.220000000000001</v>
      </c>
      <c r="H26" s="1">
        <v>10.43</v>
      </c>
      <c r="I26">
        <v>21</v>
      </c>
      <c r="J26">
        <v>26</v>
      </c>
      <c r="K26">
        <v>605</v>
      </c>
      <c r="L26" s="2" t="s">
        <v>49</v>
      </c>
    </row>
    <row r="27" spans="1:12" hidden="1" x14ac:dyDescent="0.35">
      <c r="A27">
        <v>109</v>
      </c>
      <c r="B27" t="s">
        <v>87</v>
      </c>
      <c r="C27" t="s">
        <v>21</v>
      </c>
      <c r="D27" t="s">
        <v>29</v>
      </c>
      <c r="E27">
        <v>5</v>
      </c>
      <c r="F27">
        <v>1</v>
      </c>
      <c r="G27" s="1">
        <v>10.23</v>
      </c>
      <c r="H27" s="1">
        <v>10.44</v>
      </c>
      <c r="I27">
        <v>21</v>
      </c>
      <c r="J27">
        <v>26</v>
      </c>
      <c r="K27">
        <v>927</v>
      </c>
      <c r="L27" s="2" t="s">
        <v>49</v>
      </c>
    </row>
    <row r="28" spans="1:12" hidden="1" x14ac:dyDescent="0.35">
      <c r="A28">
        <v>110</v>
      </c>
      <c r="B28" t="s">
        <v>87</v>
      </c>
      <c r="C28" t="s">
        <v>21</v>
      </c>
      <c r="D28" t="s">
        <v>29</v>
      </c>
      <c r="E28">
        <v>5</v>
      </c>
      <c r="F28">
        <v>1</v>
      </c>
      <c r="G28" s="1">
        <v>10.26</v>
      </c>
      <c r="H28" s="1">
        <v>10.46</v>
      </c>
      <c r="I28">
        <v>20</v>
      </c>
      <c r="J28">
        <v>26</v>
      </c>
      <c r="K28">
        <v>633</v>
      </c>
      <c r="L28" s="2" t="s">
        <v>49</v>
      </c>
    </row>
    <row r="29" spans="1:12" hidden="1" x14ac:dyDescent="0.35">
      <c r="A29">
        <v>122</v>
      </c>
      <c r="B29" t="s">
        <v>87</v>
      </c>
      <c r="C29" t="s">
        <v>21</v>
      </c>
      <c r="D29" t="s">
        <v>29</v>
      </c>
      <c r="E29">
        <v>6</v>
      </c>
      <c r="F29">
        <v>1</v>
      </c>
      <c r="G29" s="1">
        <v>11.34</v>
      </c>
      <c r="H29" s="1">
        <v>12.04</v>
      </c>
      <c r="I29">
        <v>30</v>
      </c>
      <c r="J29">
        <v>26</v>
      </c>
      <c r="K29">
        <v>1070</v>
      </c>
      <c r="L29" s="2" t="s">
        <v>49</v>
      </c>
    </row>
    <row r="30" spans="1:12" hidden="1" x14ac:dyDescent="0.35">
      <c r="A30">
        <v>116</v>
      </c>
      <c r="B30" t="s">
        <v>87</v>
      </c>
      <c r="C30" t="s">
        <v>22</v>
      </c>
      <c r="D30" t="s">
        <v>29</v>
      </c>
      <c r="E30">
        <v>5</v>
      </c>
      <c r="F30">
        <v>1</v>
      </c>
      <c r="G30" s="1">
        <v>11.19</v>
      </c>
      <c r="H30" s="1">
        <v>11.49</v>
      </c>
      <c r="I30">
        <v>30</v>
      </c>
      <c r="J30">
        <v>26</v>
      </c>
      <c r="K30">
        <v>557</v>
      </c>
      <c r="L30" s="2" t="s">
        <v>49</v>
      </c>
    </row>
    <row r="31" spans="1:12" hidden="1" x14ac:dyDescent="0.35">
      <c r="A31">
        <v>117</v>
      </c>
      <c r="B31" t="s">
        <v>87</v>
      </c>
      <c r="C31" t="s">
        <v>22</v>
      </c>
      <c r="D31" t="s">
        <v>29</v>
      </c>
      <c r="E31">
        <v>5</v>
      </c>
      <c r="F31">
        <v>1</v>
      </c>
      <c r="G31" s="1">
        <v>11.21</v>
      </c>
      <c r="H31" s="1">
        <v>11.51</v>
      </c>
      <c r="I31">
        <v>30</v>
      </c>
      <c r="J31">
        <v>26</v>
      </c>
      <c r="K31">
        <v>392</v>
      </c>
      <c r="L31" s="2" t="s">
        <v>49</v>
      </c>
    </row>
    <row r="32" spans="1:12" hidden="1" x14ac:dyDescent="0.35">
      <c r="A32">
        <v>121</v>
      </c>
      <c r="B32" t="s">
        <v>87</v>
      </c>
      <c r="C32" t="s">
        <v>22</v>
      </c>
      <c r="D32" t="s">
        <v>29</v>
      </c>
      <c r="E32">
        <v>6</v>
      </c>
      <c r="F32">
        <v>1</v>
      </c>
      <c r="G32" s="1">
        <v>11.32</v>
      </c>
      <c r="H32" s="1">
        <v>12.02</v>
      </c>
      <c r="I32">
        <v>30</v>
      </c>
      <c r="J32">
        <v>26</v>
      </c>
      <c r="K32">
        <v>726</v>
      </c>
      <c r="L32" s="2" t="s">
        <v>49</v>
      </c>
    </row>
    <row r="33" spans="1:12" hidden="1" x14ac:dyDescent="0.35">
      <c r="A33">
        <v>120</v>
      </c>
      <c r="B33" t="s">
        <v>87</v>
      </c>
      <c r="C33" t="s">
        <v>24</v>
      </c>
      <c r="D33" t="s">
        <v>29</v>
      </c>
      <c r="E33">
        <v>6</v>
      </c>
      <c r="F33">
        <v>1</v>
      </c>
      <c r="G33" s="1">
        <v>11.29</v>
      </c>
      <c r="H33" s="1">
        <v>11.59</v>
      </c>
      <c r="I33">
        <v>30</v>
      </c>
      <c r="J33">
        <v>26</v>
      </c>
      <c r="K33">
        <v>723</v>
      </c>
      <c r="L33" s="2" t="s">
        <v>49</v>
      </c>
    </row>
    <row r="34" spans="1:12" hidden="1" x14ac:dyDescent="0.35">
      <c r="A34">
        <v>107</v>
      </c>
      <c r="B34" t="s">
        <v>87</v>
      </c>
      <c r="C34" t="s">
        <v>23</v>
      </c>
      <c r="D34" t="s">
        <v>29</v>
      </c>
      <c r="E34">
        <v>5</v>
      </c>
      <c r="F34">
        <v>1</v>
      </c>
      <c r="G34" s="1">
        <v>10.199999999999999</v>
      </c>
      <c r="H34" s="1">
        <v>10.42</v>
      </c>
      <c r="I34">
        <v>22</v>
      </c>
      <c r="J34">
        <v>26</v>
      </c>
      <c r="K34">
        <v>636</v>
      </c>
      <c r="L34" s="2" t="s">
        <v>49</v>
      </c>
    </row>
    <row r="35" spans="1:12" hidden="1" x14ac:dyDescent="0.35">
      <c r="A35">
        <v>111</v>
      </c>
      <c r="B35" t="s">
        <v>87</v>
      </c>
      <c r="C35" t="s">
        <v>23</v>
      </c>
      <c r="D35" t="s">
        <v>29</v>
      </c>
      <c r="E35">
        <v>4</v>
      </c>
      <c r="F35">
        <v>1</v>
      </c>
      <c r="G35" s="1">
        <v>10.28</v>
      </c>
      <c r="H35" s="1">
        <v>10.58</v>
      </c>
      <c r="I35">
        <v>30</v>
      </c>
      <c r="J35">
        <v>26</v>
      </c>
      <c r="K35">
        <v>341</v>
      </c>
      <c r="L35" s="2" t="s">
        <v>49</v>
      </c>
    </row>
    <row r="36" spans="1:12" hidden="1" x14ac:dyDescent="0.35">
      <c r="A36">
        <v>112</v>
      </c>
      <c r="B36" t="s">
        <v>87</v>
      </c>
      <c r="C36" t="s">
        <v>23</v>
      </c>
      <c r="D36" t="s">
        <v>29</v>
      </c>
      <c r="E36">
        <v>5</v>
      </c>
      <c r="F36">
        <v>1</v>
      </c>
      <c r="G36" s="1">
        <v>10.3</v>
      </c>
      <c r="H36" s="1">
        <v>11</v>
      </c>
      <c r="I36">
        <v>30</v>
      </c>
      <c r="J36">
        <v>26</v>
      </c>
      <c r="K36">
        <v>582</v>
      </c>
      <c r="L36" s="2" t="s">
        <v>49</v>
      </c>
    </row>
    <row r="37" spans="1:12" hidden="1" x14ac:dyDescent="0.35">
      <c r="A37">
        <v>113</v>
      </c>
      <c r="B37" t="s">
        <v>87</v>
      </c>
      <c r="C37" t="s">
        <v>23</v>
      </c>
      <c r="D37" t="s">
        <v>29</v>
      </c>
      <c r="E37">
        <v>5</v>
      </c>
      <c r="F37">
        <v>1</v>
      </c>
      <c r="G37" s="1">
        <v>10.33</v>
      </c>
      <c r="H37" s="1">
        <v>11.03</v>
      </c>
      <c r="I37">
        <v>30</v>
      </c>
      <c r="J37">
        <v>26</v>
      </c>
      <c r="K37">
        <v>444</v>
      </c>
      <c r="L37" s="2" t="s">
        <v>58</v>
      </c>
    </row>
    <row r="38" spans="1:12" hidden="1" x14ac:dyDescent="0.35">
      <c r="A38">
        <v>114</v>
      </c>
      <c r="B38" t="s">
        <v>87</v>
      </c>
      <c r="C38" t="s">
        <v>23</v>
      </c>
      <c r="D38" t="s">
        <v>29</v>
      </c>
      <c r="E38">
        <v>5</v>
      </c>
      <c r="F38">
        <v>1</v>
      </c>
      <c r="G38" s="1">
        <v>10.36</v>
      </c>
      <c r="H38" s="1">
        <v>11.06</v>
      </c>
      <c r="I38">
        <v>30</v>
      </c>
      <c r="J38">
        <v>26</v>
      </c>
      <c r="K38">
        <v>483</v>
      </c>
      <c r="L38" s="2" t="s">
        <v>49</v>
      </c>
    </row>
    <row r="39" spans="1:12" hidden="1" x14ac:dyDescent="0.35">
      <c r="A39">
        <v>115</v>
      </c>
      <c r="B39" t="s">
        <v>87</v>
      </c>
      <c r="C39" t="s">
        <v>23</v>
      </c>
      <c r="D39" t="s">
        <v>29</v>
      </c>
      <c r="E39">
        <v>5</v>
      </c>
      <c r="F39">
        <v>1</v>
      </c>
      <c r="G39" s="1">
        <v>10.38</v>
      </c>
      <c r="H39" s="1">
        <v>11.08</v>
      </c>
      <c r="I39">
        <v>30</v>
      </c>
      <c r="J39">
        <v>26</v>
      </c>
      <c r="K39">
        <v>504</v>
      </c>
      <c r="L39" s="2" t="s">
        <v>49</v>
      </c>
    </row>
    <row r="40" spans="1:12" hidden="1" x14ac:dyDescent="0.35">
      <c r="A40">
        <v>118</v>
      </c>
      <c r="B40" t="s">
        <v>87</v>
      </c>
      <c r="C40" t="s">
        <v>23</v>
      </c>
      <c r="D40" t="s">
        <v>29</v>
      </c>
      <c r="E40">
        <v>5</v>
      </c>
      <c r="F40">
        <v>1</v>
      </c>
      <c r="G40" s="1">
        <v>11.24</v>
      </c>
      <c r="H40" s="1">
        <v>11.54</v>
      </c>
      <c r="I40">
        <v>30</v>
      </c>
      <c r="J40">
        <v>26</v>
      </c>
      <c r="K40">
        <v>673</v>
      </c>
      <c r="L40" s="2" t="s">
        <v>59</v>
      </c>
    </row>
    <row r="41" spans="1:12" hidden="1" x14ac:dyDescent="0.35">
      <c r="A41">
        <v>119</v>
      </c>
      <c r="B41" t="s">
        <v>87</v>
      </c>
      <c r="C41" t="s">
        <v>23</v>
      </c>
      <c r="D41" t="s">
        <v>29</v>
      </c>
      <c r="E41">
        <v>5</v>
      </c>
      <c r="F41">
        <v>1</v>
      </c>
      <c r="G41" s="1">
        <v>11.26</v>
      </c>
      <c r="H41" s="1">
        <v>11.56</v>
      </c>
      <c r="I41">
        <v>30</v>
      </c>
      <c r="J41">
        <v>26</v>
      </c>
      <c r="K41">
        <v>408</v>
      </c>
      <c r="L41" s="2" t="s">
        <v>59</v>
      </c>
    </row>
    <row r="42" spans="1:12" hidden="1" x14ac:dyDescent="0.35">
      <c r="A42">
        <v>100</v>
      </c>
      <c r="B42" t="s">
        <v>82</v>
      </c>
      <c r="C42" t="s">
        <v>20</v>
      </c>
      <c r="D42" t="s">
        <v>29</v>
      </c>
      <c r="E42">
        <v>3</v>
      </c>
      <c r="F42">
        <v>1</v>
      </c>
      <c r="G42" s="1">
        <v>20.100000000000001</v>
      </c>
      <c r="H42" s="1">
        <v>20.399999999999999</v>
      </c>
      <c r="I42">
        <v>30</v>
      </c>
      <c r="J42">
        <v>26.7</v>
      </c>
      <c r="K42">
        <v>190</v>
      </c>
      <c r="L42" s="2" t="s">
        <v>49</v>
      </c>
    </row>
    <row r="43" spans="1:12" hidden="1" x14ac:dyDescent="0.35">
      <c r="A43">
        <v>101</v>
      </c>
      <c r="B43" t="s">
        <v>82</v>
      </c>
      <c r="C43" t="s">
        <v>20</v>
      </c>
      <c r="D43" t="s">
        <v>29</v>
      </c>
      <c r="E43">
        <v>3</v>
      </c>
      <c r="F43">
        <v>1</v>
      </c>
      <c r="G43" s="1">
        <v>20.149999999999999</v>
      </c>
      <c r="H43" s="1">
        <v>20.45</v>
      </c>
      <c r="I43">
        <v>30</v>
      </c>
      <c r="J43">
        <v>26.7</v>
      </c>
      <c r="K43">
        <v>150</v>
      </c>
      <c r="L43" s="2" t="s">
        <v>49</v>
      </c>
    </row>
    <row r="44" spans="1:12" hidden="1" x14ac:dyDescent="0.35">
      <c r="A44">
        <v>102</v>
      </c>
      <c r="B44" t="s">
        <v>82</v>
      </c>
      <c r="C44" t="s">
        <v>20</v>
      </c>
      <c r="D44" t="s">
        <v>29</v>
      </c>
      <c r="E44">
        <v>3</v>
      </c>
      <c r="F44">
        <v>1</v>
      </c>
      <c r="G44" s="1">
        <v>20.170000000000002</v>
      </c>
      <c r="H44" s="1">
        <v>20.48</v>
      </c>
      <c r="I44">
        <v>31</v>
      </c>
      <c r="J44">
        <v>26.7</v>
      </c>
      <c r="K44">
        <v>166</v>
      </c>
      <c r="L44" s="2" t="s">
        <v>50</v>
      </c>
    </row>
    <row r="45" spans="1:12" hidden="1" x14ac:dyDescent="0.35">
      <c r="A45">
        <v>103</v>
      </c>
      <c r="B45" t="s">
        <v>82</v>
      </c>
      <c r="C45" t="s">
        <v>20</v>
      </c>
      <c r="D45" t="s">
        <v>29</v>
      </c>
      <c r="E45">
        <v>3</v>
      </c>
      <c r="F45">
        <v>1</v>
      </c>
      <c r="G45" s="1">
        <v>20.18</v>
      </c>
      <c r="H45" s="1">
        <v>20.49</v>
      </c>
      <c r="I45">
        <v>31</v>
      </c>
      <c r="J45">
        <v>26.7</v>
      </c>
      <c r="K45">
        <v>104</v>
      </c>
      <c r="L45" s="2" t="s">
        <v>49</v>
      </c>
    </row>
    <row r="46" spans="1:12" hidden="1" x14ac:dyDescent="0.35">
      <c r="A46">
        <v>104</v>
      </c>
      <c r="B46" t="s">
        <v>82</v>
      </c>
      <c r="C46" t="s">
        <v>20</v>
      </c>
      <c r="D46" t="s">
        <v>29</v>
      </c>
      <c r="E46">
        <v>2</v>
      </c>
      <c r="F46">
        <v>1</v>
      </c>
      <c r="G46" s="1">
        <v>20.2</v>
      </c>
      <c r="H46" s="1">
        <v>20.51</v>
      </c>
      <c r="I46">
        <v>31</v>
      </c>
      <c r="J46">
        <v>26.7</v>
      </c>
      <c r="K46">
        <v>90</v>
      </c>
      <c r="L46" s="2" t="s">
        <v>49</v>
      </c>
    </row>
    <row r="47" spans="1:12" hidden="1" x14ac:dyDescent="0.35">
      <c r="A47">
        <v>105</v>
      </c>
      <c r="B47" t="s">
        <v>82</v>
      </c>
      <c r="C47" t="s">
        <v>20</v>
      </c>
      <c r="D47" t="s">
        <v>29</v>
      </c>
      <c r="E47">
        <v>2</v>
      </c>
      <c r="F47">
        <v>1</v>
      </c>
      <c r="G47" s="1">
        <v>20.22</v>
      </c>
      <c r="H47" s="1">
        <v>20.52</v>
      </c>
      <c r="I47">
        <v>30</v>
      </c>
      <c r="J47">
        <v>26.7</v>
      </c>
      <c r="K47">
        <v>57</v>
      </c>
      <c r="L47" s="2" t="s">
        <v>49</v>
      </c>
    </row>
    <row r="48" spans="1:12" hidden="1" x14ac:dyDescent="0.35">
      <c r="A48">
        <v>275</v>
      </c>
      <c r="B48" t="s">
        <v>126</v>
      </c>
      <c r="C48" t="s">
        <v>123</v>
      </c>
      <c r="D48" t="s">
        <v>65</v>
      </c>
      <c r="E48">
        <v>0.3</v>
      </c>
      <c r="F48">
        <v>1</v>
      </c>
      <c r="G48" s="1">
        <v>19.149999999999999</v>
      </c>
      <c r="H48">
        <v>20.059999999999999</v>
      </c>
      <c r="I48">
        <f>48+3</f>
        <v>51</v>
      </c>
      <c r="J48">
        <v>16.8</v>
      </c>
      <c r="K48">
        <v>12</v>
      </c>
    </row>
    <row r="49" spans="1:11" hidden="1" x14ac:dyDescent="0.35">
      <c r="A49">
        <v>291</v>
      </c>
      <c r="B49" t="s">
        <v>126</v>
      </c>
      <c r="C49" t="s">
        <v>123</v>
      </c>
      <c r="D49" t="s">
        <v>29</v>
      </c>
      <c r="E49">
        <v>2</v>
      </c>
      <c r="F49">
        <v>1</v>
      </c>
      <c r="G49" s="1">
        <v>19.47</v>
      </c>
      <c r="H49" s="1">
        <v>20.32</v>
      </c>
      <c r="I49">
        <v>45</v>
      </c>
      <c r="J49">
        <v>16.8</v>
      </c>
      <c r="K49">
        <v>113</v>
      </c>
    </row>
    <row r="50" spans="1:11" hidden="1" x14ac:dyDescent="0.35">
      <c r="A50">
        <v>292</v>
      </c>
      <c r="B50" t="s">
        <v>126</v>
      </c>
      <c r="C50" t="s">
        <v>123</v>
      </c>
      <c r="D50" t="s">
        <v>65</v>
      </c>
      <c r="E50">
        <v>0.3</v>
      </c>
      <c r="F50">
        <v>1</v>
      </c>
      <c r="G50" s="1">
        <v>19.52</v>
      </c>
      <c r="H50" s="1">
        <v>20.34</v>
      </c>
      <c r="I50">
        <f>8+34</f>
        <v>42</v>
      </c>
      <c r="J50">
        <v>16.8</v>
      </c>
      <c r="K50">
        <v>6</v>
      </c>
    </row>
    <row r="51" spans="1:11" hidden="1" x14ac:dyDescent="0.35">
      <c r="A51">
        <v>293</v>
      </c>
      <c r="B51" t="s">
        <v>126</v>
      </c>
      <c r="C51" t="s">
        <v>123</v>
      </c>
      <c r="D51" t="s">
        <v>65</v>
      </c>
      <c r="E51">
        <v>0.3</v>
      </c>
      <c r="F51">
        <v>1</v>
      </c>
      <c r="G51" s="1">
        <v>19.53</v>
      </c>
      <c r="H51" s="1">
        <v>20.36</v>
      </c>
      <c r="I51">
        <f>7+36</f>
        <v>43</v>
      </c>
      <c r="J51">
        <v>16.8</v>
      </c>
      <c r="K51">
        <v>13</v>
      </c>
    </row>
    <row r="52" spans="1:11" hidden="1" x14ac:dyDescent="0.35">
      <c r="A52">
        <v>311</v>
      </c>
      <c r="B52" t="s">
        <v>126</v>
      </c>
      <c r="C52" t="s">
        <v>63</v>
      </c>
      <c r="D52" t="s">
        <v>29</v>
      </c>
      <c r="E52">
        <v>4</v>
      </c>
      <c r="F52">
        <v>1</v>
      </c>
      <c r="G52" s="1">
        <v>23.21</v>
      </c>
      <c r="H52" s="1">
        <v>0.09</v>
      </c>
      <c r="I52">
        <v>48</v>
      </c>
      <c r="J52">
        <v>16.8</v>
      </c>
      <c r="K52" t="s">
        <v>31</v>
      </c>
    </row>
    <row r="53" spans="1:11" hidden="1" x14ac:dyDescent="0.35">
      <c r="A53">
        <v>312</v>
      </c>
      <c r="B53" t="s">
        <v>126</v>
      </c>
      <c r="C53" t="s">
        <v>64</v>
      </c>
      <c r="D53" t="s">
        <v>65</v>
      </c>
      <c r="E53">
        <v>0.3</v>
      </c>
      <c r="F53">
        <v>1</v>
      </c>
      <c r="G53" s="1">
        <v>23.2</v>
      </c>
      <c r="H53" s="1">
        <v>0.09</v>
      </c>
      <c r="I53">
        <v>49</v>
      </c>
      <c r="J53">
        <v>16.8</v>
      </c>
      <c r="K53" t="s">
        <v>31</v>
      </c>
    </row>
    <row r="54" spans="1:11" hidden="1" x14ac:dyDescent="0.35">
      <c r="A54">
        <v>271</v>
      </c>
      <c r="B54" t="s">
        <v>126</v>
      </c>
      <c r="C54" t="s">
        <v>62</v>
      </c>
      <c r="D54" t="s">
        <v>65</v>
      </c>
      <c r="E54">
        <v>0.3</v>
      </c>
      <c r="F54">
        <v>1</v>
      </c>
      <c r="G54" s="1">
        <v>19.09</v>
      </c>
      <c r="H54" s="1">
        <v>20</v>
      </c>
      <c r="I54">
        <v>51</v>
      </c>
      <c r="J54">
        <v>16.8</v>
      </c>
      <c r="K54">
        <v>8</v>
      </c>
    </row>
    <row r="55" spans="1:11" hidden="1" x14ac:dyDescent="0.35">
      <c r="A55">
        <v>272</v>
      </c>
      <c r="B55" t="s">
        <v>126</v>
      </c>
      <c r="C55" t="s">
        <v>62</v>
      </c>
      <c r="D55" t="s">
        <v>65</v>
      </c>
      <c r="E55">
        <v>0.3</v>
      </c>
      <c r="F55">
        <v>1</v>
      </c>
      <c r="G55" s="1">
        <v>19.12</v>
      </c>
      <c r="H55" s="1">
        <v>20.03</v>
      </c>
      <c r="I55">
        <f>48+3</f>
        <v>51</v>
      </c>
      <c r="J55">
        <v>16.8</v>
      </c>
      <c r="K55">
        <v>9</v>
      </c>
    </row>
    <row r="56" spans="1:11" hidden="1" x14ac:dyDescent="0.35">
      <c r="A56">
        <v>273</v>
      </c>
      <c r="B56" t="s">
        <v>126</v>
      </c>
      <c r="C56" t="s">
        <v>62</v>
      </c>
      <c r="D56" t="s">
        <v>65</v>
      </c>
      <c r="E56">
        <v>0.3</v>
      </c>
      <c r="F56">
        <v>1</v>
      </c>
      <c r="G56" s="1">
        <v>19.13</v>
      </c>
      <c r="H56" s="1">
        <v>20.04</v>
      </c>
      <c r="I56">
        <f>48+3</f>
        <v>51</v>
      </c>
      <c r="J56">
        <v>16.8</v>
      </c>
      <c r="K56">
        <v>9</v>
      </c>
    </row>
    <row r="57" spans="1:11" hidden="1" x14ac:dyDescent="0.35">
      <c r="A57">
        <v>274</v>
      </c>
      <c r="B57" t="s">
        <v>126</v>
      </c>
      <c r="C57" t="s">
        <v>62</v>
      </c>
      <c r="D57" t="s">
        <v>65</v>
      </c>
      <c r="E57">
        <v>0.3</v>
      </c>
      <c r="F57">
        <v>1</v>
      </c>
      <c r="G57" s="1">
        <v>19.14</v>
      </c>
      <c r="H57" s="1">
        <v>20.05</v>
      </c>
      <c r="I57">
        <f>48+3</f>
        <v>51</v>
      </c>
      <c r="J57">
        <v>16.8</v>
      </c>
      <c r="K57">
        <v>6</v>
      </c>
    </row>
    <row r="58" spans="1:11" hidden="1" x14ac:dyDescent="0.35">
      <c r="A58">
        <v>276</v>
      </c>
      <c r="B58" t="s">
        <v>126</v>
      </c>
      <c r="C58" t="s">
        <v>62</v>
      </c>
      <c r="D58" t="s">
        <v>65</v>
      </c>
      <c r="E58">
        <v>0.3</v>
      </c>
      <c r="F58">
        <v>1</v>
      </c>
      <c r="G58" s="1">
        <v>19.16</v>
      </c>
      <c r="H58" s="1">
        <v>20.07</v>
      </c>
      <c r="I58">
        <f>48+3</f>
        <v>51</v>
      </c>
      <c r="J58">
        <v>16.8</v>
      </c>
      <c r="K58">
        <v>10</v>
      </c>
    </row>
    <row r="59" spans="1:11" hidden="1" x14ac:dyDescent="0.35">
      <c r="A59">
        <v>277</v>
      </c>
      <c r="B59" t="s">
        <v>126</v>
      </c>
      <c r="C59" t="s">
        <v>62</v>
      </c>
      <c r="D59" t="s">
        <v>65</v>
      </c>
      <c r="E59">
        <v>0.3</v>
      </c>
      <c r="F59">
        <v>1</v>
      </c>
      <c r="G59" s="1">
        <v>19.18</v>
      </c>
      <c r="H59" s="1">
        <v>20.09</v>
      </c>
      <c r="I59">
        <f>42+9</f>
        <v>51</v>
      </c>
      <c r="J59">
        <v>16.8</v>
      </c>
      <c r="K59">
        <v>6</v>
      </c>
    </row>
    <row r="60" spans="1:11" hidden="1" x14ac:dyDescent="0.35">
      <c r="A60">
        <v>278</v>
      </c>
      <c r="B60" t="s">
        <v>126</v>
      </c>
      <c r="C60" t="s">
        <v>62</v>
      </c>
      <c r="D60" t="s">
        <v>65</v>
      </c>
      <c r="E60">
        <v>0.3</v>
      </c>
      <c r="F60">
        <v>1</v>
      </c>
      <c r="G60" s="1">
        <v>19.190000000000001</v>
      </c>
      <c r="H60" s="1">
        <v>20.100000000000001</v>
      </c>
      <c r="I60">
        <v>51</v>
      </c>
      <c r="J60">
        <v>16.8</v>
      </c>
      <c r="K60">
        <v>9</v>
      </c>
    </row>
    <row r="61" spans="1:11" hidden="1" x14ac:dyDescent="0.35">
      <c r="A61">
        <v>279</v>
      </c>
      <c r="B61" t="s">
        <v>126</v>
      </c>
      <c r="C61" t="s">
        <v>62</v>
      </c>
      <c r="D61" t="s">
        <v>65</v>
      </c>
      <c r="E61">
        <v>0.3</v>
      </c>
      <c r="F61">
        <v>1</v>
      </c>
      <c r="G61" s="1">
        <v>19.2</v>
      </c>
      <c r="H61" s="1">
        <v>20.12</v>
      </c>
      <c r="I61">
        <v>52</v>
      </c>
      <c r="J61">
        <v>16.8</v>
      </c>
      <c r="K61">
        <v>14</v>
      </c>
    </row>
    <row r="62" spans="1:11" hidden="1" x14ac:dyDescent="0.35">
      <c r="A62">
        <v>280</v>
      </c>
      <c r="B62" t="s">
        <v>126</v>
      </c>
      <c r="C62" t="s">
        <v>62</v>
      </c>
      <c r="D62" t="s">
        <v>65</v>
      </c>
      <c r="E62">
        <v>0.3</v>
      </c>
      <c r="F62">
        <v>1</v>
      </c>
      <c r="G62" s="1">
        <v>19.21</v>
      </c>
      <c r="H62" s="1">
        <v>20.134</v>
      </c>
      <c r="I62">
        <v>52</v>
      </c>
      <c r="J62">
        <v>16.8</v>
      </c>
      <c r="K62">
        <v>7</v>
      </c>
    </row>
    <row r="63" spans="1:11" hidden="1" x14ac:dyDescent="0.35">
      <c r="A63">
        <v>281</v>
      </c>
      <c r="B63" t="s">
        <v>126</v>
      </c>
      <c r="C63" t="s">
        <v>62</v>
      </c>
      <c r="D63" t="s">
        <v>65</v>
      </c>
      <c r="E63">
        <v>0.3</v>
      </c>
      <c r="F63">
        <v>1</v>
      </c>
      <c r="G63" s="1">
        <v>19.23</v>
      </c>
      <c r="H63" s="1">
        <v>20.14</v>
      </c>
      <c r="I63">
        <v>51</v>
      </c>
      <c r="J63">
        <v>16.8</v>
      </c>
      <c r="K63">
        <v>5</v>
      </c>
    </row>
    <row r="64" spans="1:11" hidden="1" x14ac:dyDescent="0.35">
      <c r="A64">
        <v>282</v>
      </c>
      <c r="B64" t="s">
        <v>126</v>
      </c>
      <c r="C64" t="s">
        <v>62</v>
      </c>
      <c r="D64" t="s">
        <v>65</v>
      </c>
      <c r="E64">
        <v>0.3</v>
      </c>
      <c r="F64">
        <v>1</v>
      </c>
      <c r="G64" s="1">
        <v>19.239999999999998</v>
      </c>
      <c r="H64" s="1">
        <v>20.149999999999999</v>
      </c>
      <c r="I64">
        <f>36+15</f>
        <v>51</v>
      </c>
      <c r="J64">
        <v>16.8</v>
      </c>
      <c r="K64">
        <v>10</v>
      </c>
    </row>
    <row r="65" spans="1:11" hidden="1" x14ac:dyDescent="0.35">
      <c r="A65">
        <v>283</v>
      </c>
      <c r="B65" t="s">
        <v>126</v>
      </c>
      <c r="C65" t="s">
        <v>62</v>
      </c>
      <c r="D65" t="s">
        <v>65</v>
      </c>
      <c r="E65">
        <v>0.3</v>
      </c>
      <c r="F65">
        <v>1</v>
      </c>
      <c r="G65" s="1">
        <v>19.260000000000002</v>
      </c>
      <c r="H65" s="1">
        <v>20.16</v>
      </c>
      <c r="I65">
        <f>34+16</f>
        <v>50</v>
      </c>
      <c r="J65">
        <v>16.8</v>
      </c>
      <c r="K65">
        <v>8</v>
      </c>
    </row>
    <row r="66" spans="1:11" hidden="1" x14ac:dyDescent="0.35">
      <c r="A66">
        <v>284</v>
      </c>
      <c r="B66" t="s">
        <v>126</v>
      </c>
      <c r="C66" t="s">
        <v>62</v>
      </c>
      <c r="D66" t="s">
        <v>65</v>
      </c>
      <c r="E66">
        <v>0.3</v>
      </c>
      <c r="F66">
        <v>1</v>
      </c>
      <c r="G66" s="1">
        <v>19.27</v>
      </c>
      <c r="H66" s="1">
        <v>20.18</v>
      </c>
      <c r="I66">
        <f>33+18</f>
        <v>51</v>
      </c>
      <c r="J66">
        <v>16.8</v>
      </c>
      <c r="K66">
        <v>11</v>
      </c>
    </row>
    <row r="67" spans="1:11" hidden="1" x14ac:dyDescent="0.35">
      <c r="A67">
        <v>285</v>
      </c>
      <c r="B67" t="s">
        <v>126</v>
      </c>
      <c r="C67" t="s">
        <v>62</v>
      </c>
      <c r="D67" t="s">
        <v>65</v>
      </c>
      <c r="E67">
        <v>0.3</v>
      </c>
      <c r="F67">
        <v>1</v>
      </c>
      <c r="G67" s="1">
        <v>19.28</v>
      </c>
      <c r="H67" s="1">
        <v>20.190000000000001</v>
      </c>
      <c r="I67">
        <f>32+19</f>
        <v>51</v>
      </c>
      <c r="J67">
        <v>16.8</v>
      </c>
      <c r="K67">
        <v>13</v>
      </c>
    </row>
    <row r="68" spans="1:11" hidden="1" x14ac:dyDescent="0.35">
      <c r="A68">
        <v>286</v>
      </c>
      <c r="B68" t="s">
        <v>126</v>
      </c>
      <c r="C68" t="s">
        <v>62</v>
      </c>
      <c r="D68" t="s">
        <v>65</v>
      </c>
      <c r="E68">
        <v>0.3</v>
      </c>
      <c r="F68">
        <v>1</v>
      </c>
      <c r="G68" s="1">
        <v>19.29</v>
      </c>
      <c r="H68" s="1">
        <v>20.2</v>
      </c>
      <c r="I68">
        <f>31+20</f>
        <v>51</v>
      </c>
      <c r="J68">
        <v>16.8</v>
      </c>
      <c r="K68">
        <v>9</v>
      </c>
    </row>
    <row r="69" spans="1:11" hidden="1" x14ac:dyDescent="0.35">
      <c r="A69">
        <v>287</v>
      </c>
      <c r="B69" t="s">
        <v>126</v>
      </c>
      <c r="C69" t="s">
        <v>62</v>
      </c>
      <c r="D69" t="s">
        <v>65</v>
      </c>
      <c r="E69">
        <v>0.3</v>
      </c>
      <c r="F69">
        <v>1</v>
      </c>
      <c r="G69" s="1">
        <v>19.38</v>
      </c>
      <c r="H69" s="1">
        <v>20.23</v>
      </c>
      <c r="I69">
        <f>22+23</f>
        <v>45</v>
      </c>
      <c r="J69">
        <v>16.8</v>
      </c>
      <c r="K69">
        <v>7</v>
      </c>
    </row>
    <row r="70" spans="1:11" hidden="1" x14ac:dyDescent="0.35">
      <c r="A70">
        <v>288</v>
      </c>
      <c r="B70" t="s">
        <v>126</v>
      </c>
      <c r="C70" t="s">
        <v>62</v>
      </c>
      <c r="D70" t="s">
        <v>65</v>
      </c>
      <c r="E70">
        <v>0.3</v>
      </c>
      <c r="F70">
        <v>1</v>
      </c>
      <c r="G70" s="1">
        <v>19.39</v>
      </c>
      <c r="H70" s="1">
        <v>20.25</v>
      </c>
      <c r="I70">
        <f>21+25</f>
        <v>46</v>
      </c>
      <c r="J70">
        <v>16.8</v>
      </c>
      <c r="K70">
        <v>4</v>
      </c>
    </row>
    <row r="71" spans="1:11" hidden="1" x14ac:dyDescent="0.35">
      <c r="A71">
        <v>302</v>
      </c>
      <c r="B71" t="s">
        <v>126</v>
      </c>
      <c r="C71" t="s">
        <v>62</v>
      </c>
      <c r="D71" t="s">
        <v>29</v>
      </c>
      <c r="E71">
        <v>6</v>
      </c>
      <c r="F71">
        <v>1</v>
      </c>
      <c r="G71" s="1">
        <v>21.25</v>
      </c>
      <c r="H71" s="1">
        <v>21.57</v>
      </c>
      <c r="I71">
        <f>57-25</f>
        <v>32</v>
      </c>
      <c r="J71">
        <v>16.8</v>
      </c>
      <c r="K71">
        <v>359</v>
      </c>
    </row>
    <row r="72" spans="1:11" hidden="1" x14ac:dyDescent="0.35">
      <c r="A72">
        <v>289</v>
      </c>
      <c r="B72" t="s">
        <v>126</v>
      </c>
      <c r="C72" t="s">
        <v>22</v>
      </c>
      <c r="D72" t="s">
        <v>29</v>
      </c>
      <c r="E72">
        <v>6</v>
      </c>
      <c r="F72">
        <v>1</v>
      </c>
      <c r="G72" s="1">
        <v>19.46</v>
      </c>
      <c r="H72" s="1">
        <v>20.3</v>
      </c>
      <c r="I72">
        <f>14+30</f>
        <v>44</v>
      </c>
      <c r="J72">
        <v>16.8</v>
      </c>
      <c r="K72">
        <v>887</v>
      </c>
    </row>
    <row r="73" spans="1:11" hidden="1" x14ac:dyDescent="0.35">
      <c r="A73">
        <v>294</v>
      </c>
      <c r="B73" t="s">
        <v>126</v>
      </c>
      <c r="C73" t="s">
        <v>22</v>
      </c>
      <c r="D73" t="s">
        <v>29</v>
      </c>
      <c r="E73">
        <v>6</v>
      </c>
      <c r="F73">
        <v>1</v>
      </c>
      <c r="G73" s="1">
        <v>20.59</v>
      </c>
      <c r="H73" s="1">
        <v>21.46</v>
      </c>
      <c r="I73">
        <v>47</v>
      </c>
      <c r="J73">
        <v>16.8</v>
      </c>
      <c r="K73">
        <v>693</v>
      </c>
    </row>
    <row r="74" spans="1:11" hidden="1" x14ac:dyDescent="0.35">
      <c r="A74">
        <v>295</v>
      </c>
      <c r="B74" t="s">
        <v>126</v>
      </c>
      <c r="C74" t="s">
        <v>22</v>
      </c>
      <c r="D74" t="s">
        <v>29</v>
      </c>
      <c r="E74">
        <v>5</v>
      </c>
      <c r="F74">
        <v>1</v>
      </c>
      <c r="G74" s="1">
        <v>21.01</v>
      </c>
      <c r="H74" s="1">
        <v>21.48</v>
      </c>
      <c r="I74">
        <v>47</v>
      </c>
      <c r="J74">
        <v>16.8</v>
      </c>
      <c r="K74">
        <v>562</v>
      </c>
    </row>
    <row r="75" spans="1:11" hidden="1" x14ac:dyDescent="0.35">
      <c r="A75">
        <v>296</v>
      </c>
      <c r="B75" t="s">
        <v>126</v>
      </c>
      <c r="C75" t="s">
        <v>22</v>
      </c>
      <c r="D75" t="s">
        <v>29</v>
      </c>
      <c r="E75">
        <v>5</v>
      </c>
      <c r="F75">
        <v>1</v>
      </c>
      <c r="G75" s="1">
        <v>21.04</v>
      </c>
      <c r="H75" s="1">
        <v>21.49</v>
      </c>
      <c r="I75">
        <v>45</v>
      </c>
      <c r="J75">
        <v>16.8</v>
      </c>
      <c r="K75">
        <v>501</v>
      </c>
    </row>
    <row r="76" spans="1:11" hidden="1" x14ac:dyDescent="0.35">
      <c r="A76">
        <v>297</v>
      </c>
      <c r="B76" t="s">
        <v>126</v>
      </c>
      <c r="C76" t="s">
        <v>22</v>
      </c>
      <c r="D76" t="s">
        <v>29</v>
      </c>
      <c r="E76">
        <v>2</v>
      </c>
      <c r="F76">
        <v>1</v>
      </c>
      <c r="G76" s="1">
        <v>21.07</v>
      </c>
      <c r="H76" s="1">
        <v>21.5</v>
      </c>
      <c r="I76">
        <v>43</v>
      </c>
      <c r="J76">
        <v>16.8</v>
      </c>
      <c r="K76">
        <v>307</v>
      </c>
    </row>
    <row r="77" spans="1:11" hidden="1" x14ac:dyDescent="0.35">
      <c r="A77">
        <v>298</v>
      </c>
      <c r="B77" t="s">
        <v>126</v>
      </c>
      <c r="C77" t="s">
        <v>22</v>
      </c>
      <c r="D77" t="s">
        <v>29</v>
      </c>
      <c r="E77">
        <v>5</v>
      </c>
      <c r="F77">
        <v>1</v>
      </c>
      <c r="G77" s="1">
        <v>21.15</v>
      </c>
      <c r="H77" s="1">
        <v>21.52</v>
      </c>
      <c r="I77">
        <f>52-15</f>
        <v>37</v>
      </c>
      <c r="J77">
        <v>16.8</v>
      </c>
      <c r="K77">
        <v>472</v>
      </c>
    </row>
    <row r="78" spans="1:11" hidden="1" x14ac:dyDescent="0.35">
      <c r="A78">
        <v>299</v>
      </c>
      <c r="B78" t="s">
        <v>126</v>
      </c>
      <c r="C78" t="s">
        <v>22</v>
      </c>
      <c r="D78" t="s">
        <v>29</v>
      </c>
      <c r="E78">
        <v>5</v>
      </c>
      <c r="F78">
        <v>1</v>
      </c>
      <c r="G78" s="1">
        <v>21.15</v>
      </c>
      <c r="H78" s="1">
        <v>21.53</v>
      </c>
      <c r="I78">
        <f>53-15</f>
        <v>38</v>
      </c>
      <c r="J78">
        <v>16.8</v>
      </c>
      <c r="K78">
        <v>575</v>
      </c>
    </row>
    <row r="79" spans="1:11" hidden="1" x14ac:dyDescent="0.35">
      <c r="A79">
        <v>301</v>
      </c>
      <c r="B79" t="s">
        <v>126</v>
      </c>
      <c r="C79" t="s">
        <v>22</v>
      </c>
      <c r="D79" t="s">
        <v>29</v>
      </c>
      <c r="E79">
        <v>5</v>
      </c>
      <c r="F79">
        <v>1</v>
      </c>
      <c r="G79" s="1">
        <v>21.21</v>
      </c>
      <c r="H79" s="1">
        <v>21.55</v>
      </c>
      <c r="I79">
        <f>55-21</f>
        <v>34</v>
      </c>
      <c r="J79">
        <v>16.8</v>
      </c>
      <c r="K79">
        <v>552</v>
      </c>
    </row>
    <row r="80" spans="1:11" hidden="1" x14ac:dyDescent="0.35">
      <c r="A80">
        <v>303</v>
      </c>
      <c r="B80" t="s">
        <v>126</v>
      </c>
      <c r="C80" t="s">
        <v>22</v>
      </c>
      <c r="D80" t="s">
        <v>29</v>
      </c>
      <c r="E80">
        <v>5</v>
      </c>
      <c r="F80">
        <v>1</v>
      </c>
      <c r="G80" s="1">
        <v>21.29</v>
      </c>
      <c r="H80" s="1">
        <v>21.58</v>
      </c>
      <c r="I80">
        <f>58-29</f>
        <v>29</v>
      </c>
      <c r="J80">
        <v>16.8</v>
      </c>
      <c r="K80">
        <v>513</v>
      </c>
    </row>
    <row r="81" spans="1:12" hidden="1" x14ac:dyDescent="0.35">
      <c r="A81">
        <v>304</v>
      </c>
      <c r="B81" t="s">
        <v>126</v>
      </c>
      <c r="C81" t="s">
        <v>22</v>
      </c>
      <c r="D81" t="s">
        <v>29</v>
      </c>
      <c r="E81">
        <v>5</v>
      </c>
      <c r="F81">
        <v>1</v>
      </c>
      <c r="G81" s="1">
        <v>21.3</v>
      </c>
      <c r="H81" s="1">
        <v>22</v>
      </c>
      <c r="I81">
        <v>30</v>
      </c>
      <c r="J81">
        <v>16.8</v>
      </c>
      <c r="K81">
        <v>380</v>
      </c>
    </row>
    <row r="82" spans="1:12" hidden="1" x14ac:dyDescent="0.35">
      <c r="A82">
        <v>305</v>
      </c>
      <c r="B82" t="s">
        <v>126</v>
      </c>
      <c r="C82" t="s">
        <v>22</v>
      </c>
      <c r="D82" t="s">
        <v>29</v>
      </c>
      <c r="E82">
        <v>5</v>
      </c>
      <c r="F82">
        <v>1</v>
      </c>
      <c r="G82" s="1">
        <v>21.32</v>
      </c>
      <c r="H82" s="1">
        <v>22.02</v>
      </c>
      <c r="I82">
        <v>30</v>
      </c>
      <c r="J82">
        <v>16.8</v>
      </c>
      <c r="K82">
        <v>405</v>
      </c>
    </row>
    <row r="83" spans="1:12" hidden="1" x14ac:dyDescent="0.35">
      <c r="A83">
        <v>306</v>
      </c>
      <c r="B83" t="s">
        <v>126</v>
      </c>
      <c r="C83" t="s">
        <v>22</v>
      </c>
      <c r="D83" t="s">
        <v>29</v>
      </c>
      <c r="E83">
        <v>2</v>
      </c>
      <c r="F83">
        <v>1</v>
      </c>
      <c r="G83" s="1">
        <v>21.34</v>
      </c>
      <c r="H83" s="1">
        <v>22.03</v>
      </c>
      <c r="I83">
        <v>29</v>
      </c>
      <c r="J83">
        <v>16.8</v>
      </c>
      <c r="K83">
        <v>243</v>
      </c>
    </row>
    <row r="84" spans="1:12" hidden="1" x14ac:dyDescent="0.35">
      <c r="A84">
        <v>307</v>
      </c>
      <c r="B84" t="s">
        <v>126</v>
      </c>
      <c r="C84" t="s">
        <v>22</v>
      </c>
      <c r="D84" t="s">
        <v>29</v>
      </c>
      <c r="E84">
        <v>5</v>
      </c>
      <c r="F84">
        <v>1</v>
      </c>
      <c r="G84" s="1">
        <v>21.38</v>
      </c>
      <c r="H84" s="1">
        <v>22.04</v>
      </c>
      <c r="I84">
        <v>26</v>
      </c>
      <c r="J84">
        <v>16.8</v>
      </c>
      <c r="K84">
        <v>376</v>
      </c>
    </row>
    <row r="85" spans="1:12" hidden="1" x14ac:dyDescent="0.35">
      <c r="A85">
        <v>308</v>
      </c>
      <c r="B85" t="s">
        <v>126</v>
      </c>
      <c r="C85" t="s">
        <v>22</v>
      </c>
      <c r="D85" t="s">
        <v>29</v>
      </c>
      <c r="E85">
        <v>5</v>
      </c>
      <c r="F85">
        <v>1</v>
      </c>
      <c r="G85" s="1">
        <v>21.4</v>
      </c>
      <c r="H85" s="1">
        <v>22.05</v>
      </c>
      <c r="I85">
        <v>25</v>
      </c>
      <c r="J85">
        <v>16.8</v>
      </c>
      <c r="K85">
        <v>380</v>
      </c>
    </row>
    <row r="86" spans="1:12" hidden="1" x14ac:dyDescent="0.35">
      <c r="A86">
        <v>309</v>
      </c>
      <c r="B86" t="s">
        <v>126</v>
      </c>
      <c r="C86" t="s">
        <v>22</v>
      </c>
      <c r="D86" t="s">
        <v>29</v>
      </c>
      <c r="E86">
        <v>5</v>
      </c>
      <c r="F86">
        <v>1</v>
      </c>
      <c r="G86" s="1">
        <v>21.41</v>
      </c>
      <c r="H86" s="1">
        <v>22.06</v>
      </c>
      <c r="I86">
        <v>25</v>
      </c>
      <c r="J86">
        <v>16.8</v>
      </c>
      <c r="K86">
        <v>260</v>
      </c>
    </row>
    <row r="87" spans="1:12" hidden="1" x14ac:dyDescent="0.35">
      <c r="A87">
        <v>310</v>
      </c>
      <c r="B87" t="s">
        <v>126</v>
      </c>
      <c r="C87" t="s">
        <v>22</v>
      </c>
      <c r="D87" t="s">
        <v>29</v>
      </c>
      <c r="E87">
        <v>4</v>
      </c>
      <c r="F87">
        <v>1</v>
      </c>
      <c r="G87" s="1">
        <v>21.43</v>
      </c>
      <c r="H87" s="1">
        <v>22.08</v>
      </c>
      <c r="I87">
        <f>8+17</f>
        <v>25</v>
      </c>
      <c r="J87">
        <v>16.8</v>
      </c>
      <c r="K87">
        <v>312</v>
      </c>
    </row>
    <row r="88" spans="1:12" hidden="1" x14ac:dyDescent="0.35">
      <c r="A88">
        <v>290</v>
      </c>
      <c r="B88" t="s">
        <v>126</v>
      </c>
      <c r="C88" t="s">
        <v>127</v>
      </c>
      <c r="D88" t="s">
        <v>29</v>
      </c>
      <c r="E88">
        <v>2</v>
      </c>
      <c r="F88">
        <v>1</v>
      </c>
      <c r="G88" s="1">
        <v>19.510000000000002</v>
      </c>
      <c r="H88" s="1">
        <v>20.309999999999999</v>
      </c>
      <c r="I88">
        <v>40</v>
      </c>
      <c r="J88">
        <v>16.8</v>
      </c>
      <c r="K88">
        <v>80</v>
      </c>
    </row>
    <row r="89" spans="1:12" hidden="1" x14ac:dyDescent="0.35">
      <c r="A89">
        <v>300</v>
      </c>
      <c r="B89" t="s">
        <v>126</v>
      </c>
      <c r="C89" t="s">
        <v>24</v>
      </c>
      <c r="D89" t="s">
        <v>29</v>
      </c>
      <c r="E89">
        <v>5</v>
      </c>
      <c r="F89">
        <v>1</v>
      </c>
      <c r="G89" s="1">
        <v>21.16</v>
      </c>
      <c r="H89" s="1">
        <v>21.54</v>
      </c>
      <c r="I89">
        <f>54-16</f>
        <v>38</v>
      </c>
      <c r="J89">
        <v>16.8</v>
      </c>
      <c r="K89">
        <v>381</v>
      </c>
    </row>
    <row r="90" spans="1:12" hidden="1" x14ac:dyDescent="0.35">
      <c r="A90">
        <v>247</v>
      </c>
      <c r="B90" t="s">
        <v>112</v>
      </c>
      <c r="C90" t="s">
        <v>123</v>
      </c>
      <c r="D90" t="s">
        <v>29</v>
      </c>
      <c r="E90">
        <v>5</v>
      </c>
      <c r="F90">
        <v>1</v>
      </c>
      <c r="G90" s="1">
        <v>10.38</v>
      </c>
      <c r="H90" s="1">
        <v>11.17</v>
      </c>
      <c r="I90">
        <f>22+17</f>
        <v>39</v>
      </c>
      <c r="J90">
        <v>15.9</v>
      </c>
      <c r="K90">
        <v>238</v>
      </c>
    </row>
    <row r="91" spans="1:12" hidden="1" x14ac:dyDescent="0.35">
      <c r="A91">
        <v>248</v>
      </c>
      <c r="B91" t="s">
        <v>112</v>
      </c>
      <c r="C91" t="s">
        <v>123</v>
      </c>
      <c r="D91" t="s">
        <v>29</v>
      </c>
      <c r="E91">
        <v>5</v>
      </c>
      <c r="F91">
        <v>1</v>
      </c>
      <c r="G91" s="1">
        <v>10.4</v>
      </c>
      <c r="H91" s="1">
        <v>11.19</v>
      </c>
      <c r="I91">
        <v>39</v>
      </c>
      <c r="J91">
        <v>15.9</v>
      </c>
      <c r="K91">
        <v>304</v>
      </c>
    </row>
    <row r="92" spans="1:12" hidden="1" x14ac:dyDescent="0.35">
      <c r="A92">
        <v>268</v>
      </c>
      <c r="B92" t="s">
        <v>112</v>
      </c>
      <c r="C92" t="s">
        <v>123</v>
      </c>
      <c r="D92" t="s">
        <v>29</v>
      </c>
      <c r="E92">
        <v>5</v>
      </c>
      <c r="F92">
        <v>1</v>
      </c>
      <c r="G92" s="1">
        <v>13.36</v>
      </c>
      <c r="H92" s="1">
        <v>14.09</v>
      </c>
      <c r="I92">
        <f>24+9</f>
        <v>33</v>
      </c>
      <c r="J92">
        <v>15.9</v>
      </c>
      <c r="K92">
        <v>390</v>
      </c>
    </row>
    <row r="93" spans="1:12" hidden="1" x14ac:dyDescent="0.35">
      <c r="A93">
        <v>269</v>
      </c>
      <c r="B93" t="s">
        <v>112</v>
      </c>
      <c r="C93" t="s">
        <v>123</v>
      </c>
      <c r="D93" t="s">
        <v>29</v>
      </c>
      <c r="E93">
        <v>5</v>
      </c>
      <c r="F93">
        <v>1</v>
      </c>
      <c r="G93" s="1">
        <v>13.38</v>
      </c>
      <c r="H93" s="1">
        <v>14.11</v>
      </c>
      <c r="I93">
        <v>33</v>
      </c>
      <c r="J93">
        <v>15.9</v>
      </c>
      <c r="K93">
        <v>450</v>
      </c>
    </row>
    <row r="94" spans="1:12" hidden="1" x14ac:dyDescent="0.35">
      <c r="A94">
        <v>266</v>
      </c>
      <c r="B94" t="s">
        <v>112</v>
      </c>
      <c r="C94" t="s">
        <v>33</v>
      </c>
      <c r="D94" t="s">
        <v>65</v>
      </c>
      <c r="E94">
        <v>0.3</v>
      </c>
      <c r="F94">
        <v>1</v>
      </c>
      <c r="G94" s="1">
        <v>11.04</v>
      </c>
      <c r="H94" s="1">
        <v>11.59</v>
      </c>
      <c r="I94">
        <v>55</v>
      </c>
      <c r="J94">
        <v>15.9</v>
      </c>
      <c r="K94" t="s">
        <v>31</v>
      </c>
    </row>
    <row r="95" spans="1:12" hidden="1" x14ac:dyDescent="0.35">
      <c r="A95">
        <v>267</v>
      </c>
      <c r="B95" t="s">
        <v>112</v>
      </c>
      <c r="C95" t="s">
        <v>35</v>
      </c>
      <c r="D95" t="s">
        <v>29</v>
      </c>
      <c r="E95">
        <v>5</v>
      </c>
      <c r="F95">
        <v>1</v>
      </c>
      <c r="G95" s="1">
        <v>11.06</v>
      </c>
      <c r="H95" s="1">
        <v>11.53</v>
      </c>
      <c r="I95">
        <v>47</v>
      </c>
      <c r="J95">
        <v>15.9</v>
      </c>
      <c r="K95" t="s">
        <v>31</v>
      </c>
    </row>
    <row r="96" spans="1:12" hidden="1" x14ac:dyDescent="0.35">
      <c r="A96">
        <v>252</v>
      </c>
      <c r="B96" t="s">
        <v>112</v>
      </c>
      <c r="C96" t="s">
        <v>107</v>
      </c>
      <c r="D96" t="s">
        <v>65</v>
      </c>
      <c r="E96">
        <v>0.3</v>
      </c>
      <c r="F96">
        <v>1</v>
      </c>
      <c r="G96">
        <v>10.46</v>
      </c>
      <c r="H96" s="1">
        <v>11.26</v>
      </c>
      <c r="I96">
        <v>40</v>
      </c>
      <c r="J96">
        <v>15.9</v>
      </c>
      <c r="K96">
        <v>3</v>
      </c>
      <c r="L96" t="s">
        <v>125</v>
      </c>
    </row>
    <row r="97" spans="1:12" hidden="1" x14ac:dyDescent="0.35">
      <c r="A97">
        <v>253</v>
      </c>
      <c r="B97" t="s">
        <v>112</v>
      </c>
      <c r="C97" t="s">
        <v>107</v>
      </c>
      <c r="D97" t="s">
        <v>65</v>
      </c>
      <c r="E97">
        <v>0.3</v>
      </c>
      <c r="F97">
        <v>1</v>
      </c>
      <c r="G97" s="1">
        <v>10.48</v>
      </c>
      <c r="H97" s="1">
        <v>11.39</v>
      </c>
      <c r="I97">
        <v>51</v>
      </c>
      <c r="J97">
        <v>15.9</v>
      </c>
      <c r="K97">
        <v>3</v>
      </c>
      <c r="L97" t="s">
        <v>125</v>
      </c>
    </row>
    <row r="98" spans="1:12" hidden="1" x14ac:dyDescent="0.35">
      <c r="A98">
        <v>255</v>
      </c>
      <c r="B98" t="s">
        <v>112</v>
      </c>
      <c r="C98" t="s">
        <v>107</v>
      </c>
      <c r="D98" t="s">
        <v>65</v>
      </c>
      <c r="E98">
        <v>0.3</v>
      </c>
      <c r="F98">
        <v>1</v>
      </c>
      <c r="G98" s="1">
        <v>10.5</v>
      </c>
      <c r="H98" s="1">
        <v>11.42</v>
      </c>
      <c r="I98">
        <v>52</v>
      </c>
      <c r="J98">
        <v>15.9</v>
      </c>
      <c r="K98">
        <v>3</v>
      </c>
      <c r="L98" t="s">
        <v>125</v>
      </c>
    </row>
    <row r="99" spans="1:12" hidden="1" x14ac:dyDescent="0.35">
      <c r="A99">
        <v>258</v>
      </c>
      <c r="B99" t="s">
        <v>112</v>
      </c>
      <c r="C99" t="s">
        <v>107</v>
      </c>
      <c r="D99" t="s">
        <v>65</v>
      </c>
      <c r="E99">
        <v>0.3</v>
      </c>
      <c r="F99">
        <v>1</v>
      </c>
      <c r="G99" s="1">
        <v>10.53</v>
      </c>
      <c r="H99" s="1">
        <v>11.46</v>
      </c>
      <c r="I99">
        <v>53</v>
      </c>
      <c r="J99">
        <v>15.9</v>
      </c>
      <c r="K99">
        <v>3</v>
      </c>
      <c r="L99" t="s">
        <v>125</v>
      </c>
    </row>
    <row r="100" spans="1:12" hidden="1" x14ac:dyDescent="0.35">
      <c r="A100">
        <v>261</v>
      </c>
      <c r="B100" t="s">
        <v>112</v>
      </c>
      <c r="C100" t="s">
        <v>107</v>
      </c>
      <c r="D100" t="s">
        <v>65</v>
      </c>
      <c r="E100">
        <v>0.3</v>
      </c>
      <c r="F100">
        <v>1</v>
      </c>
      <c r="G100" s="1">
        <v>10.57</v>
      </c>
      <c r="H100" s="1">
        <v>11.51</v>
      </c>
      <c r="I100">
        <v>54</v>
      </c>
      <c r="J100">
        <v>15.9</v>
      </c>
      <c r="K100">
        <v>1</v>
      </c>
      <c r="L100" t="s">
        <v>125</v>
      </c>
    </row>
    <row r="101" spans="1:12" hidden="1" x14ac:dyDescent="0.35">
      <c r="A101">
        <v>262</v>
      </c>
      <c r="B101" t="s">
        <v>112</v>
      </c>
      <c r="C101" t="s">
        <v>107</v>
      </c>
      <c r="D101" t="s">
        <v>65</v>
      </c>
      <c r="E101">
        <v>0.3</v>
      </c>
      <c r="F101">
        <v>1</v>
      </c>
      <c r="G101" s="1">
        <v>10.58</v>
      </c>
      <c r="H101" s="1">
        <v>11.54</v>
      </c>
      <c r="I101">
        <v>56</v>
      </c>
      <c r="J101">
        <v>15.9</v>
      </c>
      <c r="K101">
        <v>2</v>
      </c>
      <c r="L101" t="s">
        <v>125</v>
      </c>
    </row>
    <row r="102" spans="1:12" hidden="1" x14ac:dyDescent="0.35">
      <c r="A102">
        <v>265</v>
      </c>
      <c r="B102" t="s">
        <v>112</v>
      </c>
      <c r="C102" t="s">
        <v>107</v>
      </c>
      <c r="D102" t="s">
        <v>65</v>
      </c>
      <c r="E102">
        <v>0.3</v>
      </c>
      <c r="F102">
        <v>1</v>
      </c>
      <c r="G102" s="1">
        <v>11.02</v>
      </c>
      <c r="H102" s="1">
        <v>11.59</v>
      </c>
      <c r="I102">
        <v>57</v>
      </c>
      <c r="J102">
        <v>15.9</v>
      </c>
      <c r="K102">
        <v>1</v>
      </c>
      <c r="L102" t="s">
        <v>125</v>
      </c>
    </row>
    <row r="103" spans="1:12" hidden="1" x14ac:dyDescent="0.35">
      <c r="A103">
        <v>250</v>
      </c>
      <c r="B103" t="s">
        <v>112</v>
      </c>
      <c r="C103" t="s">
        <v>108</v>
      </c>
      <c r="D103" t="s">
        <v>65</v>
      </c>
      <c r="E103">
        <v>0.3</v>
      </c>
      <c r="F103">
        <v>1</v>
      </c>
      <c r="G103" s="1">
        <v>10.44</v>
      </c>
      <c r="H103" s="1">
        <v>11.24</v>
      </c>
      <c r="I103">
        <f>16+24</f>
        <v>40</v>
      </c>
      <c r="J103">
        <v>15.9</v>
      </c>
      <c r="K103">
        <v>10</v>
      </c>
      <c r="L103" t="s">
        <v>125</v>
      </c>
    </row>
    <row r="104" spans="1:12" hidden="1" x14ac:dyDescent="0.35">
      <c r="A104">
        <v>251</v>
      </c>
      <c r="B104" t="s">
        <v>112</v>
      </c>
      <c r="C104" t="s">
        <v>108</v>
      </c>
      <c r="D104" t="s">
        <v>65</v>
      </c>
      <c r="E104">
        <v>0.3</v>
      </c>
      <c r="F104">
        <v>1</v>
      </c>
      <c r="G104" s="1">
        <v>10.45</v>
      </c>
      <c r="H104" s="1">
        <v>11.25</v>
      </c>
      <c r="I104">
        <v>40</v>
      </c>
      <c r="J104">
        <v>15.9</v>
      </c>
      <c r="K104">
        <v>14</v>
      </c>
      <c r="L104" t="s">
        <v>125</v>
      </c>
    </row>
    <row r="105" spans="1:12" hidden="1" x14ac:dyDescent="0.35">
      <c r="A105">
        <v>254</v>
      </c>
      <c r="B105" t="s">
        <v>112</v>
      </c>
      <c r="C105" t="s">
        <v>108</v>
      </c>
      <c r="D105" t="s">
        <v>65</v>
      </c>
      <c r="E105">
        <v>0.3</v>
      </c>
      <c r="F105">
        <v>1</v>
      </c>
      <c r="G105" s="1">
        <v>10.48</v>
      </c>
      <c r="H105" s="1">
        <v>11.4</v>
      </c>
      <c r="I105">
        <v>52</v>
      </c>
      <c r="J105">
        <v>15.9</v>
      </c>
      <c r="K105">
        <v>6</v>
      </c>
      <c r="L105" t="s">
        <v>125</v>
      </c>
    </row>
    <row r="106" spans="1:12" hidden="1" x14ac:dyDescent="0.35">
      <c r="A106">
        <v>256</v>
      </c>
      <c r="B106" t="s">
        <v>112</v>
      </c>
      <c r="C106" t="s">
        <v>108</v>
      </c>
      <c r="D106" t="s">
        <v>65</v>
      </c>
      <c r="E106">
        <v>0.3</v>
      </c>
      <c r="F106">
        <v>1</v>
      </c>
      <c r="G106" s="1">
        <v>10.51</v>
      </c>
      <c r="H106" s="1">
        <v>11.44</v>
      </c>
      <c r="I106">
        <f>9+44</f>
        <v>53</v>
      </c>
      <c r="J106">
        <v>15.9</v>
      </c>
      <c r="K106">
        <v>4</v>
      </c>
      <c r="L106" t="s">
        <v>125</v>
      </c>
    </row>
    <row r="107" spans="1:12" hidden="1" x14ac:dyDescent="0.35">
      <c r="A107">
        <v>257</v>
      </c>
      <c r="B107" t="s">
        <v>112</v>
      </c>
      <c r="C107" t="s">
        <v>108</v>
      </c>
      <c r="D107" t="s">
        <v>65</v>
      </c>
      <c r="E107">
        <v>0.3</v>
      </c>
      <c r="F107">
        <v>1</v>
      </c>
      <c r="G107" s="1">
        <v>10.52</v>
      </c>
      <c r="H107" s="1">
        <v>11.45</v>
      </c>
      <c r="I107">
        <v>53</v>
      </c>
      <c r="J107">
        <v>15.9</v>
      </c>
      <c r="K107">
        <v>3</v>
      </c>
      <c r="L107" t="s">
        <v>125</v>
      </c>
    </row>
    <row r="108" spans="1:12" hidden="1" x14ac:dyDescent="0.35">
      <c r="A108">
        <v>259</v>
      </c>
      <c r="B108" t="s">
        <v>112</v>
      </c>
      <c r="C108" t="s">
        <v>108</v>
      </c>
      <c r="D108" t="s">
        <v>65</v>
      </c>
      <c r="E108">
        <v>0.3</v>
      </c>
      <c r="F108">
        <v>1</v>
      </c>
      <c r="G108" s="1">
        <v>10.54</v>
      </c>
      <c r="H108" s="1">
        <v>11.48</v>
      </c>
      <c r="I108">
        <v>54</v>
      </c>
      <c r="J108">
        <v>15.9</v>
      </c>
      <c r="K108">
        <v>3</v>
      </c>
      <c r="L108" t="s">
        <v>125</v>
      </c>
    </row>
    <row r="109" spans="1:12" hidden="1" x14ac:dyDescent="0.35">
      <c r="A109">
        <v>260</v>
      </c>
      <c r="B109" t="s">
        <v>112</v>
      </c>
      <c r="C109" t="s">
        <v>108</v>
      </c>
      <c r="D109" t="s">
        <v>65</v>
      </c>
      <c r="E109">
        <v>0.3</v>
      </c>
      <c r="F109">
        <v>1</v>
      </c>
      <c r="G109" s="1">
        <v>10.55</v>
      </c>
      <c r="H109" s="1">
        <v>11.5</v>
      </c>
      <c r="I109">
        <v>55</v>
      </c>
      <c r="J109">
        <v>15.9</v>
      </c>
      <c r="K109">
        <v>5</v>
      </c>
      <c r="L109" t="s">
        <v>125</v>
      </c>
    </row>
    <row r="110" spans="1:12" hidden="1" x14ac:dyDescent="0.35">
      <c r="A110">
        <v>263</v>
      </c>
      <c r="B110" t="s">
        <v>112</v>
      </c>
      <c r="C110" t="s">
        <v>108</v>
      </c>
      <c r="D110" t="s">
        <v>65</v>
      </c>
      <c r="E110">
        <v>0.3</v>
      </c>
      <c r="F110">
        <v>1</v>
      </c>
      <c r="G110" s="1">
        <v>10.59</v>
      </c>
      <c r="H110" s="1">
        <v>11.56</v>
      </c>
      <c r="I110">
        <v>57</v>
      </c>
      <c r="J110">
        <v>15.9</v>
      </c>
      <c r="K110">
        <v>3</v>
      </c>
      <c r="L110" t="s">
        <v>125</v>
      </c>
    </row>
    <row r="111" spans="1:12" hidden="1" x14ac:dyDescent="0.35">
      <c r="A111">
        <v>264</v>
      </c>
      <c r="B111" t="s">
        <v>112</v>
      </c>
      <c r="C111" t="s">
        <v>108</v>
      </c>
      <c r="D111" t="s">
        <v>65</v>
      </c>
      <c r="E111">
        <v>0.3</v>
      </c>
      <c r="F111">
        <v>1</v>
      </c>
      <c r="G111" s="1">
        <v>11.01</v>
      </c>
      <c r="H111" s="1">
        <v>11.57</v>
      </c>
      <c r="I111">
        <v>56</v>
      </c>
      <c r="J111">
        <v>15.9</v>
      </c>
      <c r="K111">
        <v>3</v>
      </c>
      <c r="L111" t="s">
        <v>125</v>
      </c>
    </row>
    <row r="112" spans="1:12" hidden="1" x14ac:dyDescent="0.35">
      <c r="A112">
        <v>249</v>
      </c>
      <c r="B112" t="s">
        <v>112</v>
      </c>
      <c r="C112" t="s">
        <v>26</v>
      </c>
      <c r="D112" t="s">
        <v>65</v>
      </c>
      <c r="E112">
        <v>0.4</v>
      </c>
      <c r="F112">
        <v>1</v>
      </c>
      <c r="G112" s="1">
        <v>10.42</v>
      </c>
      <c r="H112" s="1">
        <v>11.23</v>
      </c>
      <c r="I112">
        <f>18+23</f>
        <v>41</v>
      </c>
      <c r="J112">
        <v>15.9</v>
      </c>
      <c r="K112">
        <v>15</v>
      </c>
    </row>
    <row r="113" spans="1:12" hidden="1" x14ac:dyDescent="0.35">
      <c r="A113">
        <v>270</v>
      </c>
      <c r="B113" t="s">
        <v>112</v>
      </c>
      <c r="C113" t="s">
        <v>26</v>
      </c>
      <c r="D113" t="s">
        <v>65</v>
      </c>
      <c r="E113">
        <v>0.3</v>
      </c>
      <c r="F113">
        <v>1</v>
      </c>
      <c r="G113" s="1">
        <v>13.39</v>
      </c>
      <c r="H113" s="1">
        <v>14.12</v>
      </c>
      <c r="I113">
        <v>33</v>
      </c>
      <c r="J113">
        <v>15.9</v>
      </c>
      <c r="K113">
        <v>7</v>
      </c>
    </row>
    <row r="114" spans="1:12" hidden="1" x14ac:dyDescent="0.35">
      <c r="A114">
        <v>220</v>
      </c>
      <c r="B114" t="s">
        <v>106</v>
      </c>
      <c r="C114" t="s">
        <v>123</v>
      </c>
      <c r="D114" t="s">
        <v>29</v>
      </c>
      <c r="E114">
        <v>5</v>
      </c>
      <c r="F114">
        <v>1</v>
      </c>
      <c r="G114" s="1">
        <v>18.489999999999998</v>
      </c>
      <c r="H114" s="1">
        <v>19.25</v>
      </c>
      <c r="I114">
        <v>31</v>
      </c>
      <c r="J114">
        <v>16.2</v>
      </c>
      <c r="K114">
        <v>482</v>
      </c>
    </row>
    <row r="115" spans="1:12" hidden="1" x14ac:dyDescent="0.35">
      <c r="A115">
        <v>221</v>
      </c>
      <c r="B115" t="s">
        <v>106</v>
      </c>
      <c r="C115" t="s">
        <v>123</v>
      </c>
      <c r="D115" t="s">
        <v>29</v>
      </c>
      <c r="E115">
        <v>5</v>
      </c>
      <c r="F115">
        <v>1</v>
      </c>
      <c r="G115" s="1">
        <v>18.54</v>
      </c>
      <c r="H115" s="1">
        <v>19.32</v>
      </c>
      <c r="I115">
        <v>38</v>
      </c>
      <c r="J115">
        <v>16.2</v>
      </c>
      <c r="K115">
        <v>395</v>
      </c>
    </row>
    <row r="116" spans="1:12" hidden="1" x14ac:dyDescent="0.35">
      <c r="A116">
        <v>222</v>
      </c>
      <c r="B116" t="s">
        <v>106</v>
      </c>
      <c r="C116" t="s">
        <v>123</v>
      </c>
      <c r="D116" t="s">
        <v>29</v>
      </c>
      <c r="E116">
        <v>5</v>
      </c>
      <c r="F116">
        <v>1</v>
      </c>
      <c r="G116" s="1">
        <v>18.559999999999999</v>
      </c>
      <c r="H116" s="1">
        <v>19.34</v>
      </c>
      <c r="I116">
        <v>38</v>
      </c>
      <c r="J116">
        <v>16.2</v>
      </c>
      <c r="K116">
        <v>422</v>
      </c>
    </row>
    <row r="117" spans="1:12" hidden="1" x14ac:dyDescent="0.35">
      <c r="A117">
        <v>223</v>
      </c>
      <c r="B117" t="s">
        <v>106</v>
      </c>
      <c r="C117" t="s">
        <v>123</v>
      </c>
      <c r="D117" t="s">
        <v>29</v>
      </c>
      <c r="E117">
        <v>5</v>
      </c>
      <c r="F117">
        <v>1</v>
      </c>
      <c r="G117" s="1">
        <v>18.579999999999998</v>
      </c>
      <c r="H117" s="1">
        <v>19.350000000000001</v>
      </c>
      <c r="I117">
        <v>37</v>
      </c>
      <c r="J117">
        <v>16.2</v>
      </c>
      <c r="K117">
        <v>421</v>
      </c>
    </row>
    <row r="118" spans="1:12" hidden="1" x14ac:dyDescent="0.35">
      <c r="A118">
        <v>224</v>
      </c>
      <c r="B118" t="s">
        <v>106</v>
      </c>
      <c r="C118" t="s">
        <v>123</v>
      </c>
      <c r="D118" t="s">
        <v>29</v>
      </c>
      <c r="E118">
        <v>5</v>
      </c>
      <c r="F118">
        <v>1</v>
      </c>
      <c r="G118" s="1">
        <v>19.010000000000002</v>
      </c>
      <c r="H118" s="1">
        <v>19.36</v>
      </c>
      <c r="I118">
        <v>35</v>
      </c>
      <c r="J118">
        <v>16.2</v>
      </c>
      <c r="K118">
        <v>338</v>
      </c>
    </row>
    <row r="119" spans="1:12" hidden="1" x14ac:dyDescent="0.35">
      <c r="A119">
        <v>225</v>
      </c>
      <c r="B119" t="s">
        <v>106</v>
      </c>
      <c r="C119" t="s">
        <v>123</v>
      </c>
      <c r="D119" t="s">
        <v>29</v>
      </c>
      <c r="E119">
        <v>5</v>
      </c>
      <c r="F119">
        <v>1</v>
      </c>
      <c r="G119" s="1">
        <v>19.02</v>
      </c>
      <c r="H119" s="1">
        <v>19.36</v>
      </c>
      <c r="I119">
        <v>34</v>
      </c>
      <c r="J119">
        <v>16.2</v>
      </c>
      <c r="K119">
        <v>394</v>
      </c>
    </row>
    <row r="120" spans="1:12" hidden="1" x14ac:dyDescent="0.35">
      <c r="A120">
        <v>226</v>
      </c>
      <c r="B120" t="s">
        <v>106</v>
      </c>
      <c r="C120" t="s">
        <v>123</v>
      </c>
      <c r="D120" t="s">
        <v>29</v>
      </c>
      <c r="E120">
        <v>5</v>
      </c>
      <c r="F120">
        <v>1</v>
      </c>
      <c r="G120" s="1">
        <v>19.059999999999999</v>
      </c>
      <c r="H120" s="1">
        <v>19.37</v>
      </c>
      <c r="I120">
        <v>31</v>
      </c>
      <c r="J120">
        <v>16.2</v>
      </c>
      <c r="K120">
        <v>485</v>
      </c>
    </row>
    <row r="121" spans="1:12" hidden="1" x14ac:dyDescent="0.35">
      <c r="A121">
        <v>227</v>
      </c>
      <c r="B121" t="s">
        <v>106</v>
      </c>
      <c r="C121" t="s">
        <v>123</v>
      </c>
      <c r="D121" t="s">
        <v>29</v>
      </c>
      <c r="E121">
        <v>5</v>
      </c>
      <c r="F121">
        <v>1</v>
      </c>
      <c r="G121" s="1">
        <v>19.079999999999998</v>
      </c>
      <c r="H121" s="1">
        <v>19.38</v>
      </c>
      <c r="I121">
        <v>30</v>
      </c>
      <c r="J121">
        <v>16.2</v>
      </c>
      <c r="K121">
        <v>400</v>
      </c>
    </row>
    <row r="122" spans="1:12" hidden="1" x14ac:dyDescent="0.35">
      <c r="A122">
        <v>228</v>
      </c>
      <c r="B122" t="s">
        <v>106</v>
      </c>
      <c r="C122" t="s">
        <v>123</v>
      </c>
      <c r="D122" t="s">
        <v>29</v>
      </c>
      <c r="E122">
        <v>5</v>
      </c>
      <c r="F122">
        <v>1</v>
      </c>
      <c r="G122" s="1">
        <v>19.11</v>
      </c>
      <c r="H122" s="1">
        <v>19.399999999999999</v>
      </c>
      <c r="I122">
        <v>29</v>
      </c>
      <c r="J122">
        <v>16.2</v>
      </c>
      <c r="K122">
        <v>417</v>
      </c>
    </row>
    <row r="123" spans="1:12" hidden="1" x14ac:dyDescent="0.35">
      <c r="A123">
        <v>229</v>
      </c>
      <c r="B123" t="s">
        <v>106</v>
      </c>
      <c r="C123" t="s">
        <v>123</v>
      </c>
      <c r="D123" t="s">
        <v>29</v>
      </c>
      <c r="E123">
        <v>5</v>
      </c>
      <c r="F123">
        <v>1</v>
      </c>
      <c r="G123" s="1">
        <v>19.14</v>
      </c>
      <c r="H123" s="1">
        <v>19.41</v>
      </c>
      <c r="I123">
        <f>41-14</f>
        <v>27</v>
      </c>
      <c r="J123">
        <v>16.2</v>
      </c>
      <c r="K123">
        <v>199</v>
      </c>
    </row>
    <row r="124" spans="1:12" hidden="1" x14ac:dyDescent="0.35">
      <c r="A124">
        <v>245</v>
      </c>
      <c r="B124" t="s">
        <v>106</v>
      </c>
      <c r="C124" t="s">
        <v>32</v>
      </c>
      <c r="D124" t="s">
        <v>29</v>
      </c>
      <c r="E124">
        <v>5</v>
      </c>
      <c r="F124" t="s">
        <v>31</v>
      </c>
      <c r="G124" s="1">
        <v>20.149999999999999</v>
      </c>
      <c r="H124" s="1">
        <v>20.55</v>
      </c>
      <c r="I124">
        <v>40</v>
      </c>
      <c r="J124">
        <v>16.2</v>
      </c>
      <c r="K124" t="s">
        <v>31</v>
      </c>
    </row>
    <row r="125" spans="1:12" hidden="1" x14ac:dyDescent="0.35">
      <c r="A125">
        <v>246</v>
      </c>
      <c r="B125" t="s">
        <v>106</v>
      </c>
      <c r="C125" t="s">
        <v>34</v>
      </c>
      <c r="D125" t="s">
        <v>65</v>
      </c>
      <c r="E125">
        <v>0.4</v>
      </c>
      <c r="F125">
        <v>1</v>
      </c>
      <c r="G125" s="1">
        <v>20.18</v>
      </c>
      <c r="H125" s="1">
        <v>20.55</v>
      </c>
      <c r="I125">
        <v>37</v>
      </c>
      <c r="J125">
        <v>16.2</v>
      </c>
      <c r="K125" t="s">
        <v>31</v>
      </c>
    </row>
    <row r="126" spans="1:12" hidden="1" x14ac:dyDescent="0.35">
      <c r="A126">
        <v>219</v>
      </c>
      <c r="B126" t="s">
        <v>106</v>
      </c>
      <c r="C126" t="s">
        <v>21</v>
      </c>
      <c r="D126" t="s">
        <v>29</v>
      </c>
      <c r="E126">
        <v>6</v>
      </c>
      <c r="F126">
        <v>1</v>
      </c>
      <c r="G126" s="1">
        <v>18.47</v>
      </c>
      <c r="H126" s="1">
        <v>19.2</v>
      </c>
      <c r="I126">
        <v>33</v>
      </c>
      <c r="J126">
        <v>16.2</v>
      </c>
      <c r="K126">
        <v>665</v>
      </c>
    </row>
    <row r="127" spans="1:12" hidden="1" x14ac:dyDescent="0.35">
      <c r="A127">
        <v>200</v>
      </c>
      <c r="B127" t="s">
        <v>106</v>
      </c>
      <c r="C127" t="s">
        <v>107</v>
      </c>
      <c r="D127" t="s">
        <v>65</v>
      </c>
      <c r="E127">
        <v>0.3</v>
      </c>
      <c r="F127">
        <v>1</v>
      </c>
      <c r="G127" s="1">
        <v>17.32</v>
      </c>
      <c r="H127" s="1">
        <v>18.13</v>
      </c>
      <c r="I127">
        <f>28+13</f>
        <v>41</v>
      </c>
      <c r="J127">
        <v>16.2</v>
      </c>
      <c r="K127">
        <v>3</v>
      </c>
      <c r="L127" s="2" t="s">
        <v>121</v>
      </c>
    </row>
    <row r="128" spans="1:12" hidden="1" x14ac:dyDescent="0.35">
      <c r="A128">
        <v>201</v>
      </c>
      <c r="B128" t="s">
        <v>106</v>
      </c>
      <c r="C128" t="s">
        <v>107</v>
      </c>
      <c r="D128" t="s">
        <v>65</v>
      </c>
      <c r="E128">
        <v>0.3</v>
      </c>
      <c r="F128">
        <v>1</v>
      </c>
      <c r="G128" s="1">
        <v>17.34</v>
      </c>
      <c r="H128" s="1">
        <v>18.149999999999999</v>
      </c>
      <c r="I128">
        <f>26+15</f>
        <v>41</v>
      </c>
      <c r="J128">
        <v>16.2</v>
      </c>
      <c r="K128">
        <v>2</v>
      </c>
      <c r="L128" s="2" t="s">
        <v>120</v>
      </c>
    </row>
    <row r="129" spans="1:12" hidden="1" x14ac:dyDescent="0.35">
      <c r="A129">
        <v>202</v>
      </c>
      <c r="B129" t="s">
        <v>106</v>
      </c>
      <c r="C129" t="s">
        <v>107</v>
      </c>
      <c r="D129" t="s">
        <v>65</v>
      </c>
      <c r="E129">
        <v>0.3</v>
      </c>
      <c r="F129">
        <v>1</v>
      </c>
      <c r="G129" s="1">
        <v>17.36</v>
      </c>
      <c r="H129" s="1">
        <v>18.170000000000002</v>
      </c>
      <c r="I129">
        <f>24+17</f>
        <v>41</v>
      </c>
      <c r="J129">
        <v>16.2</v>
      </c>
      <c r="K129">
        <v>3</v>
      </c>
      <c r="L129" s="2" t="s">
        <v>120</v>
      </c>
    </row>
    <row r="130" spans="1:12" hidden="1" x14ac:dyDescent="0.35">
      <c r="A130">
        <v>203</v>
      </c>
      <c r="B130" t="s">
        <v>106</v>
      </c>
      <c r="C130" t="s">
        <v>107</v>
      </c>
      <c r="D130" t="s">
        <v>65</v>
      </c>
      <c r="E130">
        <v>0.3</v>
      </c>
      <c r="F130">
        <v>1</v>
      </c>
      <c r="G130" s="1">
        <v>17.37</v>
      </c>
      <c r="H130" s="1">
        <v>18.18</v>
      </c>
      <c r="I130">
        <f>23+18</f>
        <v>41</v>
      </c>
      <c r="J130">
        <v>16.2</v>
      </c>
      <c r="K130">
        <v>4</v>
      </c>
      <c r="L130" s="2" t="s">
        <v>120</v>
      </c>
    </row>
    <row r="131" spans="1:12" hidden="1" x14ac:dyDescent="0.35">
      <c r="A131">
        <v>204</v>
      </c>
      <c r="B131" t="s">
        <v>106</v>
      </c>
      <c r="C131" t="s">
        <v>107</v>
      </c>
      <c r="D131" t="s">
        <v>65</v>
      </c>
      <c r="E131">
        <v>0.3</v>
      </c>
      <c r="F131">
        <v>1</v>
      </c>
      <c r="G131" s="1">
        <v>17.38</v>
      </c>
      <c r="H131" s="1">
        <v>18.190000000000001</v>
      </c>
      <c r="I131">
        <f>22+19</f>
        <v>41</v>
      </c>
      <c r="J131">
        <v>16.2</v>
      </c>
      <c r="K131">
        <v>3</v>
      </c>
      <c r="L131" s="2" t="s">
        <v>120</v>
      </c>
    </row>
    <row r="132" spans="1:12" hidden="1" x14ac:dyDescent="0.35">
      <c r="A132">
        <v>205</v>
      </c>
      <c r="B132" t="s">
        <v>106</v>
      </c>
      <c r="C132" t="s">
        <v>107</v>
      </c>
      <c r="D132" t="s">
        <v>65</v>
      </c>
      <c r="E132">
        <v>0.3</v>
      </c>
      <c r="F132">
        <v>1</v>
      </c>
      <c r="G132" s="1">
        <v>17.399999999999999</v>
      </c>
      <c r="H132" s="1">
        <v>18.2</v>
      </c>
      <c r="I132">
        <v>40</v>
      </c>
      <c r="J132">
        <v>16.2</v>
      </c>
      <c r="K132">
        <v>3</v>
      </c>
      <c r="L132" s="2" t="s">
        <v>120</v>
      </c>
    </row>
    <row r="133" spans="1:12" hidden="1" x14ac:dyDescent="0.35">
      <c r="A133">
        <v>210</v>
      </c>
      <c r="B133" t="s">
        <v>106</v>
      </c>
      <c r="C133" t="s">
        <v>107</v>
      </c>
      <c r="D133" t="s">
        <v>65</v>
      </c>
      <c r="E133">
        <v>0.3</v>
      </c>
      <c r="F133">
        <v>1</v>
      </c>
      <c r="G133" s="1">
        <v>17.47</v>
      </c>
      <c r="H133" s="1">
        <v>18.25</v>
      </c>
      <c r="I133">
        <f>13+25</f>
        <v>38</v>
      </c>
      <c r="J133">
        <v>16.2</v>
      </c>
      <c r="K133">
        <v>3</v>
      </c>
      <c r="L133" t="s">
        <v>122</v>
      </c>
    </row>
    <row r="134" spans="1:12" hidden="1" x14ac:dyDescent="0.35">
      <c r="A134">
        <v>214</v>
      </c>
      <c r="B134" t="s">
        <v>106</v>
      </c>
      <c r="C134" t="s">
        <v>107</v>
      </c>
      <c r="D134" t="s">
        <v>65</v>
      </c>
      <c r="E134">
        <v>0.3</v>
      </c>
      <c r="F134">
        <v>1</v>
      </c>
      <c r="G134" s="1">
        <v>17.55</v>
      </c>
      <c r="H134" s="1">
        <v>18.309999999999999</v>
      </c>
      <c r="I134">
        <v>36</v>
      </c>
      <c r="J134">
        <v>16.2</v>
      </c>
      <c r="K134">
        <v>4</v>
      </c>
      <c r="L134" t="s">
        <v>122</v>
      </c>
    </row>
    <row r="135" spans="1:12" hidden="1" x14ac:dyDescent="0.35">
      <c r="A135">
        <v>215</v>
      </c>
      <c r="B135" t="s">
        <v>106</v>
      </c>
      <c r="C135" t="s">
        <v>107</v>
      </c>
      <c r="D135" t="s">
        <v>65</v>
      </c>
      <c r="E135">
        <v>0.3</v>
      </c>
      <c r="F135">
        <v>1</v>
      </c>
      <c r="G135" s="1">
        <v>17.55</v>
      </c>
      <c r="H135" s="1">
        <v>18.32</v>
      </c>
      <c r="I135">
        <v>37</v>
      </c>
      <c r="J135">
        <v>16.2</v>
      </c>
      <c r="K135">
        <v>2</v>
      </c>
      <c r="L135" t="s">
        <v>122</v>
      </c>
    </row>
    <row r="136" spans="1:12" hidden="1" x14ac:dyDescent="0.35">
      <c r="A136">
        <v>216</v>
      </c>
      <c r="B136" t="s">
        <v>106</v>
      </c>
      <c r="C136" t="s">
        <v>107</v>
      </c>
      <c r="D136" t="s">
        <v>65</v>
      </c>
      <c r="E136">
        <v>0.3</v>
      </c>
      <c r="F136">
        <v>1</v>
      </c>
      <c r="G136" s="1">
        <v>17.559999999999999</v>
      </c>
      <c r="H136" s="1">
        <v>18.329999999999998</v>
      </c>
      <c r="I136">
        <v>37</v>
      </c>
      <c r="J136">
        <v>16.2</v>
      </c>
      <c r="K136">
        <v>2</v>
      </c>
      <c r="L136" t="s">
        <v>122</v>
      </c>
    </row>
    <row r="137" spans="1:12" hidden="1" x14ac:dyDescent="0.35">
      <c r="A137">
        <v>217</v>
      </c>
      <c r="B137" t="s">
        <v>106</v>
      </c>
      <c r="C137" t="s">
        <v>107</v>
      </c>
      <c r="D137" t="s">
        <v>65</v>
      </c>
      <c r="E137">
        <v>0.3</v>
      </c>
      <c r="F137">
        <v>1</v>
      </c>
      <c r="G137" s="1">
        <v>17.57</v>
      </c>
      <c r="H137" s="1">
        <v>18.350000000000001</v>
      </c>
      <c r="I137">
        <v>38</v>
      </c>
      <c r="J137">
        <v>16.2</v>
      </c>
      <c r="K137">
        <v>3</v>
      </c>
      <c r="L137" t="s">
        <v>122</v>
      </c>
    </row>
    <row r="138" spans="1:12" hidden="1" x14ac:dyDescent="0.35">
      <c r="A138">
        <v>206</v>
      </c>
      <c r="B138" t="s">
        <v>106</v>
      </c>
      <c r="C138" t="s">
        <v>108</v>
      </c>
      <c r="D138" t="s">
        <v>65</v>
      </c>
      <c r="E138">
        <v>0.3</v>
      </c>
      <c r="F138">
        <v>1</v>
      </c>
      <c r="G138" s="1">
        <v>17.440000000000001</v>
      </c>
      <c r="H138" s="1">
        <v>18.21</v>
      </c>
      <c r="I138">
        <v>37</v>
      </c>
      <c r="J138">
        <v>16.2</v>
      </c>
      <c r="K138">
        <v>3</v>
      </c>
      <c r="L138" t="s">
        <v>122</v>
      </c>
    </row>
    <row r="139" spans="1:12" hidden="1" x14ac:dyDescent="0.35">
      <c r="A139">
        <v>207</v>
      </c>
      <c r="B139" t="s">
        <v>106</v>
      </c>
      <c r="C139" t="s">
        <v>108</v>
      </c>
      <c r="D139" t="s">
        <v>65</v>
      </c>
      <c r="E139">
        <v>0.3</v>
      </c>
      <c r="F139">
        <v>1</v>
      </c>
      <c r="G139" s="1">
        <v>17.440000000000001</v>
      </c>
      <c r="H139" s="1">
        <v>18.22</v>
      </c>
      <c r="I139">
        <f>16+22</f>
        <v>38</v>
      </c>
      <c r="J139">
        <v>16.2</v>
      </c>
      <c r="K139">
        <v>3</v>
      </c>
      <c r="L139" t="s">
        <v>122</v>
      </c>
    </row>
    <row r="140" spans="1:12" hidden="1" x14ac:dyDescent="0.35">
      <c r="A140">
        <v>208</v>
      </c>
      <c r="B140" t="s">
        <v>106</v>
      </c>
      <c r="C140" t="s">
        <v>108</v>
      </c>
      <c r="D140" t="s">
        <v>65</v>
      </c>
      <c r="E140">
        <v>0.3</v>
      </c>
      <c r="F140">
        <v>1</v>
      </c>
      <c r="G140" s="1">
        <v>17.46</v>
      </c>
      <c r="H140" s="1">
        <v>18.23</v>
      </c>
      <c r="I140">
        <f>14+23</f>
        <v>37</v>
      </c>
      <c r="J140">
        <v>16.2</v>
      </c>
      <c r="K140">
        <v>2</v>
      </c>
      <c r="L140" t="s">
        <v>122</v>
      </c>
    </row>
    <row r="141" spans="1:12" hidden="1" x14ac:dyDescent="0.35">
      <c r="A141">
        <v>209</v>
      </c>
      <c r="B141" t="s">
        <v>106</v>
      </c>
      <c r="C141" t="s">
        <v>108</v>
      </c>
      <c r="D141" t="s">
        <v>65</v>
      </c>
      <c r="E141">
        <v>0.3</v>
      </c>
      <c r="F141">
        <v>1</v>
      </c>
      <c r="G141" s="1">
        <v>17.46</v>
      </c>
      <c r="H141" s="1">
        <v>18.239999999999998</v>
      </c>
      <c r="I141">
        <f>14+24</f>
        <v>38</v>
      </c>
      <c r="J141">
        <v>16.2</v>
      </c>
      <c r="K141">
        <v>2</v>
      </c>
      <c r="L141" t="s">
        <v>122</v>
      </c>
    </row>
    <row r="142" spans="1:12" hidden="1" x14ac:dyDescent="0.35">
      <c r="A142">
        <v>211</v>
      </c>
      <c r="B142" t="s">
        <v>106</v>
      </c>
      <c r="C142" t="s">
        <v>108</v>
      </c>
      <c r="D142" t="s">
        <v>65</v>
      </c>
      <c r="E142">
        <v>0.3</v>
      </c>
      <c r="F142">
        <v>1</v>
      </c>
      <c r="G142" s="1">
        <v>17.48</v>
      </c>
      <c r="H142" s="1">
        <v>18.27</v>
      </c>
      <c r="I142">
        <v>39</v>
      </c>
      <c r="J142">
        <v>16.2</v>
      </c>
      <c r="K142">
        <v>4</v>
      </c>
      <c r="L142" t="s">
        <v>122</v>
      </c>
    </row>
    <row r="143" spans="1:12" hidden="1" x14ac:dyDescent="0.35">
      <c r="A143">
        <v>212</v>
      </c>
      <c r="B143" t="s">
        <v>106</v>
      </c>
      <c r="C143" t="s">
        <v>108</v>
      </c>
      <c r="D143" t="s">
        <v>65</v>
      </c>
      <c r="E143">
        <v>0.3</v>
      </c>
      <c r="F143">
        <v>1</v>
      </c>
      <c r="G143" s="1">
        <v>17.53</v>
      </c>
      <c r="H143" s="1">
        <v>18.28</v>
      </c>
      <c r="I143">
        <v>35</v>
      </c>
      <c r="J143">
        <v>16.2</v>
      </c>
      <c r="K143">
        <v>2</v>
      </c>
      <c r="L143" t="s">
        <v>122</v>
      </c>
    </row>
    <row r="144" spans="1:12" hidden="1" x14ac:dyDescent="0.35">
      <c r="A144">
        <v>213</v>
      </c>
      <c r="B144" t="s">
        <v>106</v>
      </c>
      <c r="C144" t="s">
        <v>108</v>
      </c>
      <c r="D144" t="s">
        <v>65</v>
      </c>
      <c r="E144">
        <v>0.3</v>
      </c>
      <c r="F144">
        <v>1</v>
      </c>
      <c r="G144" s="1">
        <v>17.54</v>
      </c>
      <c r="H144" s="1">
        <v>18.29</v>
      </c>
      <c r="I144">
        <v>35</v>
      </c>
      <c r="J144">
        <v>16.2</v>
      </c>
      <c r="K144">
        <v>3</v>
      </c>
      <c r="L144" t="s">
        <v>122</v>
      </c>
    </row>
    <row r="145" spans="1:12" hidden="1" x14ac:dyDescent="0.35">
      <c r="A145">
        <v>218</v>
      </c>
      <c r="B145" t="s">
        <v>106</v>
      </c>
      <c r="C145" t="s">
        <v>108</v>
      </c>
      <c r="D145" t="s">
        <v>65</v>
      </c>
      <c r="E145">
        <v>0.3</v>
      </c>
      <c r="F145">
        <v>1</v>
      </c>
      <c r="G145" s="1">
        <v>17.57</v>
      </c>
      <c r="H145" s="1">
        <v>18.350000000000001</v>
      </c>
      <c r="I145">
        <v>38</v>
      </c>
      <c r="J145">
        <v>16.2</v>
      </c>
      <c r="K145" t="s">
        <v>124</v>
      </c>
      <c r="L145" t="s">
        <v>122</v>
      </c>
    </row>
    <row r="146" spans="1:12" hidden="1" x14ac:dyDescent="0.35">
      <c r="A146">
        <v>230</v>
      </c>
      <c r="B146" t="s">
        <v>106</v>
      </c>
      <c r="C146" t="s">
        <v>26</v>
      </c>
      <c r="D146" t="s">
        <v>29</v>
      </c>
      <c r="E146">
        <v>4</v>
      </c>
      <c r="F146">
        <v>1</v>
      </c>
      <c r="G146" s="1">
        <v>19.170000000000002</v>
      </c>
      <c r="H146" s="1">
        <v>19.420000000000002</v>
      </c>
      <c r="I146">
        <v>28</v>
      </c>
      <c r="J146">
        <v>16.2</v>
      </c>
      <c r="K146">
        <v>208</v>
      </c>
    </row>
    <row r="147" spans="1:12" hidden="1" x14ac:dyDescent="0.35">
      <c r="A147">
        <v>231</v>
      </c>
      <c r="B147" t="s">
        <v>106</v>
      </c>
      <c r="C147" t="s">
        <v>26</v>
      </c>
      <c r="D147" t="s">
        <v>29</v>
      </c>
      <c r="E147">
        <v>2.5</v>
      </c>
      <c r="F147">
        <v>1</v>
      </c>
      <c r="G147" s="1">
        <v>19.45</v>
      </c>
      <c r="H147" s="1">
        <v>20.18</v>
      </c>
      <c r="I147">
        <v>33</v>
      </c>
      <c r="J147">
        <v>16.2</v>
      </c>
      <c r="K147">
        <v>168</v>
      </c>
    </row>
    <row r="148" spans="1:12" hidden="1" x14ac:dyDescent="0.35">
      <c r="A148">
        <v>232</v>
      </c>
      <c r="B148" t="s">
        <v>106</v>
      </c>
      <c r="C148" t="s">
        <v>26</v>
      </c>
      <c r="D148" t="s">
        <v>29</v>
      </c>
      <c r="E148">
        <v>2.5</v>
      </c>
      <c r="F148">
        <v>1</v>
      </c>
      <c r="G148" s="1">
        <v>19.48</v>
      </c>
      <c r="H148" s="1">
        <v>20.21</v>
      </c>
      <c r="I148">
        <v>33</v>
      </c>
      <c r="J148">
        <v>16.2</v>
      </c>
      <c r="K148">
        <v>149</v>
      </c>
    </row>
    <row r="149" spans="1:12" hidden="1" x14ac:dyDescent="0.35">
      <c r="A149">
        <v>233</v>
      </c>
      <c r="B149" t="s">
        <v>106</v>
      </c>
      <c r="C149" t="s">
        <v>26</v>
      </c>
      <c r="D149" t="s">
        <v>29</v>
      </c>
      <c r="E149">
        <v>2.5</v>
      </c>
      <c r="F149">
        <v>1</v>
      </c>
      <c r="G149" s="1">
        <v>19.489999999999998</v>
      </c>
      <c r="H149" s="1">
        <v>20.22</v>
      </c>
      <c r="I149">
        <v>33</v>
      </c>
      <c r="J149">
        <v>16.2</v>
      </c>
      <c r="K149">
        <v>127</v>
      </c>
    </row>
    <row r="150" spans="1:12" hidden="1" x14ac:dyDescent="0.35">
      <c r="A150">
        <v>234</v>
      </c>
      <c r="B150" t="s">
        <v>106</v>
      </c>
      <c r="C150" t="s">
        <v>26</v>
      </c>
      <c r="D150" t="s">
        <v>29</v>
      </c>
      <c r="E150">
        <v>2.5</v>
      </c>
      <c r="F150">
        <v>1</v>
      </c>
      <c r="G150" s="1">
        <v>19.510000000000002</v>
      </c>
      <c r="H150" s="1">
        <v>20.23</v>
      </c>
      <c r="I150">
        <v>32</v>
      </c>
      <c r="J150">
        <v>16.2</v>
      </c>
      <c r="K150">
        <v>110</v>
      </c>
    </row>
    <row r="151" spans="1:12" hidden="1" x14ac:dyDescent="0.35">
      <c r="A151">
        <v>235</v>
      </c>
      <c r="B151" t="s">
        <v>106</v>
      </c>
      <c r="C151" t="s">
        <v>26</v>
      </c>
      <c r="D151" t="s">
        <v>29</v>
      </c>
      <c r="E151">
        <v>2.5</v>
      </c>
      <c r="F151">
        <v>1</v>
      </c>
      <c r="G151" s="1">
        <v>19.52</v>
      </c>
      <c r="H151" s="1">
        <v>20.239999999999998</v>
      </c>
      <c r="I151">
        <v>32</v>
      </c>
      <c r="J151">
        <v>16.2</v>
      </c>
      <c r="K151">
        <v>95</v>
      </c>
    </row>
    <row r="152" spans="1:12" hidden="1" x14ac:dyDescent="0.35">
      <c r="A152">
        <v>236</v>
      </c>
      <c r="B152" t="s">
        <v>106</v>
      </c>
      <c r="C152" t="s">
        <v>26</v>
      </c>
      <c r="D152" t="s">
        <v>29</v>
      </c>
      <c r="E152">
        <v>2.5</v>
      </c>
      <c r="F152">
        <v>1</v>
      </c>
      <c r="G152" s="1">
        <v>19.53</v>
      </c>
      <c r="H152" s="1">
        <v>20.260000000000002</v>
      </c>
      <c r="I152">
        <v>33</v>
      </c>
      <c r="J152">
        <v>16.2</v>
      </c>
      <c r="K152">
        <v>89</v>
      </c>
    </row>
    <row r="153" spans="1:12" hidden="1" x14ac:dyDescent="0.35">
      <c r="A153">
        <v>237</v>
      </c>
      <c r="B153" t="s">
        <v>106</v>
      </c>
      <c r="C153" t="s">
        <v>26</v>
      </c>
      <c r="D153" t="s">
        <v>29</v>
      </c>
      <c r="E153">
        <v>2.5</v>
      </c>
      <c r="F153">
        <v>1</v>
      </c>
      <c r="G153" s="1">
        <v>19.55</v>
      </c>
      <c r="H153" s="1">
        <v>20.27</v>
      </c>
      <c r="I153">
        <v>32</v>
      </c>
      <c r="J153">
        <v>16.2</v>
      </c>
      <c r="K153">
        <v>98</v>
      </c>
    </row>
    <row r="154" spans="1:12" hidden="1" x14ac:dyDescent="0.35">
      <c r="A154">
        <v>238</v>
      </c>
      <c r="B154" t="s">
        <v>106</v>
      </c>
      <c r="C154" t="s">
        <v>26</v>
      </c>
      <c r="D154" t="s">
        <v>29</v>
      </c>
      <c r="E154">
        <v>2</v>
      </c>
      <c r="F154">
        <v>1</v>
      </c>
      <c r="G154" s="1">
        <v>19.579999999999998</v>
      </c>
      <c r="H154" s="1">
        <v>20.32</v>
      </c>
      <c r="I154">
        <v>34</v>
      </c>
      <c r="J154">
        <v>16.2</v>
      </c>
      <c r="K154">
        <v>68</v>
      </c>
    </row>
    <row r="155" spans="1:12" hidden="1" x14ac:dyDescent="0.35">
      <c r="A155">
        <v>239</v>
      </c>
      <c r="B155" t="s">
        <v>106</v>
      </c>
      <c r="C155" t="s">
        <v>26</v>
      </c>
      <c r="D155" t="s">
        <v>65</v>
      </c>
      <c r="E155">
        <v>0.4</v>
      </c>
      <c r="F155">
        <v>1</v>
      </c>
      <c r="G155" s="1">
        <v>20.010000000000002</v>
      </c>
      <c r="H155" s="1">
        <v>20.34</v>
      </c>
      <c r="I155">
        <v>33</v>
      </c>
      <c r="J155">
        <v>16.2</v>
      </c>
      <c r="K155">
        <v>24</v>
      </c>
    </row>
    <row r="156" spans="1:12" hidden="1" x14ac:dyDescent="0.35">
      <c r="A156">
        <v>240</v>
      </c>
      <c r="B156" t="s">
        <v>106</v>
      </c>
      <c r="C156" t="s">
        <v>26</v>
      </c>
      <c r="D156" t="s">
        <v>65</v>
      </c>
      <c r="E156">
        <v>0.4</v>
      </c>
      <c r="F156">
        <v>1</v>
      </c>
      <c r="G156" s="1">
        <v>20.02</v>
      </c>
      <c r="H156" s="1">
        <v>20.350000000000001</v>
      </c>
      <c r="I156">
        <v>33</v>
      </c>
      <c r="J156">
        <v>16.2</v>
      </c>
      <c r="K156">
        <v>24</v>
      </c>
    </row>
    <row r="157" spans="1:12" hidden="1" x14ac:dyDescent="0.35">
      <c r="A157">
        <v>241</v>
      </c>
      <c r="B157" t="s">
        <v>106</v>
      </c>
      <c r="C157" t="s">
        <v>26</v>
      </c>
      <c r="D157" t="s">
        <v>65</v>
      </c>
      <c r="E157">
        <v>0.4</v>
      </c>
      <c r="F157">
        <v>1</v>
      </c>
      <c r="G157" s="1">
        <v>20.03</v>
      </c>
      <c r="H157" s="1">
        <v>20.36</v>
      </c>
      <c r="I157">
        <v>33</v>
      </c>
      <c r="J157">
        <v>16.2</v>
      </c>
      <c r="K157">
        <v>31</v>
      </c>
    </row>
    <row r="158" spans="1:12" hidden="1" x14ac:dyDescent="0.35">
      <c r="A158">
        <v>242</v>
      </c>
      <c r="B158" t="s">
        <v>106</v>
      </c>
      <c r="C158" t="s">
        <v>26</v>
      </c>
      <c r="D158" t="s">
        <v>29</v>
      </c>
      <c r="E158">
        <v>2</v>
      </c>
      <c r="F158">
        <v>1</v>
      </c>
      <c r="G158" s="1">
        <v>20.04</v>
      </c>
      <c r="H158" s="1">
        <v>20.37</v>
      </c>
      <c r="I158">
        <v>33</v>
      </c>
      <c r="J158">
        <v>16.2</v>
      </c>
      <c r="K158">
        <v>40</v>
      </c>
    </row>
    <row r="159" spans="1:12" hidden="1" x14ac:dyDescent="0.35">
      <c r="A159">
        <v>243</v>
      </c>
      <c r="B159" t="s">
        <v>106</v>
      </c>
      <c r="C159" t="s">
        <v>26</v>
      </c>
      <c r="D159" t="s">
        <v>29</v>
      </c>
      <c r="E159">
        <v>2</v>
      </c>
      <c r="F159">
        <v>1</v>
      </c>
      <c r="G159" s="1">
        <v>20.07</v>
      </c>
      <c r="H159" s="1">
        <v>20.38</v>
      </c>
      <c r="I159">
        <v>31</v>
      </c>
      <c r="J159">
        <v>16.2</v>
      </c>
      <c r="K159">
        <v>36</v>
      </c>
    </row>
    <row r="160" spans="1:12" hidden="1" x14ac:dyDescent="0.35">
      <c r="A160">
        <v>244</v>
      </c>
      <c r="B160" t="s">
        <v>106</v>
      </c>
      <c r="C160" t="s">
        <v>26</v>
      </c>
      <c r="D160" t="s">
        <v>29</v>
      </c>
      <c r="E160">
        <v>2.5</v>
      </c>
      <c r="F160">
        <v>1</v>
      </c>
      <c r="G160" s="1">
        <v>20.09</v>
      </c>
      <c r="H160" s="1">
        <v>20.39</v>
      </c>
      <c r="I160">
        <v>30</v>
      </c>
      <c r="J160">
        <v>16.2</v>
      </c>
      <c r="K160">
        <v>45</v>
      </c>
    </row>
  </sheetData>
  <autoFilter ref="A1:L160" xr:uid="{D1CD37BC-78DE-4393-BD94-8F05FF676FE1}">
    <filterColumn colId="2">
      <filters>
        <filter val="QM"/>
      </filters>
    </filterColumn>
    <sortState xmlns:xlrd2="http://schemas.microsoft.com/office/spreadsheetml/2017/richdata2" ref="A2:L160">
      <sortCondition descending="1" ref="B1:B160"/>
    </sortState>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DD45-9E41-4F98-B389-5C28F46CFA6A}">
  <dimension ref="A1:C31"/>
  <sheetViews>
    <sheetView workbookViewId="0">
      <selection activeCell="B1" sqref="B1"/>
    </sheetView>
  </sheetViews>
  <sheetFormatPr defaultRowHeight="14.5" x14ac:dyDescent="0.35"/>
  <sheetData>
    <row r="1" spans="1:3" x14ac:dyDescent="0.35">
      <c r="A1" s="5" t="s">
        <v>13</v>
      </c>
      <c r="B1" s="5" t="s">
        <v>153</v>
      </c>
      <c r="C1" s="5" t="s">
        <v>152</v>
      </c>
    </row>
    <row r="2" spans="1:3" x14ac:dyDescent="0.35">
      <c r="A2" t="s">
        <v>62</v>
      </c>
      <c r="B2">
        <v>0.51570487399999998</v>
      </c>
      <c r="C2">
        <v>2016</v>
      </c>
    </row>
    <row r="3" spans="1:3" x14ac:dyDescent="0.35">
      <c r="A3" t="s">
        <v>62</v>
      </c>
      <c r="B3">
        <v>4.5747545680000004</v>
      </c>
      <c r="C3">
        <v>2017</v>
      </c>
    </row>
    <row r="4" spans="1:3" x14ac:dyDescent="0.35">
      <c r="A4" t="s">
        <v>62</v>
      </c>
      <c r="B4">
        <v>2.1201708369999999</v>
      </c>
      <c r="C4">
        <v>2018</v>
      </c>
    </row>
    <row r="5" spans="1:3" x14ac:dyDescent="0.35">
      <c r="A5" t="s">
        <v>62</v>
      </c>
      <c r="B5">
        <v>0.51302409900000001</v>
      </c>
      <c r="C5">
        <v>2019</v>
      </c>
    </row>
    <row r="6" spans="1:3" x14ac:dyDescent="0.35">
      <c r="A6" t="s">
        <v>62</v>
      </c>
      <c r="B6">
        <v>2.4939214089999999</v>
      </c>
      <c r="C6">
        <v>2020</v>
      </c>
    </row>
    <row r="7" spans="1:3" x14ac:dyDescent="0.35">
      <c r="A7" t="s">
        <v>62</v>
      </c>
      <c r="B7">
        <v>0.85490321700000005</v>
      </c>
      <c r="C7">
        <v>2021</v>
      </c>
    </row>
    <row r="8" spans="1:3" x14ac:dyDescent="0.35">
      <c r="A8" t="s">
        <v>107</v>
      </c>
      <c r="B8">
        <v>1.4843695000000001E-2</v>
      </c>
      <c r="C8">
        <v>2016</v>
      </c>
    </row>
    <row r="9" spans="1:3" x14ac:dyDescent="0.35">
      <c r="A9" t="s">
        <v>107</v>
      </c>
      <c r="B9">
        <v>1.3469181E-2</v>
      </c>
      <c r="C9">
        <v>2017</v>
      </c>
    </row>
    <row r="10" spans="1:3" x14ac:dyDescent="0.35">
      <c r="A10" t="s">
        <v>107</v>
      </c>
      <c r="B10">
        <v>8.6192599999999995E-4</v>
      </c>
      <c r="C10">
        <v>2018</v>
      </c>
    </row>
    <row r="11" spans="1:3" x14ac:dyDescent="0.35">
      <c r="A11" t="s">
        <v>107</v>
      </c>
      <c r="B11">
        <v>7.2614480000000002E-3</v>
      </c>
      <c r="C11">
        <v>2019</v>
      </c>
    </row>
    <row r="12" spans="1:3" x14ac:dyDescent="0.35">
      <c r="A12" t="s">
        <v>107</v>
      </c>
      <c r="B12">
        <v>3.0975909999999998E-3</v>
      </c>
      <c r="C12">
        <v>2020</v>
      </c>
    </row>
    <row r="13" spans="1:3" x14ac:dyDescent="0.35">
      <c r="A13" t="s">
        <v>107</v>
      </c>
      <c r="B13">
        <v>1.4088623E-2</v>
      </c>
      <c r="C13">
        <v>2021</v>
      </c>
    </row>
    <row r="14" spans="1:3" x14ac:dyDescent="0.35">
      <c r="A14" t="s">
        <v>108</v>
      </c>
      <c r="B14">
        <v>0.100803244</v>
      </c>
      <c r="C14">
        <v>2016</v>
      </c>
    </row>
    <row r="15" spans="1:3" x14ac:dyDescent="0.35">
      <c r="A15" t="s">
        <v>108</v>
      </c>
      <c r="B15">
        <v>5.3227802999999997E-2</v>
      </c>
      <c r="C15">
        <v>2017</v>
      </c>
    </row>
    <row r="16" spans="1:3" x14ac:dyDescent="0.35">
      <c r="A16" t="s">
        <v>108</v>
      </c>
      <c r="B16">
        <v>3.0795511000000001E-2</v>
      </c>
      <c r="C16">
        <v>2018</v>
      </c>
    </row>
    <row r="17" spans="1:3" x14ac:dyDescent="0.35">
      <c r="A17" t="s">
        <v>108</v>
      </c>
      <c r="B17">
        <v>5.4198745999999999E-2</v>
      </c>
      <c r="C17">
        <v>2019</v>
      </c>
    </row>
    <row r="18" spans="1:3" x14ac:dyDescent="0.35">
      <c r="A18" t="s">
        <v>108</v>
      </c>
      <c r="B18">
        <v>4.9459030000000001E-2</v>
      </c>
      <c r="C18">
        <v>2020</v>
      </c>
    </row>
    <row r="19" spans="1:3" x14ac:dyDescent="0.35">
      <c r="A19" t="s">
        <v>108</v>
      </c>
      <c r="B19">
        <v>0.18539002800000001</v>
      </c>
      <c r="C19">
        <v>2021</v>
      </c>
    </row>
    <row r="20" spans="1:3" x14ac:dyDescent="0.35">
      <c r="A20" t="s">
        <v>20</v>
      </c>
      <c r="B20">
        <v>12.975733419999999</v>
      </c>
      <c r="C20">
        <v>2016</v>
      </c>
    </row>
    <row r="21" spans="1:3" x14ac:dyDescent="0.35">
      <c r="A21" t="s">
        <v>20</v>
      </c>
      <c r="B21">
        <v>10.91386782</v>
      </c>
      <c r="C21">
        <v>2017</v>
      </c>
    </row>
    <row r="22" spans="1:3" x14ac:dyDescent="0.35">
      <c r="A22" t="s">
        <v>20</v>
      </c>
      <c r="B22">
        <v>11.437614030000001</v>
      </c>
      <c r="C22">
        <v>2018</v>
      </c>
    </row>
    <row r="23" spans="1:3" x14ac:dyDescent="0.35">
      <c r="A23" t="s">
        <v>20</v>
      </c>
      <c r="B23">
        <v>7.5853045139999997</v>
      </c>
      <c r="C23">
        <v>2019</v>
      </c>
    </row>
    <row r="24" spans="1:3" x14ac:dyDescent="0.35">
      <c r="A24" t="s">
        <v>20</v>
      </c>
      <c r="B24">
        <v>3.9139286740000001</v>
      </c>
      <c r="C24">
        <v>2020</v>
      </c>
    </row>
    <row r="25" spans="1:3" x14ac:dyDescent="0.35">
      <c r="A25" t="s">
        <v>20</v>
      </c>
      <c r="B25">
        <v>24.036114179999998</v>
      </c>
      <c r="C25">
        <v>2021</v>
      </c>
    </row>
    <row r="26" spans="1:3" x14ac:dyDescent="0.35">
      <c r="A26" t="s">
        <v>26</v>
      </c>
      <c r="B26">
        <v>1.8622407329999999</v>
      </c>
      <c r="C26">
        <v>2016</v>
      </c>
    </row>
    <row r="27" spans="1:3" x14ac:dyDescent="0.35">
      <c r="A27" t="s">
        <v>26</v>
      </c>
      <c r="B27">
        <v>1.607085976</v>
      </c>
      <c r="C27">
        <v>2017</v>
      </c>
    </row>
    <row r="28" spans="1:3" x14ac:dyDescent="0.35">
      <c r="A28" t="s">
        <v>26</v>
      </c>
      <c r="B28">
        <v>2.98806561</v>
      </c>
      <c r="C28">
        <v>2018</v>
      </c>
    </row>
    <row r="29" spans="1:3" x14ac:dyDescent="0.35">
      <c r="A29" t="s">
        <v>26</v>
      </c>
      <c r="B29">
        <v>2.6448402579999999</v>
      </c>
      <c r="C29">
        <v>2019</v>
      </c>
    </row>
    <row r="30" spans="1:3" x14ac:dyDescent="0.35">
      <c r="A30" t="s">
        <v>26</v>
      </c>
      <c r="B30">
        <v>1.893528774</v>
      </c>
      <c r="C30">
        <v>2020</v>
      </c>
    </row>
    <row r="31" spans="1:3" x14ac:dyDescent="0.35">
      <c r="A31" t="s">
        <v>26</v>
      </c>
      <c r="B31">
        <v>5.036572853</v>
      </c>
      <c r="C31">
        <v>2021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D69A6-9758-46F5-A03C-8A6B27428E10}">
  <dimension ref="A1:D9"/>
  <sheetViews>
    <sheetView workbookViewId="0">
      <selection activeCell="B1" sqref="B1"/>
    </sheetView>
  </sheetViews>
  <sheetFormatPr defaultRowHeight="14.5" x14ac:dyDescent="0.35"/>
  <sheetData>
    <row r="1" spans="1:4" x14ac:dyDescent="0.35">
      <c r="A1" t="s">
        <v>152</v>
      </c>
      <c r="B1" t="s">
        <v>215</v>
      </c>
      <c r="C1" t="s">
        <v>216</v>
      </c>
      <c r="D1" t="s">
        <v>214</v>
      </c>
    </row>
    <row r="2" spans="1:4" ht="15.5" x14ac:dyDescent="0.35">
      <c r="A2" s="8">
        <v>2019</v>
      </c>
      <c r="B2">
        <f>2.25/3.6*500</f>
        <v>312.5</v>
      </c>
      <c r="C2" t="s">
        <v>217</v>
      </c>
    </row>
    <row r="3" spans="1:4" ht="15.5" x14ac:dyDescent="0.35">
      <c r="A3" s="9">
        <v>2014</v>
      </c>
      <c r="B3">
        <f>3.1/3.6*500</f>
        <v>430.5555555555556</v>
      </c>
      <c r="C3" t="s">
        <v>217</v>
      </c>
    </row>
    <row r="4" spans="1:4" ht="15.5" x14ac:dyDescent="0.35">
      <c r="A4" s="9">
        <v>2011</v>
      </c>
      <c r="B4">
        <f>1.4/3.6*500</f>
        <v>194.44444444444443</v>
      </c>
      <c r="C4" t="s">
        <v>217</v>
      </c>
    </row>
    <row r="5" spans="1:4" ht="15.5" x14ac:dyDescent="0.35">
      <c r="A5" s="9">
        <v>2004</v>
      </c>
      <c r="B5">
        <f>2.6/3.6*500</f>
        <v>361.11111111111109</v>
      </c>
      <c r="C5" t="s">
        <v>217</v>
      </c>
    </row>
    <row r="6" spans="1:4" ht="15.5" x14ac:dyDescent="0.35">
      <c r="A6" s="9">
        <v>2002</v>
      </c>
      <c r="B6">
        <f>4.7/3.6*500</f>
        <v>652.77777777777783</v>
      </c>
      <c r="C6" t="s">
        <v>217</v>
      </c>
    </row>
    <row r="7" spans="1:4" ht="15.5" x14ac:dyDescent="0.35">
      <c r="A7" s="9">
        <v>1998</v>
      </c>
      <c r="B7">
        <f>2.75/3.6*500</f>
        <v>381.9444444444444</v>
      </c>
      <c r="C7" t="s">
        <v>217</v>
      </c>
    </row>
    <row r="8" spans="1:4" ht="15.5" x14ac:dyDescent="0.35">
      <c r="A8" s="9">
        <v>1993</v>
      </c>
      <c r="B8">
        <f>2/3.6*500</f>
        <v>277.77777777777777</v>
      </c>
      <c r="C8" t="s">
        <v>217</v>
      </c>
    </row>
    <row r="9" spans="1:4" ht="15.5" x14ac:dyDescent="0.35">
      <c r="A9" s="9">
        <v>1992</v>
      </c>
      <c r="B9">
        <f>1.3/3.6*500</f>
        <v>180.55555555555554</v>
      </c>
      <c r="C9" t="s">
        <v>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934CC-AF7C-4B16-A1BA-6A4CD2D5F7CF}">
  <dimension ref="A1:F12"/>
  <sheetViews>
    <sheetView workbookViewId="0">
      <selection activeCell="D1" sqref="D1"/>
    </sheetView>
  </sheetViews>
  <sheetFormatPr defaultRowHeight="14.5" x14ac:dyDescent="0.35"/>
  <sheetData>
    <row r="1" spans="1:6" x14ac:dyDescent="0.35">
      <c r="A1" t="s">
        <v>152</v>
      </c>
      <c r="B1" t="s">
        <v>153</v>
      </c>
      <c r="C1" t="s">
        <v>215</v>
      </c>
      <c r="D1" t="s">
        <v>221</v>
      </c>
      <c r="E1" t="s">
        <v>222</v>
      </c>
      <c r="F1" t="s">
        <v>218</v>
      </c>
    </row>
    <row r="2" spans="1:6" x14ac:dyDescent="0.35">
      <c r="A2">
        <v>2020</v>
      </c>
      <c r="B2">
        <v>99</v>
      </c>
      <c r="D2">
        <v>117</v>
      </c>
      <c r="F2" t="s">
        <v>219</v>
      </c>
    </row>
    <row r="3" spans="1:6" x14ac:dyDescent="0.35">
      <c r="A3">
        <v>2019</v>
      </c>
      <c r="B3">
        <f>AVERAGE(136,96)</f>
        <v>116</v>
      </c>
      <c r="D3">
        <f>AVERAGE(108,102)</f>
        <v>105</v>
      </c>
      <c r="F3" t="s">
        <v>219</v>
      </c>
    </row>
    <row r="4" spans="1:6" x14ac:dyDescent="0.35">
      <c r="A4">
        <v>2018</v>
      </c>
      <c r="B4">
        <v>88</v>
      </c>
      <c r="D4">
        <v>52</v>
      </c>
      <c r="F4" t="s">
        <v>219</v>
      </c>
    </row>
    <row r="5" spans="1:6" x14ac:dyDescent="0.35">
      <c r="A5">
        <v>2017</v>
      </c>
      <c r="B5">
        <f>AVERAGE(96,46)</f>
        <v>71</v>
      </c>
      <c r="D5">
        <f>AVERAGE(69,43)</f>
        <v>56</v>
      </c>
      <c r="F5" t="s">
        <v>219</v>
      </c>
    </row>
    <row r="6" spans="1:6" x14ac:dyDescent="0.35">
      <c r="A6">
        <v>2016</v>
      </c>
      <c r="B6">
        <f>AVERAGE(101, 74)</f>
        <v>87.5</v>
      </c>
      <c r="D6">
        <f>AVERAGE(75, 57)</f>
        <v>66</v>
      </c>
      <c r="F6" t="s">
        <v>219</v>
      </c>
    </row>
    <row r="7" spans="1:6" x14ac:dyDescent="0.35">
      <c r="A7">
        <v>2015</v>
      </c>
      <c r="B7">
        <f>AVERAGE(122, 86)</f>
        <v>104</v>
      </c>
      <c r="D7">
        <f>AVERAGE(100, 66)</f>
        <v>83</v>
      </c>
      <c r="F7" t="s">
        <v>219</v>
      </c>
    </row>
    <row r="8" spans="1:6" x14ac:dyDescent="0.35">
      <c r="A8">
        <v>2014</v>
      </c>
      <c r="B8">
        <f>AVERAGE(194, 178)</f>
        <v>186</v>
      </c>
      <c r="D8">
        <f>AVERAGE(173, 113)</f>
        <v>143</v>
      </c>
      <c r="F8" t="s">
        <v>219</v>
      </c>
    </row>
    <row r="9" spans="1:6" x14ac:dyDescent="0.35">
      <c r="A9">
        <v>2013</v>
      </c>
      <c r="B9">
        <f>AVERAGE(310, 235)</f>
        <v>272.5</v>
      </c>
      <c r="D9">
        <f>AVERAGE(249, 154)</f>
        <v>201.5</v>
      </c>
      <c r="F9" t="s">
        <v>219</v>
      </c>
    </row>
    <row r="10" spans="1:6" x14ac:dyDescent="0.35">
      <c r="A10">
        <v>2019</v>
      </c>
      <c r="C10">
        <v>48</v>
      </c>
      <c r="E10">
        <v>19.600000000000001</v>
      </c>
      <c r="F10" t="s">
        <v>220</v>
      </c>
    </row>
    <row r="11" spans="1:6" x14ac:dyDescent="0.35">
      <c r="A11">
        <v>2014</v>
      </c>
      <c r="C11">
        <f>1.6/3.2*500</f>
        <v>250</v>
      </c>
      <c r="F11" t="s">
        <v>220</v>
      </c>
    </row>
    <row r="12" spans="1:6" x14ac:dyDescent="0.35">
      <c r="A12">
        <v>2011</v>
      </c>
      <c r="C12">
        <f>2.7/3.2*500</f>
        <v>421.875</v>
      </c>
      <c r="F12" t="s">
        <v>220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97C5-CB47-4805-AD51-BAF5F7220E5D}">
  <dimension ref="A1:AF17"/>
  <sheetViews>
    <sheetView topLeftCell="E1" workbookViewId="0">
      <selection activeCell="AE14" sqref="AE14"/>
    </sheetView>
  </sheetViews>
  <sheetFormatPr defaultRowHeight="14.5" x14ac:dyDescent="0.35"/>
  <sheetData>
    <row r="1" spans="1:32" x14ac:dyDescent="0.35">
      <c r="A1" t="s">
        <v>12</v>
      </c>
      <c r="B1" t="s">
        <v>48</v>
      </c>
      <c r="C1" t="s">
        <v>13</v>
      </c>
      <c r="D1" t="s">
        <v>27</v>
      </c>
      <c r="E1" t="s">
        <v>17</v>
      </c>
      <c r="F1" t="s">
        <v>28</v>
      </c>
      <c r="G1" t="s">
        <v>14</v>
      </c>
      <c r="H1" t="s">
        <v>15</v>
      </c>
      <c r="I1" t="s">
        <v>16</v>
      </c>
      <c r="J1" t="s">
        <v>19</v>
      </c>
      <c r="K1" t="s">
        <v>18</v>
      </c>
      <c r="L1" t="s">
        <v>36</v>
      </c>
      <c r="M1" t="s">
        <v>79</v>
      </c>
      <c r="N1" t="s">
        <v>6</v>
      </c>
    </row>
    <row r="2" spans="1:32" x14ac:dyDescent="0.35">
      <c r="B2" t="s">
        <v>83</v>
      </c>
      <c r="C2" t="s">
        <v>52</v>
      </c>
      <c r="M2" t="s">
        <v>80</v>
      </c>
      <c r="N2" t="s">
        <v>81</v>
      </c>
    </row>
    <row r="3" spans="1:32" x14ac:dyDescent="0.35">
      <c r="B3" t="s">
        <v>84</v>
      </c>
      <c r="C3" t="s">
        <v>51</v>
      </c>
    </row>
    <row r="4" spans="1:32" x14ac:dyDescent="0.35">
      <c r="B4" t="s">
        <v>85</v>
      </c>
      <c r="C4" t="s">
        <v>53</v>
      </c>
    </row>
    <row r="5" spans="1:32" x14ac:dyDescent="0.35">
      <c r="B5" t="s">
        <v>86</v>
      </c>
      <c r="C5" t="s">
        <v>54</v>
      </c>
    </row>
    <row r="6" spans="1:32" x14ac:dyDescent="0.35">
      <c r="C6" t="s">
        <v>55</v>
      </c>
    </row>
    <row r="7" spans="1:32" x14ac:dyDescent="0.35">
      <c r="C7" t="s">
        <v>56</v>
      </c>
    </row>
    <row r="8" spans="1:32" x14ac:dyDescent="0.35">
      <c r="C8" t="s">
        <v>57</v>
      </c>
    </row>
    <row r="9" spans="1:32" x14ac:dyDescent="0.35">
      <c r="C9" t="s">
        <v>72</v>
      </c>
    </row>
    <row r="10" spans="1:32" x14ac:dyDescent="0.35">
      <c r="C10" t="s">
        <v>109</v>
      </c>
    </row>
    <row r="11" spans="1:32" x14ac:dyDescent="0.35">
      <c r="C11" t="s">
        <v>110</v>
      </c>
    </row>
    <row r="12" spans="1:32" x14ac:dyDescent="0.35">
      <c r="C12" t="s">
        <v>111</v>
      </c>
    </row>
    <row r="13" spans="1:32" x14ac:dyDescent="0.35">
      <c r="C13" t="s">
        <v>128</v>
      </c>
    </row>
    <row r="16" spans="1:32" ht="72.5" x14ac:dyDescent="0.35">
      <c r="A16" s="3" t="s">
        <v>12</v>
      </c>
      <c r="B16" s="3" t="s">
        <v>48</v>
      </c>
      <c r="C16" s="3" t="s">
        <v>129</v>
      </c>
      <c r="D16" s="3" t="s">
        <v>13</v>
      </c>
      <c r="E16" s="3" t="s">
        <v>27</v>
      </c>
      <c r="F16" s="3" t="s">
        <v>17</v>
      </c>
      <c r="G16" s="3" t="s">
        <v>28</v>
      </c>
      <c r="H16" s="3" t="s">
        <v>14</v>
      </c>
      <c r="I16" s="3" t="s">
        <v>15</v>
      </c>
      <c r="J16" s="3" t="s">
        <v>16</v>
      </c>
      <c r="K16" s="3" t="s">
        <v>19</v>
      </c>
      <c r="L16" s="3" t="s">
        <v>91</v>
      </c>
      <c r="M16" s="3" t="s">
        <v>90</v>
      </c>
      <c r="N16" s="3" t="s">
        <v>92</v>
      </c>
      <c r="O16" s="3" t="s">
        <v>36</v>
      </c>
      <c r="P16" s="3" t="s">
        <v>74</v>
      </c>
      <c r="Q16" s="3" t="s">
        <v>75</v>
      </c>
      <c r="R16" s="3" t="s">
        <v>76</v>
      </c>
      <c r="S16" s="3" t="s">
        <v>94</v>
      </c>
      <c r="T16" s="3" t="s">
        <v>95</v>
      </c>
      <c r="U16" s="3" t="s">
        <v>96</v>
      </c>
      <c r="V16" s="3" t="s">
        <v>97</v>
      </c>
      <c r="W16" s="3" t="s">
        <v>98</v>
      </c>
      <c r="X16" s="3" t="s">
        <v>99</v>
      </c>
      <c r="Y16" s="3" t="s">
        <v>138</v>
      </c>
      <c r="Z16" s="3" t="s">
        <v>139</v>
      </c>
      <c r="AA16" s="3" t="s">
        <v>136</v>
      </c>
      <c r="AB16" s="3" t="s">
        <v>140</v>
      </c>
      <c r="AC16" s="3" t="s">
        <v>147</v>
      </c>
      <c r="AD16" s="3" t="s">
        <v>140</v>
      </c>
      <c r="AE16" s="3" t="s">
        <v>143</v>
      </c>
      <c r="AF16" s="3" t="s">
        <v>144</v>
      </c>
    </row>
    <row r="17" spans="25:32" x14ac:dyDescent="0.35">
      <c r="Y17" t="s">
        <v>141</v>
      </c>
      <c r="Z17" t="s">
        <v>141</v>
      </c>
      <c r="AA17" t="s">
        <v>142</v>
      </c>
      <c r="AB17" t="s">
        <v>149</v>
      </c>
      <c r="AC17" t="s">
        <v>150</v>
      </c>
      <c r="AD17" t="s">
        <v>151</v>
      </c>
      <c r="AE17" t="s">
        <v>213</v>
      </c>
      <c r="AF17" t="s">
        <v>213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2880F-19F5-4C97-B687-8149361B0730}">
  <dimension ref="A1:CJ160"/>
  <sheetViews>
    <sheetView tabSelected="1" zoomScale="90" zoomScaleNormal="90" workbookViewId="0">
      <pane xSplit="4" ySplit="1" topLeftCell="L2" activePane="bottomRight" state="frozen"/>
      <selection pane="topRight" activeCell="D1" sqref="D1"/>
      <selection pane="bottomLeft" activeCell="A2" sqref="A2"/>
      <selection pane="bottomRight" activeCell="AE31" sqref="AE31"/>
    </sheetView>
  </sheetViews>
  <sheetFormatPr defaultRowHeight="14.5" x14ac:dyDescent="0.35"/>
  <sheetData>
    <row r="1" spans="1:88" ht="72.5" x14ac:dyDescent="0.35">
      <c r="A1" s="3" t="s">
        <v>12</v>
      </c>
      <c r="B1" s="3" t="s">
        <v>48</v>
      </c>
      <c r="C1" s="3" t="s">
        <v>129</v>
      </c>
      <c r="D1" s="3" t="s">
        <v>13</v>
      </c>
      <c r="E1" s="3" t="s">
        <v>27</v>
      </c>
      <c r="F1" s="3" t="s">
        <v>17</v>
      </c>
      <c r="G1" s="3" t="s">
        <v>28</v>
      </c>
      <c r="H1" s="3" t="s">
        <v>14</v>
      </c>
      <c r="I1" s="3" t="s">
        <v>15</v>
      </c>
      <c r="J1" s="3" t="s">
        <v>16</v>
      </c>
      <c r="K1" s="3" t="s">
        <v>19</v>
      </c>
      <c r="L1" s="3" t="s">
        <v>91</v>
      </c>
      <c r="M1" s="3" t="s">
        <v>90</v>
      </c>
      <c r="N1" s="3" t="s">
        <v>92</v>
      </c>
      <c r="O1" s="3" t="s">
        <v>36</v>
      </c>
      <c r="P1" s="3" t="s">
        <v>74</v>
      </c>
      <c r="Q1" s="3" t="s">
        <v>75</v>
      </c>
      <c r="R1" s="3" t="s">
        <v>76</v>
      </c>
      <c r="S1" s="3" t="s">
        <v>94</v>
      </c>
      <c r="T1" s="3" t="s">
        <v>95</v>
      </c>
      <c r="U1" s="3" t="s">
        <v>96</v>
      </c>
      <c r="V1" s="3" t="s">
        <v>97</v>
      </c>
      <c r="W1" s="3" t="s">
        <v>98</v>
      </c>
      <c r="X1" s="3" t="s">
        <v>99</v>
      </c>
      <c r="Y1" s="3" t="s">
        <v>156</v>
      </c>
      <c r="Z1" s="3" t="s">
        <v>157</v>
      </c>
      <c r="AA1" s="3" t="s">
        <v>158</v>
      </c>
      <c r="AB1" s="3" t="s">
        <v>146</v>
      </c>
      <c r="AC1" s="3" t="s">
        <v>145</v>
      </c>
      <c r="AD1" s="3" t="s">
        <v>136</v>
      </c>
      <c r="AE1" s="3" t="s">
        <v>140</v>
      </c>
      <c r="AF1" s="3" t="s">
        <v>147</v>
      </c>
      <c r="AG1" s="3" t="s">
        <v>148</v>
      </c>
      <c r="AH1" s="3" t="s">
        <v>143</v>
      </c>
      <c r="AI1" s="3" t="s">
        <v>144</v>
      </c>
      <c r="AJ1" t="s">
        <v>5</v>
      </c>
      <c r="AK1" t="s">
        <v>159</v>
      </c>
      <c r="AL1" t="s">
        <v>160</v>
      </c>
      <c r="AM1" t="s">
        <v>97</v>
      </c>
      <c r="AN1" t="s">
        <v>156</v>
      </c>
      <c r="AO1" t="s">
        <v>161</v>
      </c>
      <c r="AP1" t="s">
        <v>162</v>
      </c>
      <c r="AQ1" t="s">
        <v>163</v>
      </c>
      <c r="AR1" t="s">
        <v>164</v>
      </c>
      <c r="AS1" t="s">
        <v>165</v>
      </c>
      <c r="AT1" t="s">
        <v>166</v>
      </c>
      <c r="AU1" t="s">
        <v>167</v>
      </c>
      <c r="AV1" t="s">
        <v>168</v>
      </c>
      <c r="AW1" t="s">
        <v>169</v>
      </c>
      <c r="AX1" t="s">
        <v>170</v>
      </c>
      <c r="AY1" t="s">
        <v>171</v>
      </c>
      <c r="AZ1" t="s">
        <v>172</v>
      </c>
      <c r="BA1" t="s">
        <v>173</v>
      </c>
      <c r="BB1" t="s">
        <v>174</v>
      </c>
      <c r="BC1" t="s">
        <v>175</v>
      </c>
      <c r="BD1" t="s">
        <v>176</v>
      </c>
      <c r="BE1" t="s">
        <v>177</v>
      </c>
      <c r="BF1" t="s">
        <v>178</v>
      </c>
      <c r="BG1" t="s">
        <v>179</v>
      </c>
      <c r="BH1" t="s">
        <v>180</v>
      </c>
      <c r="BI1" t="s">
        <v>181</v>
      </c>
      <c r="BJ1" t="s">
        <v>182</v>
      </c>
      <c r="BK1" t="s">
        <v>183</v>
      </c>
      <c r="BL1" t="s">
        <v>184</v>
      </c>
      <c r="BM1" t="s">
        <v>185</v>
      </c>
      <c r="BN1" t="s">
        <v>186</v>
      </c>
      <c r="BO1" t="s">
        <v>187</v>
      </c>
      <c r="BP1" t="s">
        <v>188</v>
      </c>
      <c r="BQ1" t="s">
        <v>189</v>
      </c>
      <c r="BR1" t="s">
        <v>190</v>
      </c>
      <c r="BS1" t="s">
        <v>191</v>
      </c>
      <c r="BT1" t="s">
        <v>192</v>
      </c>
      <c r="BU1" t="s">
        <v>193</v>
      </c>
      <c r="BV1" t="s">
        <v>194</v>
      </c>
      <c r="BW1" t="s">
        <v>195</v>
      </c>
      <c r="BX1" t="s">
        <v>196</v>
      </c>
      <c r="BY1" t="s">
        <v>197</v>
      </c>
      <c r="BZ1" t="s">
        <v>198</v>
      </c>
      <c r="CA1" t="s">
        <v>199</v>
      </c>
      <c r="CB1" t="s">
        <v>200</v>
      </c>
      <c r="CC1" t="s">
        <v>201</v>
      </c>
      <c r="CD1" t="s">
        <v>202</v>
      </c>
      <c r="CE1" t="s">
        <v>203</v>
      </c>
      <c r="CF1" t="s">
        <v>204</v>
      </c>
      <c r="CG1" t="s">
        <v>205</v>
      </c>
      <c r="CH1" t="s">
        <v>206</v>
      </c>
      <c r="CI1" t="s">
        <v>207</v>
      </c>
      <c r="CJ1" t="s">
        <v>208</v>
      </c>
    </row>
    <row r="2" spans="1:88" x14ac:dyDescent="0.35">
      <c r="A2">
        <v>100</v>
      </c>
      <c r="B2" t="s">
        <v>82</v>
      </c>
      <c r="C2" t="s">
        <v>130</v>
      </c>
      <c r="D2" t="s">
        <v>20</v>
      </c>
      <c r="E2" t="s">
        <v>29</v>
      </c>
      <c r="F2">
        <v>3</v>
      </c>
      <c r="G2">
        <v>1</v>
      </c>
      <c r="H2" s="1">
        <v>20.100000000000001</v>
      </c>
      <c r="I2" s="1">
        <v>20.399999999999999</v>
      </c>
      <c r="J2">
        <v>30</v>
      </c>
      <c r="K2">
        <v>26.7</v>
      </c>
      <c r="L2" t="s">
        <v>31</v>
      </c>
      <c r="M2">
        <v>190</v>
      </c>
      <c r="N2">
        <f t="shared" ref="N2:N23" si="0">M2*0.25</f>
        <v>47.5</v>
      </c>
      <c r="O2" s="2" t="s">
        <v>49</v>
      </c>
      <c r="P2">
        <v>133.35915</v>
      </c>
      <c r="Q2">
        <f t="shared" ref="Q2:Q25" si="1">(P2-AVERAGE($P$24:$P$25))*F2</f>
        <v>375.79510499999998</v>
      </c>
      <c r="R2">
        <f t="shared" ref="R2:R23" si="2">(Q2/J2*60)/G2</f>
        <v>751.59020999999996</v>
      </c>
      <c r="S2">
        <v>552.55100000000004</v>
      </c>
      <c r="T2">
        <f t="shared" ref="T2:T25" si="3">(S2-AVERAGE($S$24:$S$25))*F2</f>
        <v>1585.9156499999999</v>
      </c>
      <c r="U2">
        <f t="shared" ref="U2:U23" si="4">(T2/J2*60)/G2</f>
        <v>3171.8312999999998</v>
      </c>
      <c r="V2">
        <v>185.89916399999998</v>
      </c>
      <c r="W2">
        <f>(V2-AVERAGE($V$24:$V$25))*F2</f>
        <v>532.23833924999985</v>
      </c>
      <c r="X2">
        <f t="shared" ref="X2:X23" si="5">(W2/J2*60)/G2</f>
        <v>1064.4766784999997</v>
      </c>
      <c r="Y2">
        <v>1284.5445865151855</v>
      </c>
      <c r="Z2">
        <f>(Y2-$Y$24)*F2</f>
        <v>3268.9299747701489</v>
      </c>
      <c r="AA2">
        <f>(Z2/J2*60)/G2</f>
        <v>6537.8599495402977</v>
      </c>
      <c r="AB2">
        <v>48.387730230000003</v>
      </c>
      <c r="AC2">
        <v>14.85303817</v>
      </c>
      <c r="AD2" t="s">
        <v>31</v>
      </c>
      <c r="AE2">
        <v>3.2577665040000001</v>
      </c>
      <c r="AF2" t="s">
        <v>31</v>
      </c>
      <c r="AG2" t="s">
        <v>31</v>
      </c>
      <c r="AH2">
        <v>-23.46392457</v>
      </c>
      <c r="AI2">
        <v>13.6533783</v>
      </c>
      <c r="AJ2" s="7">
        <v>8.51</v>
      </c>
      <c r="AK2" s="7" t="s">
        <v>209</v>
      </c>
      <c r="AL2" s="7" t="s">
        <v>209</v>
      </c>
      <c r="AM2" s="6">
        <v>14.505273478215095</v>
      </c>
      <c r="AN2" s="6">
        <v>432.04884767182438</v>
      </c>
      <c r="AO2" s="6">
        <v>220.40641334877185</v>
      </c>
      <c r="AP2" s="6">
        <v>8.2533956884207491</v>
      </c>
      <c r="AQ2" s="6">
        <v>1103.229605</v>
      </c>
      <c r="AR2" s="6">
        <v>25368.420890000001</v>
      </c>
      <c r="AS2" s="6">
        <v>0.36939500000000003</v>
      </c>
      <c r="AT2" s="6">
        <v>1.8330150000000001</v>
      </c>
      <c r="AU2" s="6">
        <v>35.351290000000006</v>
      </c>
      <c r="AV2" s="6">
        <v>8.2364899999999999</v>
      </c>
      <c r="AW2" s="6">
        <v>29.496880000000001</v>
      </c>
      <c r="AX2" s="6">
        <v>98.296404999999993</v>
      </c>
      <c r="AY2" s="6">
        <v>0.91332000000000002</v>
      </c>
      <c r="AZ2" s="6">
        <v>69.074079999999995</v>
      </c>
      <c r="BA2" s="6">
        <v>2.2749999999999999</v>
      </c>
      <c r="BB2" s="6">
        <v>2.7018981808576901</v>
      </c>
      <c r="BC2" s="6">
        <v>1.77028991286698</v>
      </c>
      <c r="BD2" s="6">
        <v>0.39386670843462201</v>
      </c>
      <c r="BE2" s="6">
        <v>9.9628864266824296E-2</v>
      </c>
      <c r="BF2" s="6">
        <v>2.4628758391371401E-2</v>
      </c>
      <c r="BG2" s="6">
        <v>1.7257045411888501E-2</v>
      </c>
      <c r="BH2" s="6">
        <v>1.42717121057145</v>
      </c>
      <c r="BI2" s="6">
        <v>0.84331198579049704</v>
      </c>
      <c r="BJ2" s="6">
        <v>1.34816608154423</v>
      </c>
      <c r="BK2" s="6">
        <v>1.71600253616976</v>
      </c>
      <c r="BL2" s="6">
        <v>0.63181183129149499</v>
      </c>
      <c r="BM2" s="6">
        <v>0.26431488710654799</v>
      </c>
      <c r="BN2" s="6">
        <v>0.20904272807349</v>
      </c>
      <c r="BO2" s="6">
        <v>0.13209725934608199</v>
      </c>
      <c r="BP2" s="6">
        <v>7.9682984710949506E-2</v>
      </c>
      <c r="BQ2" s="6">
        <v>4.0309370994742397E-2</v>
      </c>
      <c r="BR2" s="6">
        <v>0.18579684089158599</v>
      </c>
      <c r="BS2" s="6">
        <v>0.17934035527522099</v>
      </c>
      <c r="BT2" s="6" t="s">
        <v>31</v>
      </c>
      <c r="BU2" s="6">
        <v>0.239241757271212</v>
      </c>
      <c r="BV2" s="6">
        <v>0.12357311002114416</v>
      </c>
      <c r="BW2" s="6">
        <v>0.12118576299946614</v>
      </c>
      <c r="BX2" s="6">
        <v>2.8472234259896971E-2</v>
      </c>
      <c r="BY2" s="6">
        <v>6.4684152247479282E-2</v>
      </c>
      <c r="BZ2" s="6">
        <v>4.3574132862237359E-2</v>
      </c>
      <c r="CA2" s="6">
        <v>6.8814232217414895E-2</v>
      </c>
      <c r="CB2" s="6">
        <v>0.20672478632452421</v>
      </c>
      <c r="CC2" s="6">
        <v>0.65702841093216302</v>
      </c>
      <c r="CD2" s="6">
        <v>18.807879227904934</v>
      </c>
      <c r="CE2" s="6">
        <v>18.444524008867912</v>
      </c>
      <c r="CF2" s="6">
        <v>4.3334860085428906</v>
      </c>
      <c r="CG2" s="6">
        <v>9.8449551299780556</v>
      </c>
      <c r="CH2" s="6">
        <v>6.6320013164143532</v>
      </c>
      <c r="CI2" s="6">
        <v>10.473555035433595</v>
      </c>
      <c r="CJ2" s="6">
        <v>31.463599272858257</v>
      </c>
    </row>
    <row r="3" spans="1:88" x14ac:dyDescent="0.35">
      <c r="A3">
        <v>101</v>
      </c>
      <c r="B3" t="s">
        <v>82</v>
      </c>
      <c r="C3" t="s">
        <v>130</v>
      </c>
      <c r="D3" t="s">
        <v>20</v>
      </c>
      <c r="E3" t="s">
        <v>29</v>
      </c>
      <c r="F3">
        <v>3</v>
      </c>
      <c r="G3">
        <v>1</v>
      </c>
      <c r="H3" s="1">
        <v>20.149999999999999</v>
      </c>
      <c r="I3" s="1">
        <v>20.45</v>
      </c>
      <c r="J3">
        <v>30</v>
      </c>
      <c r="K3">
        <v>26.7</v>
      </c>
      <c r="L3" t="s">
        <v>31</v>
      </c>
      <c r="M3">
        <v>150</v>
      </c>
      <c r="N3">
        <f t="shared" si="0"/>
        <v>37.5</v>
      </c>
      <c r="O3" s="2" t="s">
        <v>49</v>
      </c>
      <c r="P3">
        <v>68.977560000000011</v>
      </c>
      <c r="Q3">
        <f t="shared" si="1"/>
        <v>182.65033500000004</v>
      </c>
      <c r="R3">
        <f t="shared" si="2"/>
        <v>365.30067000000008</v>
      </c>
      <c r="S3">
        <v>422.56400000000002</v>
      </c>
      <c r="T3">
        <f t="shared" si="3"/>
        <v>1195.9546500000001</v>
      </c>
      <c r="U3">
        <f t="shared" si="4"/>
        <v>2391.9093000000003</v>
      </c>
      <c r="V3">
        <v>97.684474500000007</v>
      </c>
      <c r="W3">
        <f t="shared" ref="W3:W25" si="6">(V3-AVERAGE($V$24:$V$25))*F3</f>
        <v>267.59427075000002</v>
      </c>
      <c r="X3">
        <f t="shared" si="5"/>
        <v>535.18854150000004</v>
      </c>
      <c r="Y3">
        <v>1026.4479259575176</v>
      </c>
      <c r="Z3">
        <f t="shared" ref="Z3:Z25" si="7">(Y3-$Y$24)*F3</f>
        <v>2494.6399930971452</v>
      </c>
      <c r="AA3">
        <f t="shared" ref="AA3:AA66" si="8">(Z3/J3*60)/G3</f>
        <v>4989.2799861942904</v>
      </c>
      <c r="AB3">
        <v>48.145931959999999</v>
      </c>
      <c r="AC3">
        <v>14.62314237</v>
      </c>
      <c r="AD3" t="s">
        <v>31</v>
      </c>
      <c r="AE3">
        <v>3.2924477350000001</v>
      </c>
      <c r="AF3" t="s">
        <v>31</v>
      </c>
      <c r="AG3" t="s">
        <v>31</v>
      </c>
      <c r="AH3">
        <v>-23.579953140000001</v>
      </c>
      <c r="AI3">
        <v>13.2516865</v>
      </c>
      <c r="AJ3" s="7">
        <v>8.51</v>
      </c>
      <c r="AK3" s="7" t="s">
        <v>209</v>
      </c>
      <c r="AL3" s="7" t="s">
        <v>209</v>
      </c>
      <c r="AM3" s="6">
        <v>14.505273478215095</v>
      </c>
      <c r="AN3" s="6">
        <v>432.04884767182438</v>
      </c>
      <c r="AO3" s="6">
        <v>220.40641334877185</v>
      </c>
      <c r="AP3" s="6">
        <v>8.2533956884207491</v>
      </c>
      <c r="AQ3" s="6">
        <v>1103.229605</v>
      </c>
      <c r="AR3" s="6">
        <v>25368.420890000001</v>
      </c>
      <c r="AS3" s="6">
        <v>0.36939500000000003</v>
      </c>
      <c r="AT3" s="6">
        <v>1.8330150000000001</v>
      </c>
      <c r="AU3" s="6">
        <v>35.351290000000006</v>
      </c>
      <c r="AV3" s="6">
        <v>8.2364899999999999</v>
      </c>
      <c r="AW3" s="6">
        <v>29.496880000000001</v>
      </c>
      <c r="AX3" s="6">
        <v>98.296404999999993</v>
      </c>
      <c r="AY3" s="6">
        <v>0.91332000000000002</v>
      </c>
      <c r="AZ3" s="6">
        <v>69.074079999999995</v>
      </c>
      <c r="BA3" s="6">
        <v>2.2749999999999999</v>
      </c>
      <c r="BB3" s="6">
        <v>2.7018981808576901</v>
      </c>
      <c r="BC3" s="6">
        <v>1.77028991286698</v>
      </c>
      <c r="BD3" s="6">
        <v>0.39386670843462201</v>
      </c>
      <c r="BE3" s="6">
        <v>9.9628864266824296E-2</v>
      </c>
      <c r="BF3" s="6">
        <v>2.4628758391371401E-2</v>
      </c>
      <c r="BG3" s="6">
        <v>1.7257045411888501E-2</v>
      </c>
      <c r="BH3" s="6">
        <v>1.42717121057145</v>
      </c>
      <c r="BI3" s="6">
        <v>0.84331198579049704</v>
      </c>
      <c r="BJ3" s="6">
        <v>1.34816608154423</v>
      </c>
      <c r="BK3" s="6">
        <v>1.71600253616976</v>
      </c>
      <c r="BL3" s="6">
        <v>0.63181183129149499</v>
      </c>
      <c r="BM3" s="6">
        <v>0.26431488710654799</v>
      </c>
      <c r="BN3" s="6">
        <v>0.20904272807349</v>
      </c>
      <c r="BO3" s="6">
        <v>0.13209725934608199</v>
      </c>
      <c r="BP3" s="6">
        <v>7.9682984710949506E-2</v>
      </c>
      <c r="BQ3" s="6">
        <v>4.0309370994742397E-2</v>
      </c>
      <c r="BR3" s="6">
        <v>0.18579684089158599</v>
      </c>
      <c r="BS3" s="6">
        <v>0.17934035527522099</v>
      </c>
      <c r="BT3" s="6" t="s">
        <v>31</v>
      </c>
      <c r="BU3" s="6">
        <v>0.239241757271212</v>
      </c>
      <c r="BV3" s="6">
        <v>0.12357311002114416</v>
      </c>
      <c r="BW3" s="6">
        <v>0.12118576299946614</v>
      </c>
      <c r="BX3" s="6">
        <v>2.8472234259896971E-2</v>
      </c>
      <c r="BY3" s="6">
        <v>6.4684152247479282E-2</v>
      </c>
      <c r="BZ3" s="6">
        <v>4.3574132862237359E-2</v>
      </c>
      <c r="CA3" s="6">
        <v>6.8814232217414895E-2</v>
      </c>
      <c r="CB3" s="6">
        <v>0.20672478632452421</v>
      </c>
      <c r="CC3" s="6">
        <v>0.65702841093216302</v>
      </c>
      <c r="CD3" s="6">
        <v>18.807879227904934</v>
      </c>
      <c r="CE3" s="6">
        <v>18.444524008867912</v>
      </c>
      <c r="CF3" s="6">
        <v>4.3334860085428906</v>
      </c>
      <c r="CG3" s="6">
        <v>9.8449551299780556</v>
      </c>
      <c r="CH3" s="6">
        <v>6.6320013164143532</v>
      </c>
      <c r="CI3" s="6">
        <v>10.473555035433595</v>
      </c>
      <c r="CJ3" s="6">
        <v>31.463599272858257</v>
      </c>
    </row>
    <row r="4" spans="1:88" x14ac:dyDescent="0.35">
      <c r="A4">
        <v>102</v>
      </c>
      <c r="B4" t="s">
        <v>82</v>
      </c>
      <c r="C4" t="s">
        <v>130</v>
      </c>
      <c r="D4" t="s">
        <v>20</v>
      </c>
      <c r="E4" t="s">
        <v>29</v>
      </c>
      <c r="F4">
        <v>3</v>
      </c>
      <c r="G4">
        <v>1</v>
      </c>
      <c r="H4" s="1">
        <v>20.170000000000002</v>
      </c>
      <c r="I4" s="1">
        <v>20.48</v>
      </c>
      <c r="J4">
        <v>31</v>
      </c>
      <c r="K4">
        <v>26.7</v>
      </c>
      <c r="L4" t="s">
        <v>31</v>
      </c>
      <c r="M4">
        <v>166</v>
      </c>
      <c r="N4">
        <f t="shared" si="0"/>
        <v>41.5</v>
      </c>
      <c r="O4" s="2" t="s">
        <v>50</v>
      </c>
      <c r="P4">
        <v>52.469459999999998</v>
      </c>
      <c r="Q4">
        <f t="shared" si="1"/>
        <v>133.126035</v>
      </c>
      <c r="R4">
        <f t="shared" si="2"/>
        <v>257.66329354838706</v>
      </c>
      <c r="S4">
        <v>403.9194</v>
      </c>
      <c r="T4">
        <f t="shared" si="3"/>
        <v>1140.0208500000001</v>
      </c>
      <c r="U4">
        <f t="shared" si="4"/>
        <v>2206.4919677419357</v>
      </c>
      <c r="V4">
        <v>90.181491000000022</v>
      </c>
      <c r="W4">
        <f t="shared" si="6"/>
        <v>245.08532025000005</v>
      </c>
      <c r="X4">
        <f t="shared" si="5"/>
        <v>474.35868435483877</v>
      </c>
      <c r="Y4">
        <v>827.11208799601559</v>
      </c>
      <c r="Z4">
        <f t="shared" si="7"/>
        <v>1896.6324792126393</v>
      </c>
      <c r="AA4">
        <f t="shared" si="8"/>
        <v>3670.9015726696243</v>
      </c>
      <c r="AB4">
        <v>50.442654920000003</v>
      </c>
      <c r="AC4">
        <v>13.864247049999999</v>
      </c>
      <c r="AD4" t="s">
        <v>31</v>
      </c>
      <c r="AE4">
        <v>3.6383263170000002</v>
      </c>
      <c r="AF4" t="s">
        <v>31</v>
      </c>
      <c r="AG4" t="s">
        <v>31</v>
      </c>
      <c r="AH4">
        <v>-24.82197815</v>
      </c>
      <c r="AI4">
        <v>13.55605458</v>
      </c>
      <c r="AJ4" s="7">
        <v>8.51</v>
      </c>
      <c r="AK4" s="7" t="s">
        <v>209</v>
      </c>
      <c r="AL4" s="7" t="s">
        <v>209</v>
      </c>
      <c r="AM4" s="6">
        <v>14.505273478215095</v>
      </c>
      <c r="AN4" s="6">
        <v>432.04884767182438</v>
      </c>
      <c r="AO4" s="6">
        <v>220.40641334877185</v>
      </c>
      <c r="AP4" s="6">
        <v>8.2533956884207491</v>
      </c>
      <c r="AQ4" s="6">
        <v>1103.229605</v>
      </c>
      <c r="AR4" s="6">
        <v>25368.420890000001</v>
      </c>
      <c r="AS4" s="6">
        <v>0.36939500000000003</v>
      </c>
      <c r="AT4" s="6">
        <v>1.8330150000000001</v>
      </c>
      <c r="AU4" s="6">
        <v>35.351290000000006</v>
      </c>
      <c r="AV4" s="6">
        <v>8.2364899999999999</v>
      </c>
      <c r="AW4" s="6">
        <v>29.496880000000001</v>
      </c>
      <c r="AX4" s="6">
        <v>98.296404999999993</v>
      </c>
      <c r="AY4" s="6">
        <v>0.91332000000000002</v>
      </c>
      <c r="AZ4" s="6">
        <v>69.074079999999995</v>
      </c>
      <c r="BA4" s="6">
        <v>2.2749999999999999</v>
      </c>
      <c r="BB4" s="6">
        <v>2.7018981808576901</v>
      </c>
      <c r="BC4" s="6">
        <v>1.77028991286698</v>
      </c>
      <c r="BD4" s="6">
        <v>0.39386670843462201</v>
      </c>
      <c r="BE4" s="6">
        <v>9.9628864266824296E-2</v>
      </c>
      <c r="BF4" s="6">
        <v>2.4628758391371401E-2</v>
      </c>
      <c r="BG4" s="6">
        <v>1.7257045411888501E-2</v>
      </c>
      <c r="BH4" s="6">
        <v>1.42717121057145</v>
      </c>
      <c r="BI4" s="6">
        <v>0.84331198579049704</v>
      </c>
      <c r="BJ4" s="6">
        <v>1.34816608154423</v>
      </c>
      <c r="BK4" s="6">
        <v>1.71600253616976</v>
      </c>
      <c r="BL4" s="6">
        <v>0.63181183129149499</v>
      </c>
      <c r="BM4" s="6">
        <v>0.26431488710654799</v>
      </c>
      <c r="BN4" s="6">
        <v>0.20904272807349</v>
      </c>
      <c r="BO4" s="6">
        <v>0.13209725934608199</v>
      </c>
      <c r="BP4" s="6">
        <v>7.9682984710949506E-2</v>
      </c>
      <c r="BQ4" s="6">
        <v>4.0309370994742397E-2</v>
      </c>
      <c r="BR4" s="6">
        <v>0.18579684089158599</v>
      </c>
      <c r="BS4" s="6">
        <v>0.17934035527522099</v>
      </c>
      <c r="BT4" s="6" t="s">
        <v>31</v>
      </c>
      <c r="BU4" s="6">
        <v>0.239241757271212</v>
      </c>
      <c r="BV4" s="6">
        <v>0.12357311002114416</v>
      </c>
      <c r="BW4" s="6">
        <v>0.12118576299946614</v>
      </c>
      <c r="BX4" s="6">
        <v>2.8472234259896971E-2</v>
      </c>
      <c r="BY4" s="6">
        <v>6.4684152247479282E-2</v>
      </c>
      <c r="BZ4" s="6">
        <v>4.3574132862237359E-2</v>
      </c>
      <c r="CA4" s="6">
        <v>6.8814232217414895E-2</v>
      </c>
      <c r="CB4" s="6">
        <v>0.20672478632452421</v>
      </c>
      <c r="CC4" s="6">
        <v>0.65702841093216302</v>
      </c>
      <c r="CD4" s="6">
        <v>18.807879227904934</v>
      </c>
      <c r="CE4" s="6">
        <v>18.444524008867912</v>
      </c>
      <c r="CF4" s="6">
        <v>4.3334860085428906</v>
      </c>
      <c r="CG4" s="6">
        <v>9.8449551299780556</v>
      </c>
      <c r="CH4" s="6">
        <v>6.6320013164143532</v>
      </c>
      <c r="CI4" s="6">
        <v>10.473555035433595</v>
      </c>
      <c r="CJ4" s="6">
        <v>31.463599272858257</v>
      </c>
    </row>
    <row r="5" spans="1:88" x14ac:dyDescent="0.35">
      <c r="A5">
        <v>103</v>
      </c>
      <c r="B5" t="s">
        <v>82</v>
      </c>
      <c r="C5" t="s">
        <v>130</v>
      </c>
      <c r="D5" t="s">
        <v>20</v>
      </c>
      <c r="E5" t="s">
        <v>29</v>
      </c>
      <c r="F5">
        <v>3</v>
      </c>
      <c r="G5">
        <v>1</v>
      </c>
      <c r="H5" s="1">
        <v>20.18</v>
      </c>
      <c r="I5" s="1">
        <v>20.49</v>
      </c>
      <c r="J5">
        <v>31</v>
      </c>
      <c r="K5">
        <v>26.7</v>
      </c>
      <c r="L5" t="s">
        <v>31</v>
      </c>
      <c r="M5">
        <v>104</v>
      </c>
      <c r="N5">
        <f t="shared" si="0"/>
        <v>26</v>
      </c>
      <c r="O5" s="2" t="s">
        <v>49</v>
      </c>
      <c r="P5">
        <v>80.926280000000006</v>
      </c>
      <c r="Q5">
        <f t="shared" si="1"/>
        <v>218.49649500000001</v>
      </c>
      <c r="R5">
        <f t="shared" si="2"/>
        <v>422.89644193548389</v>
      </c>
      <c r="S5">
        <v>357.17660000000001</v>
      </c>
      <c r="T5">
        <f t="shared" si="3"/>
        <v>999.79245000000014</v>
      </c>
      <c r="U5">
        <f t="shared" si="4"/>
        <v>1935.0821612903228</v>
      </c>
      <c r="V5">
        <v>100.81678800000002</v>
      </c>
      <c r="W5">
        <f t="shared" si="6"/>
        <v>276.99121125000005</v>
      </c>
      <c r="X5">
        <f t="shared" si="5"/>
        <v>536.11202177419364</v>
      </c>
      <c r="Y5">
        <v>613.79550901396397</v>
      </c>
      <c r="Z5">
        <f t="shared" si="7"/>
        <v>1256.6827422664842</v>
      </c>
      <c r="AA5">
        <f t="shared" si="8"/>
        <v>2432.2891785802917</v>
      </c>
      <c r="AB5">
        <v>49.353448210000003</v>
      </c>
      <c r="AC5">
        <v>14.41409494</v>
      </c>
      <c r="AD5" t="s">
        <v>31</v>
      </c>
      <c r="AE5">
        <v>3.4239713570000001</v>
      </c>
      <c r="AF5" t="s">
        <v>31</v>
      </c>
      <c r="AG5" t="s">
        <v>31</v>
      </c>
      <c r="AH5">
        <v>-24.048745220000001</v>
      </c>
      <c r="AI5">
        <v>12.74130587</v>
      </c>
      <c r="AJ5" s="7">
        <v>8.51</v>
      </c>
      <c r="AK5" s="7" t="s">
        <v>209</v>
      </c>
      <c r="AL5" s="7" t="s">
        <v>209</v>
      </c>
      <c r="AM5" s="6">
        <v>14.505273478215095</v>
      </c>
      <c r="AN5" s="6">
        <v>432.04884767182438</v>
      </c>
      <c r="AO5" s="6">
        <v>220.40641334877185</v>
      </c>
      <c r="AP5" s="6">
        <v>8.2533956884207491</v>
      </c>
      <c r="AQ5" s="6">
        <v>1103.229605</v>
      </c>
      <c r="AR5" s="6">
        <v>25368.420890000001</v>
      </c>
      <c r="AS5" s="6">
        <v>0.36939500000000003</v>
      </c>
      <c r="AT5" s="6">
        <v>1.8330150000000001</v>
      </c>
      <c r="AU5" s="6">
        <v>35.351290000000006</v>
      </c>
      <c r="AV5" s="6">
        <v>8.2364899999999999</v>
      </c>
      <c r="AW5" s="6">
        <v>29.496880000000001</v>
      </c>
      <c r="AX5" s="6">
        <v>98.296404999999993</v>
      </c>
      <c r="AY5" s="6">
        <v>0.91332000000000002</v>
      </c>
      <c r="AZ5" s="6">
        <v>69.074079999999995</v>
      </c>
      <c r="BA5" s="6">
        <v>2.2749999999999999</v>
      </c>
      <c r="BB5" s="6">
        <v>2.7018981808576901</v>
      </c>
      <c r="BC5" s="6">
        <v>1.77028991286698</v>
      </c>
      <c r="BD5" s="6">
        <v>0.39386670843462201</v>
      </c>
      <c r="BE5" s="6">
        <v>9.9628864266824296E-2</v>
      </c>
      <c r="BF5" s="6">
        <v>2.4628758391371401E-2</v>
      </c>
      <c r="BG5" s="6">
        <v>1.7257045411888501E-2</v>
      </c>
      <c r="BH5" s="6">
        <v>1.42717121057145</v>
      </c>
      <c r="BI5" s="6">
        <v>0.84331198579049704</v>
      </c>
      <c r="BJ5" s="6">
        <v>1.34816608154423</v>
      </c>
      <c r="BK5" s="6">
        <v>1.71600253616976</v>
      </c>
      <c r="BL5" s="6">
        <v>0.63181183129149499</v>
      </c>
      <c r="BM5" s="6">
        <v>0.26431488710654799</v>
      </c>
      <c r="BN5" s="6">
        <v>0.20904272807349</v>
      </c>
      <c r="BO5" s="6">
        <v>0.13209725934608199</v>
      </c>
      <c r="BP5" s="6">
        <v>7.9682984710949506E-2</v>
      </c>
      <c r="BQ5" s="6">
        <v>4.0309370994742397E-2</v>
      </c>
      <c r="BR5" s="6">
        <v>0.18579684089158599</v>
      </c>
      <c r="BS5" s="6">
        <v>0.17934035527522099</v>
      </c>
      <c r="BT5" s="6" t="s">
        <v>31</v>
      </c>
      <c r="BU5" s="6">
        <v>0.239241757271212</v>
      </c>
      <c r="BV5" s="6">
        <v>0.12357311002114416</v>
      </c>
      <c r="BW5" s="6">
        <v>0.12118576299946614</v>
      </c>
      <c r="BX5" s="6">
        <v>2.8472234259896971E-2</v>
      </c>
      <c r="BY5" s="6">
        <v>6.4684152247479282E-2</v>
      </c>
      <c r="BZ5" s="6">
        <v>4.3574132862237359E-2</v>
      </c>
      <c r="CA5" s="6">
        <v>6.8814232217414895E-2</v>
      </c>
      <c r="CB5" s="6">
        <v>0.20672478632452421</v>
      </c>
      <c r="CC5" s="6">
        <v>0.65702841093216302</v>
      </c>
      <c r="CD5" s="6">
        <v>18.807879227904934</v>
      </c>
      <c r="CE5" s="6">
        <v>18.444524008867912</v>
      </c>
      <c r="CF5" s="6">
        <v>4.3334860085428906</v>
      </c>
      <c r="CG5" s="6">
        <v>9.8449551299780556</v>
      </c>
      <c r="CH5" s="6">
        <v>6.6320013164143532</v>
      </c>
      <c r="CI5" s="6">
        <v>10.473555035433595</v>
      </c>
      <c r="CJ5" s="6">
        <v>31.463599272858257</v>
      </c>
    </row>
    <row r="6" spans="1:88" x14ac:dyDescent="0.35">
      <c r="A6">
        <v>104</v>
      </c>
      <c r="B6" t="s">
        <v>82</v>
      </c>
      <c r="C6" t="s">
        <v>130</v>
      </c>
      <c r="D6" t="s">
        <v>20</v>
      </c>
      <c r="E6" t="s">
        <v>29</v>
      </c>
      <c r="F6">
        <v>2</v>
      </c>
      <c r="G6">
        <v>1</v>
      </c>
      <c r="H6" s="1">
        <v>20.2</v>
      </c>
      <c r="I6" s="1">
        <v>20.51</v>
      </c>
      <c r="J6">
        <v>31</v>
      </c>
      <c r="K6">
        <v>26.7</v>
      </c>
      <c r="L6" t="s">
        <v>31</v>
      </c>
      <c r="M6">
        <v>90</v>
      </c>
      <c r="N6">
        <f t="shared" si="0"/>
        <v>22.5</v>
      </c>
      <c r="O6" s="2" t="s">
        <v>49</v>
      </c>
      <c r="P6">
        <v>123.29707000000001</v>
      </c>
      <c r="Q6">
        <f t="shared" si="1"/>
        <v>230.40591000000001</v>
      </c>
      <c r="R6">
        <f t="shared" si="2"/>
        <v>445.94692258064521</v>
      </c>
      <c r="S6">
        <v>422.30140000000006</v>
      </c>
      <c r="T6">
        <f t="shared" si="3"/>
        <v>796.77790000000016</v>
      </c>
      <c r="U6">
        <f t="shared" si="4"/>
        <v>1542.1507741935488</v>
      </c>
      <c r="V6">
        <v>129.8817435</v>
      </c>
      <c r="W6">
        <f t="shared" si="6"/>
        <v>242.7907185</v>
      </c>
      <c r="X6">
        <f t="shared" si="5"/>
        <v>469.91751967741936</v>
      </c>
      <c r="Y6">
        <v>772.29175308303479</v>
      </c>
      <c r="Z6">
        <f t="shared" si="7"/>
        <v>1154.7809829824646</v>
      </c>
      <c r="AA6">
        <f t="shared" si="8"/>
        <v>2235.0599670628344</v>
      </c>
      <c r="AB6">
        <v>45.834344119999997</v>
      </c>
      <c r="AC6">
        <v>13.68383482</v>
      </c>
      <c r="AD6" t="s">
        <v>31</v>
      </c>
      <c r="AE6">
        <v>3.3495248009999998</v>
      </c>
      <c r="AF6" t="s">
        <v>31</v>
      </c>
      <c r="AG6" t="s">
        <v>31</v>
      </c>
      <c r="AH6">
        <v>-23.99557239</v>
      </c>
      <c r="AI6">
        <v>12.90011838</v>
      </c>
      <c r="AJ6" s="7">
        <v>8.51</v>
      </c>
      <c r="AK6" s="7" t="s">
        <v>209</v>
      </c>
      <c r="AL6" s="7" t="s">
        <v>209</v>
      </c>
      <c r="AM6" s="6">
        <v>14.505273478215095</v>
      </c>
      <c r="AN6" s="6">
        <v>432.04884767182438</v>
      </c>
      <c r="AO6" s="6">
        <v>220.40641334877185</v>
      </c>
      <c r="AP6" s="6">
        <v>8.2533956884207491</v>
      </c>
      <c r="AQ6" s="6">
        <v>1103.229605</v>
      </c>
      <c r="AR6" s="6">
        <v>25368.420890000001</v>
      </c>
      <c r="AS6" s="6">
        <v>0.36939500000000003</v>
      </c>
      <c r="AT6" s="6">
        <v>1.8330150000000001</v>
      </c>
      <c r="AU6" s="6">
        <v>35.351290000000006</v>
      </c>
      <c r="AV6" s="6">
        <v>8.2364899999999999</v>
      </c>
      <c r="AW6" s="6">
        <v>29.496880000000001</v>
      </c>
      <c r="AX6" s="6">
        <v>98.296404999999993</v>
      </c>
      <c r="AY6" s="6">
        <v>0.91332000000000002</v>
      </c>
      <c r="AZ6" s="6">
        <v>69.074079999999995</v>
      </c>
      <c r="BA6" s="6">
        <v>2.2749999999999999</v>
      </c>
      <c r="BB6" s="6">
        <v>2.7018981808576901</v>
      </c>
      <c r="BC6" s="6">
        <v>1.77028991286698</v>
      </c>
      <c r="BD6" s="6">
        <v>0.39386670843462201</v>
      </c>
      <c r="BE6" s="6">
        <v>9.9628864266824296E-2</v>
      </c>
      <c r="BF6" s="6">
        <v>2.4628758391371401E-2</v>
      </c>
      <c r="BG6" s="6">
        <v>1.7257045411888501E-2</v>
      </c>
      <c r="BH6" s="6">
        <v>1.42717121057145</v>
      </c>
      <c r="BI6" s="6">
        <v>0.84331198579049704</v>
      </c>
      <c r="BJ6" s="6">
        <v>1.34816608154423</v>
      </c>
      <c r="BK6" s="6">
        <v>1.71600253616976</v>
      </c>
      <c r="BL6" s="6">
        <v>0.63181183129149499</v>
      </c>
      <c r="BM6" s="6">
        <v>0.26431488710654799</v>
      </c>
      <c r="BN6" s="6">
        <v>0.20904272807349</v>
      </c>
      <c r="BO6" s="6">
        <v>0.13209725934608199</v>
      </c>
      <c r="BP6" s="6">
        <v>7.9682984710949506E-2</v>
      </c>
      <c r="BQ6" s="6">
        <v>4.0309370994742397E-2</v>
      </c>
      <c r="BR6" s="6">
        <v>0.18579684089158599</v>
      </c>
      <c r="BS6" s="6">
        <v>0.17934035527522099</v>
      </c>
      <c r="BT6" s="6" t="s">
        <v>31</v>
      </c>
      <c r="BU6" s="6">
        <v>0.239241757271212</v>
      </c>
      <c r="BV6" s="6">
        <v>0.12357311002114416</v>
      </c>
      <c r="BW6" s="6">
        <v>0.12118576299946614</v>
      </c>
      <c r="BX6" s="6">
        <v>2.8472234259896971E-2</v>
      </c>
      <c r="BY6" s="6">
        <v>6.4684152247479282E-2</v>
      </c>
      <c r="BZ6" s="6">
        <v>4.3574132862237359E-2</v>
      </c>
      <c r="CA6" s="6">
        <v>6.8814232217414895E-2</v>
      </c>
      <c r="CB6" s="6">
        <v>0.20672478632452421</v>
      </c>
      <c r="CC6" s="6">
        <v>0.65702841093216302</v>
      </c>
      <c r="CD6" s="6">
        <v>18.807879227904934</v>
      </c>
      <c r="CE6" s="6">
        <v>18.444524008867912</v>
      </c>
      <c r="CF6" s="6">
        <v>4.3334860085428906</v>
      </c>
      <c r="CG6" s="6">
        <v>9.8449551299780556</v>
      </c>
      <c r="CH6" s="6">
        <v>6.6320013164143532</v>
      </c>
      <c r="CI6" s="6">
        <v>10.473555035433595</v>
      </c>
      <c r="CJ6" s="6">
        <v>31.463599272858257</v>
      </c>
    </row>
    <row r="7" spans="1:88" x14ac:dyDescent="0.35">
      <c r="A7">
        <v>105</v>
      </c>
      <c r="B7" t="s">
        <v>82</v>
      </c>
      <c r="C7" t="s">
        <v>130</v>
      </c>
      <c r="D7" t="s">
        <v>20</v>
      </c>
      <c r="E7" t="s">
        <v>29</v>
      </c>
      <c r="F7">
        <v>2</v>
      </c>
      <c r="G7">
        <v>1</v>
      </c>
      <c r="H7" s="1">
        <v>20.22</v>
      </c>
      <c r="I7" s="1">
        <v>20.52</v>
      </c>
      <c r="J7">
        <v>30</v>
      </c>
      <c r="K7">
        <v>26.7</v>
      </c>
      <c r="L7" t="s">
        <v>31</v>
      </c>
      <c r="M7">
        <v>57</v>
      </c>
      <c r="N7">
        <f t="shared" si="0"/>
        <v>14.25</v>
      </c>
      <c r="O7" s="2" t="s">
        <v>49</v>
      </c>
      <c r="P7">
        <v>93.110830000000007</v>
      </c>
      <c r="Q7">
        <f t="shared" si="1"/>
        <v>170.03343000000001</v>
      </c>
      <c r="R7">
        <f t="shared" si="2"/>
        <v>340.06686000000002</v>
      </c>
      <c r="S7">
        <v>356.3888</v>
      </c>
      <c r="T7">
        <f t="shared" si="3"/>
        <v>664.95270000000005</v>
      </c>
      <c r="U7">
        <f t="shared" si="4"/>
        <v>1329.9054000000001</v>
      </c>
      <c r="V7">
        <v>104.3861685</v>
      </c>
      <c r="W7">
        <f t="shared" si="6"/>
        <v>191.79956849999999</v>
      </c>
      <c r="X7">
        <f t="shared" si="5"/>
        <v>383.59913699999998</v>
      </c>
      <c r="Y7">
        <v>608.96234937895179</v>
      </c>
      <c r="Z7">
        <f t="shared" si="7"/>
        <v>828.12217557429847</v>
      </c>
      <c r="AA7">
        <f t="shared" si="8"/>
        <v>1656.2443511485969</v>
      </c>
      <c r="AB7">
        <v>45.891883290000003</v>
      </c>
      <c r="AC7">
        <v>14.02760546</v>
      </c>
      <c r="AD7" t="s">
        <v>31</v>
      </c>
      <c r="AE7">
        <v>3.2715407779999999</v>
      </c>
      <c r="AF7" t="s">
        <v>31</v>
      </c>
      <c r="AG7" t="s">
        <v>31</v>
      </c>
      <c r="AH7">
        <v>-23.983607960000001</v>
      </c>
      <c r="AI7">
        <v>12.33139493</v>
      </c>
      <c r="AJ7" s="7">
        <v>8.51</v>
      </c>
      <c r="AK7" s="7" t="s">
        <v>209</v>
      </c>
      <c r="AL7" s="7" t="s">
        <v>209</v>
      </c>
      <c r="AM7" s="6">
        <v>14.505273478215095</v>
      </c>
      <c r="AN7" s="6">
        <v>432.04884767182438</v>
      </c>
      <c r="AO7" s="6">
        <v>220.40641334877185</v>
      </c>
      <c r="AP7" s="6">
        <v>8.2533956884207491</v>
      </c>
      <c r="AQ7" s="6">
        <v>1103.229605</v>
      </c>
      <c r="AR7" s="6">
        <v>25368.420890000001</v>
      </c>
      <c r="AS7" s="6">
        <v>0.36939500000000003</v>
      </c>
      <c r="AT7" s="6">
        <v>1.8330150000000001</v>
      </c>
      <c r="AU7" s="6">
        <v>35.351290000000006</v>
      </c>
      <c r="AV7" s="6">
        <v>8.2364899999999999</v>
      </c>
      <c r="AW7" s="6">
        <v>29.496880000000001</v>
      </c>
      <c r="AX7" s="6">
        <v>98.296404999999993</v>
      </c>
      <c r="AY7" s="6">
        <v>0.91332000000000002</v>
      </c>
      <c r="AZ7" s="6">
        <v>69.074079999999995</v>
      </c>
      <c r="BA7" s="6">
        <v>2.2749999999999999</v>
      </c>
      <c r="BB7" s="6">
        <v>2.7018981808576901</v>
      </c>
      <c r="BC7" s="6">
        <v>1.77028991286698</v>
      </c>
      <c r="BD7" s="6">
        <v>0.39386670843462201</v>
      </c>
      <c r="BE7" s="6">
        <v>9.9628864266824296E-2</v>
      </c>
      <c r="BF7" s="6">
        <v>2.4628758391371401E-2</v>
      </c>
      <c r="BG7" s="6">
        <v>1.7257045411888501E-2</v>
      </c>
      <c r="BH7" s="6">
        <v>1.42717121057145</v>
      </c>
      <c r="BI7" s="6">
        <v>0.84331198579049704</v>
      </c>
      <c r="BJ7" s="6">
        <v>1.34816608154423</v>
      </c>
      <c r="BK7" s="6">
        <v>1.71600253616976</v>
      </c>
      <c r="BL7" s="6">
        <v>0.63181183129149499</v>
      </c>
      <c r="BM7" s="6">
        <v>0.26431488710654799</v>
      </c>
      <c r="BN7" s="6">
        <v>0.20904272807349</v>
      </c>
      <c r="BO7" s="6">
        <v>0.13209725934608199</v>
      </c>
      <c r="BP7" s="6">
        <v>7.9682984710949506E-2</v>
      </c>
      <c r="BQ7" s="6">
        <v>4.0309370994742397E-2</v>
      </c>
      <c r="BR7" s="6">
        <v>0.18579684089158599</v>
      </c>
      <c r="BS7" s="6">
        <v>0.17934035527522099</v>
      </c>
      <c r="BT7" s="6" t="s">
        <v>31</v>
      </c>
      <c r="BU7" s="6">
        <v>0.239241757271212</v>
      </c>
      <c r="BV7" s="6">
        <v>0.12357311002114416</v>
      </c>
      <c r="BW7" s="6">
        <v>0.12118576299946614</v>
      </c>
      <c r="BX7" s="6">
        <v>2.8472234259896971E-2</v>
      </c>
      <c r="BY7" s="6">
        <v>6.4684152247479282E-2</v>
      </c>
      <c r="BZ7" s="6">
        <v>4.3574132862237359E-2</v>
      </c>
      <c r="CA7" s="6">
        <v>6.8814232217414895E-2</v>
      </c>
      <c r="CB7" s="6">
        <v>0.20672478632452421</v>
      </c>
      <c r="CC7" s="6">
        <v>0.65702841093216302</v>
      </c>
      <c r="CD7" s="6">
        <v>18.807879227904934</v>
      </c>
      <c r="CE7" s="6">
        <v>18.444524008867912</v>
      </c>
      <c r="CF7" s="6">
        <v>4.3334860085428906</v>
      </c>
      <c r="CG7" s="6">
        <v>9.8449551299780556</v>
      </c>
      <c r="CH7" s="6">
        <v>6.6320013164143532</v>
      </c>
      <c r="CI7" s="6">
        <v>10.473555035433595</v>
      </c>
      <c r="CJ7" s="6">
        <v>31.463599272858257</v>
      </c>
    </row>
    <row r="8" spans="1:88" x14ac:dyDescent="0.35">
      <c r="A8">
        <v>107</v>
      </c>
      <c r="B8" t="s">
        <v>87</v>
      </c>
      <c r="C8" t="s">
        <v>130</v>
      </c>
      <c r="D8" t="s">
        <v>23</v>
      </c>
      <c r="E8" t="s">
        <v>29</v>
      </c>
      <c r="F8">
        <v>5</v>
      </c>
      <c r="G8">
        <v>1</v>
      </c>
      <c r="H8" s="1">
        <v>10.199999999999999</v>
      </c>
      <c r="I8" s="1">
        <v>10.42</v>
      </c>
      <c r="J8">
        <v>22</v>
      </c>
      <c r="K8">
        <v>26</v>
      </c>
      <c r="L8" t="s">
        <v>31</v>
      </c>
      <c r="M8">
        <v>636</v>
      </c>
      <c r="N8">
        <f t="shared" si="0"/>
        <v>159</v>
      </c>
      <c r="O8" s="2" t="s">
        <v>49</v>
      </c>
      <c r="P8">
        <v>112.76333</v>
      </c>
      <c r="Q8">
        <f t="shared" si="1"/>
        <v>523.34607499999993</v>
      </c>
      <c r="R8">
        <f t="shared" si="2"/>
        <v>1427.3074772727271</v>
      </c>
      <c r="S8">
        <v>590.89060000000006</v>
      </c>
      <c r="T8">
        <f t="shared" si="3"/>
        <v>2834.89075</v>
      </c>
      <c r="U8">
        <f t="shared" si="4"/>
        <v>7731.5202272727274</v>
      </c>
      <c r="V8">
        <v>129.0076095</v>
      </c>
      <c r="W8">
        <f t="shared" si="6"/>
        <v>602.60612624999999</v>
      </c>
      <c r="X8">
        <f t="shared" si="5"/>
        <v>1643.4712534090909</v>
      </c>
      <c r="Y8">
        <v>1292.1997197152853</v>
      </c>
      <c r="Z8">
        <f t="shared" si="7"/>
        <v>5486.4922906174143</v>
      </c>
      <c r="AA8">
        <f t="shared" si="8"/>
        <v>14963.160792592947</v>
      </c>
      <c r="AD8" t="s">
        <v>31</v>
      </c>
      <c r="AF8" t="s">
        <v>31</v>
      </c>
      <c r="AG8" t="s">
        <v>31</v>
      </c>
      <c r="AJ8" s="7">
        <v>8.51</v>
      </c>
      <c r="AK8" s="7" t="s">
        <v>209</v>
      </c>
      <c r="AL8" s="7" t="s">
        <v>209</v>
      </c>
      <c r="AM8" s="6">
        <v>14.505273478215095</v>
      </c>
      <c r="AN8" s="6">
        <v>432.04884767182438</v>
      </c>
      <c r="AO8" s="6">
        <v>220.40641334877185</v>
      </c>
      <c r="AP8" s="6">
        <v>8.2533956884207491</v>
      </c>
      <c r="AQ8" s="6">
        <v>1103.229605</v>
      </c>
      <c r="AR8" s="6">
        <v>25368.420890000001</v>
      </c>
      <c r="AS8" s="6">
        <v>0.36939500000000003</v>
      </c>
      <c r="AT8" s="6">
        <v>1.8330150000000001</v>
      </c>
      <c r="AU8" s="6">
        <v>35.351290000000006</v>
      </c>
      <c r="AV8" s="6">
        <v>8.2364899999999999</v>
      </c>
      <c r="AW8" s="6">
        <v>29.496880000000001</v>
      </c>
      <c r="AX8" s="6">
        <v>98.296404999999993</v>
      </c>
      <c r="AY8" s="6">
        <v>0.91332000000000002</v>
      </c>
      <c r="AZ8" s="6">
        <v>69.074079999999995</v>
      </c>
      <c r="BA8" s="6">
        <v>2.2749999999999999</v>
      </c>
      <c r="BB8" s="6">
        <v>2.7018981808576901</v>
      </c>
      <c r="BC8" s="6">
        <v>1.77028991286698</v>
      </c>
      <c r="BD8" s="6">
        <v>0.39386670843462201</v>
      </c>
      <c r="BE8" s="6">
        <v>9.9628864266824296E-2</v>
      </c>
      <c r="BF8" s="6">
        <v>2.4628758391371401E-2</v>
      </c>
      <c r="BG8" s="6">
        <v>1.7257045411888501E-2</v>
      </c>
      <c r="BH8" s="6">
        <v>1.42717121057145</v>
      </c>
      <c r="BI8" s="6">
        <v>0.84331198579049704</v>
      </c>
      <c r="BJ8" s="6">
        <v>1.34816608154423</v>
      </c>
      <c r="BK8" s="6">
        <v>1.71600253616976</v>
      </c>
      <c r="BL8" s="6">
        <v>0.63181183129149499</v>
      </c>
      <c r="BM8" s="6">
        <v>0.26431488710654799</v>
      </c>
      <c r="BN8" s="6">
        <v>0.20904272807349</v>
      </c>
      <c r="BO8" s="6">
        <v>0.13209725934608199</v>
      </c>
      <c r="BP8" s="6">
        <v>7.9682984710949506E-2</v>
      </c>
      <c r="BQ8" s="6">
        <v>4.0309370994742397E-2</v>
      </c>
      <c r="BR8" s="6">
        <v>0.18579684089158599</v>
      </c>
      <c r="BS8" s="6">
        <v>0.17934035527522099</v>
      </c>
      <c r="BT8" s="6" t="s">
        <v>31</v>
      </c>
      <c r="BU8" s="6">
        <v>0.239241757271212</v>
      </c>
      <c r="BV8" s="6">
        <v>0.12357311002114416</v>
      </c>
      <c r="BW8" s="6">
        <v>0.12118576299946614</v>
      </c>
      <c r="BX8" s="6">
        <v>2.8472234259896971E-2</v>
      </c>
      <c r="BY8" s="6">
        <v>6.4684152247479282E-2</v>
      </c>
      <c r="BZ8" s="6">
        <v>4.3574132862237359E-2</v>
      </c>
      <c r="CA8" s="6">
        <v>6.8814232217414895E-2</v>
      </c>
      <c r="CB8" s="6">
        <v>0.20672478632452421</v>
      </c>
      <c r="CC8" s="6">
        <v>0.65702841093216302</v>
      </c>
      <c r="CD8" s="6">
        <v>18.807879227904934</v>
      </c>
      <c r="CE8" s="6">
        <v>18.444524008867912</v>
      </c>
      <c r="CF8" s="6">
        <v>4.3334860085428906</v>
      </c>
      <c r="CG8" s="6">
        <v>9.8449551299780556</v>
      </c>
      <c r="CH8" s="6">
        <v>6.6320013164143532</v>
      </c>
      <c r="CI8" s="6">
        <v>10.473555035433595</v>
      </c>
      <c r="CJ8" s="6">
        <v>31.463599272858257</v>
      </c>
    </row>
    <row r="9" spans="1:88" x14ac:dyDescent="0.35">
      <c r="A9">
        <v>108</v>
      </c>
      <c r="B9" t="s">
        <v>87</v>
      </c>
      <c r="C9" t="s">
        <v>130</v>
      </c>
      <c r="D9" t="s">
        <v>21</v>
      </c>
      <c r="E9" t="s">
        <v>29</v>
      </c>
      <c r="F9">
        <v>5</v>
      </c>
      <c r="G9">
        <v>1</v>
      </c>
      <c r="H9" s="1">
        <v>10.220000000000001</v>
      </c>
      <c r="I9" s="1">
        <v>10.43</v>
      </c>
      <c r="J9">
        <v>21</v>
      </c>
      <c r="K9">
        <v>26</v>
      </c>
      <c r="L9" t="s">
        <v>31</v>
      </c>
      <c r="M9">
        <v>605</v>
      </c>
      <c r="N9">
        <f t="shared" si="0"/>
        <v>151.25</v>
      </c>
      <c r="O9" s="2" t="s">
        <v>49</v>
      </c>
      <c r="P9">
        <v>72.750840000000011</v>
      </c>
      <c r="Q9">
        <f t="shared" si="1"/>
        <v>323.28362500000003</v>
      </c>
      <c r="R9">
        <f t="shared" si="2"/>
        <v>923.66750000000002</v>
      </c>
      <c r="S9">
        <v>761.58060000000012</v>
      </c>
      <c r="T9">
        <f t="shared" si="3"/>
        <v>3688.3407500000003</v>
      </c>
      <c r="U9">
        <f t="shared" si="4"/>
        <v>10538.116428571429</v>
      </c>
      <c r="V9">
        <v>108.246927</v>
      </c>
      <c r="W9">
        <f t="shared" si="6"/>
        <v>498.80271375000001</v>
      </c>
      <c r="X9">
        <f t="shared" si="5"/>
        <v>1425.1506107142859</v>
      </c>
      <c r="Y9">
        <v>1304.5369185993604</v>
      </c>
      <c r="Z9">
        <f t="shared" si="7"/>
        <v>5548.1782850377895</v>
      </c>
      <c r="AA9">
        <f t="shared" si="8"/>
        <v>15851.937957250826</v>
      </c>
      <c r="AD9" t="s">
        <v>31</v>
      </c>
      <c r="AF9" t="s">
        <v>31</v>
      </c>
      <c r="AG9" t="s">
        <v>31</v>
      </c>
      <c r="AJ9" s="7">
        <v>8.51</v>
      </c>
      <c r="AK9" s="7" t="s">
        <v>209</v>
      </c>
      <c r="AL9" s="7" t="s">
        <v>209</v>
      </c>
      <c r="AM9" s="6">
        <v>14.505273478215095</v>
      </c>
      <c r="AN9" s="6">
        <v>432.04884767182438</v>
      </c>
      <c r="AO9" s="6">
        <v>220.40641334877185</v>
      </c>
      <c r="AP9" s="6">
        <v>8.2533956884207491</v>
      </c>
      <c r="AQ9" s="6">
        <v>1103.229605</v>
      </c>
      <c r="AR9" s="6">
        <v>25368.420890000001</v>
      </c>
      <c r="AS9" s="6">
        <v>0.36939500000000003</v>
      </c>
      <c r="AT9" s="6">
        <v>1.8330150000000001</v>
      </c>
      <c r="AU9" s="6">
        <v>35.351290000000006</v>
      </c>
      <c r="AV9" s="6">
        <v>8.2364899999999999</v>
      </c>
      <c r="AW9" s="6">
        <v>29.496880000000001</v>
      </c>
      <c r="AX9" s="6">
        <v>98.296404999999993</v>
      </c>
      <c r="AY9" s="6">
        <v>0.91332000000000002</v>
      </c>
      <c r="AZ9" s="6">
        <v>69.074079999999995</v>
      </c>
      <c r="BA9" s="6">
        <v>2.2749999999999999</v>
      </c>
      <c r="BB9" s="6">
        <v>2.7018981808576901</v>
      </c>
      <c r="BC9" s="6">
        <v>1.77028991286698</v>
      </c>
      <c r="BD9" s="6">
        <v>0.39386670843462201</v>
      </c>
      <c r="BE9" s="6">
        <v>9.9628864266824296E-2</v>
      </c>
      <c r="BF9" s="6">
        <v>2.4628758391371401E-2</v>
      </c>
      <c r="BG9" s="6">
        <v>1.7257045411888501E-2</v>
      </c>
      <c r="BH9" s="6">
        <v>1.42717121057145</v>
      </c>
      <c r="BI9" s="6">
        <v>0.84331198579049704</v>
      </c>
      <c r="BJ9" s="6">
        <v>1.34816608154423</v>
      </c>
      <c r="BK9" s="6">
        <v>1.71600253616976</v>
      </c>
      <c r="BL9" s="6">
        <v>0.63181183129149499</v>
      </c>
      <c r="BM9" s="6">
        <v>0.26431488710654799</v>
      </c>
      <c r="BN9" s="6">
        <v>0.20904272807349</v>
      </c>
      <c r="BO9" s="6">
        <v>0.13209725934608199</v>
      </c>
      <c r="BP9" s="6">
        <v>7.9682984710949506E-2</v>
      </c>
      <c r="BQ9" s="6">
        <v>4.0309370994742397E-2</v>
      </c>
      <c r="BR9" s="6">
        <v>0.18579684089158599</v>
      </c>
      <c r="BS9" s="6">
        <v>0.17934035527522099</v>
      </c>
      <c r="BT9" s="6" t="s">
        <v>31</v>
      </c>
      <c r="BU9" s="6">
        <v>0.239241757271212</v>
      </c>
      <c r="BV9" s="6">
        <v>0.12357311002114416</v>
      </c>
      <c r="BW9" s="6">
        <v>0.12118576299946614</v>
      </c>
      <c r="BX9" s="6">
        <v>2.8472234259896971E-2</v>
      </c>
      <c r="BY9" s="6">
        <v>6.4684152247479282E-2</v>
      </c>
      <c r="BZ9" s="6">
        <v>4.3574132862237359E-2</v>
      </c>
      <c r="CA9" s="6">
        <v>6.8814232217414895E-2</v>
      </c>
      <c r="CB9" s="6">
        <v>0.20672478632452421</v>
      </c>
      <c r="CC9" s="6">
        <v>0.65702841093216302</v>
      </c>
      <c r="CD9" s="6">
        <v>18.807879227904934</v>
      </c>
      <c r="CE9" s="6">
        <v>18.444524008867912</v>
      </c>
      <c r="CF9" s="6">
        <v>4.3334860085428906</v>
      </c>
      <c r="CG9" s="6">
        <v>9.8449551299780556</v>
      </c>
      <c r="CH9" s="6">
        <v>6.6320013164143532</v>
      </c>
      <c r="CI9" s="6">
        <v>10.473555035433595</v>
      </c>
      <c r="CJ9" s="6">
        <v>31.463599272858257</v>
      </c>
    </row>
    <row r="10" spans="1:88" x14ac:dyDescent="0.35">
      <c r="A10">
        <v>109</v>
      </c>
      <c r="B10" t="s">
        <v>87</v>
      </c>
      <c r="C10" t="s">
        <v>130</v>
      </c>
      <c r="D10" t="s">
        <v>21</v>
      </c>
      <c r="E10" t="s">
        <v>29</v>
      </c>
      <c r="F10">
        <v>5</v>
      </c>
      <c r="G10">
        <v>1</v>
      </c>
      <c r="H10" s="1">
        <v>10.23</v>
      </c>
      <c r="I10" s="1">
        <v>10.44</v>
      </c>
      <c r="J10">
        <v>21</v>
      </c>
      <c r="K10">
        <v>26</v>
      </c>
      <c r="L10" t="s">
        <v>31</v>
      </c>
      <c r="M10">
        <v>927</v>
      </c>
      <c r="N10">
        <f t="shared" si="0"/>
        <v>231.75</v>
      </c>
      <c r="O10" s="2" t="s">
        <v>49</v>
      </c>
      <c r="P10">
        <v>194.91077999999999</v>
      </c>
      <c r="Q10">
        <f t="shared" si="1"/>
        <v>934.08332500000006</v>
      </c>
      <c r="R10">
        <f t="shared" si="2"/>
        <v>2668.8095000000003</v>
      </c>
      <c r="S10">
        <v>711.6866</v>
      </c>
      <c r="T10">
        <f t="shared" si="3"/>
        <v>3438.87075</v>
      </c>
      <c r="U10">
        <f t="shared" si="4"/>
        <v>9825.3450000000012</v>
      </c>
      <c r="V10">
        <v>479.45712149999997</v>
      </c>
      <c r="W10">
        <f t="shared" si="6"/>
        <v>2354.8536862499996</v>
      </c>
      <c r="X10">
        <f t="shared" si="5"/>
        <v>6728.1533892857133</v>
      </c>
      <c r="Y10">
        <v>2634.0047607080464</v>
      </c>
      <c r="Z10">
        <f t="shared" si="7"/>
        <v>12195.517495581218</v>
      </c>
      <c r="AA10">
        <f t="shared" si="8"/>
        <v>34844.335701660624</v>
      </c>
      <c r="AD10" t="s">
        <v>31</v>
      </c>
      <c r="AF10" t="s">
        <v>31</v>
      </c>
      <c r="AG10" t="s">
        <v>31</v>
      </c>
      <c r="AJ10" s="7">
        <v>8.51</v>
      </c>
      <c r="AK10" s="7" t="s">
        <v>209</v>
      </c>
      <c r="AL10" s="7" t="s">
        <v>209</v>
      </c>
      <c r="AM10" s="6">
        <v>14.505273478215095</v>
      </c>
      <c r="AN10" s="6">
        <v>432.04884767182438</v>
      </c>
      <c r="AO10" s="6">
        <v>220.40641334877185</v>
      </c>
      <c r="AP10" s="6">
        <v>8.2533956884207491</v>
      </c>
      <c r="AQ10" s="6">
        <v>1103.229605</v>
      </c>
      <c r="AR10" s="6">
        <v>25368.420890000001</v>
      </c>
      <c r="AS10" s="6">
        <v>0.36939500000000003</v>
      </c>
      <c r="AT10" s="6">
        <v>1.8330150000000001</v>
      </c>
      <c r="AU10" s="6">
        <v>35.351290000000006</v>
      </c>
      <c r="AV10" s="6">
        <v>8.2364899999999999</v>
      </c>
      <c r="AW10" s="6">
        <v>29.496880000000001</v>
      </c>
      <c r="AX10" s="6">
        <v>98.296404999999993</v>
      </c>
      <c r="AY10" s="6">
        <v>0.91332000000000002</v>
      </c>
      <c r="AZ10" s="6">
        <v>69.074079999999995</v>
      </c>
      <c r="BA10" s="6">
        <v>2.2749999999999999</v>
      </c>
      <c r="BB10" s="6">
        <v>2.7018981808576901</v>
      </c>
      <c r="BC10" s="6">
        <v>1.77028991286698</v>
      </c>
      <c r="BD10" s="6">
        <v>0.39386670843462201</v>
      </c>
      <c r="BE10" s="6">
        <v>9.9628864266824296E-2</v>
      </c>
      <c r="BF10" s="6">
        <v>2.4628758391371401E-2</v>
      </c>
      <c r="BG10" s="6">
        <v>1.7257045411888501E-2</v>
      </c>
      <c r="BH10" s="6">
        <v>1.42717121057145</v>
      </c>
      <c r="BI10" s="6">
        <v>0.84331198579049704</v>
      </c>
      <c r="BJ10" s="6">
        <v>1.34816608154423</v>
      </c>
      <c r="BK10" s="6">
        <v>1.71600253616976</v>
      </c>
      <c r="BL10" s="6">
        <v>0.63181183129149499</v>
      </c>
      <c r="BM10" s="6">
        <v>0.26431488710654799</v>
      </c>
      <c r="BN10" s="6">
        <v>0.20904272807349</v>
      </c>
      <c r="BO10" s="6">
        <v>0.13209725934608199</v>
      </c>
      <c r="BP10" s="6">
        <v>7.9682984710949506E-2</v>
      </c>
      <c r="BQ10" s="6">
        <v>4.0309370994742397E-2</v>
      </c>
      <c r="BR10" s="6">
        <v>0.18579684089158599</v>
      </c>
      <c r="BS10" s="6">
        <v>0.17934035527522099</v>
      </c>
      <c r="BT10" s="6" t="s">
        <v>31</v>
      </c>
      <c r="BU10" s="6">
        <v>0.239241757271212</v>
      </c>
      <c r="BV10" s="6">
        <v>0.12357311002114416</v>
      </c>
      <c r="BW10" s="6">
        <v>0.12118576299946614</v>
      </c>
      <c r="BX10" s="6">
        <v>2.8472234259896971E-2</v>
      </c>
      <c r="BY10" s="6">
        <v>6.4684152247479282E-2</v>
      </c>
      <c r="BZ10" s="6">
        <v>4.3574132862237359E-2</v>
      </c>
      <c r="CA10" s="6">
        <v>6.8814232217414895E-2</v>
      </c>
      <c r="CB10" s="6">
        <v>0.20672478632452421</v>
      </c>
      <c r="CC10" s="6">
        <v>0.65702841093216302</v>
      </c>
      <c r="CD10" s="6">
        <v>18.807879227904934</v>
      </c>
      <c r="CE10" s="6">
        <v>18.444524008867912</v>
      </c>
      <c r="CF10" s="6">
        <v>4.3334860085428906</v>
      </c>
      <c r="CG10" s="6">
        <v>9.8449551299780556</v>
      </c>
      <c r="CH10" s="6">
        <v>6.6320013164143532</v>
      </c>
      <c r="CI10" s="6">
        <v>10.473555035433595</v>
      </c>
      <c r="CJ10" s="6">
        <v>31.463599272858257</v>
      </c>
    </row>
    <row r="11" spans="1:88" x14ac:dyDescent="0.35">
      <c r="A11">
        <v>110</v>
      </c>
      <c r="B11" t="s">
        <v>87</v>
      </c>
      <c r="C11" t="s">
        <v>130</v>
      </c>
      <c r="D11" t="s">
        <v>21</v>
      </c>
      <c r="E11" t="s">
        <v>29</v>
      </c>
      <c r="F11">
        <v>5</v>
      </c>
      <c r="G11">
        <v>1</v>
      </c>
      <c r="H11" s="1">
        <v>10.26</v>
      </c>
      <c r="I11" s="1">
        <v>10.46</v>
      </c>
      <c r="J11">
        <v>20</v>
      </c>
      <c r="K11">
        <v>26</v>
      </c>
      <c r="L11" t="s">
        <v>31</v>
      </c>
      <c r="M11">
        <v>633</v>
      </c>
      <c r="N11">
        <f t="shared" si="0"/>
        <v>158.25</v>
      </c>
      <c r="O11" s="2" t="s">
        <v>49</v>
      </c>
      <c r="P11">
        <v>100.10712000000001</v>
      </c>
      <c r="Q11">
        <f t="shared" si="1"/>
        <v>460.06502500000005</v>
      </c>
      <c r="R11">
        <f t="shared" si="2"/>
        <v>1380.1950750000001</v>
      </c>
      <c r="S11">
        <v>659.16660000000013</v>
      </c>
      <c r="T11">
        <f t="shared" si="3"/>
        <v>3176.2707500000006</v>
      </c>
      <c r="U11">
        <f t="shared" si="4"/>
        <v>9528.8122500000009</v>
      </c>
      <c r="V11">
        <v>145.106244</v>
      </c>
      <c r="W11">
        <f t="shared" si="6"/>
        <v>683.09929874999989</v>
      </c>
      <c r="X11">
        <f t="shared" si="5"/>
        <v>2049.2978962499997</v>
      </c>
      <c r="Y11">
        <v>1132.7085974323124</v>
      </c>
      <c r="Z11">
        <f t="shared" si="7"/>
        <v>4689.0366792025497</v>
      </c>
      <c r="AA11">
        <f t="shared" si="8"/>
        <v>14067.11003760765</v>
      </c>
      <c r="AD11" t="s">
        <v>31</v>
      </c>
      <c r="AF11" t="s">
        <v>31</v>
      </c>
      <c r="AG11" t="s">
        <v>31</v>
      </c>
      <c r="AJ11" s="7">
        <v>8.51</v>
      </c>
      <c r="AK11" s="7" t="s">
        <v>209</v>
      </c>
      <c r="AL11" s="7" t="s">
        <v>209</v>
      </c>
      <c r="AM11" s="6">
        <v>14.505273478215095</v>
      </c>
      <c r="AN11" s="6">
        <v>432.04884767182438</v>
      </c>
      <c r="AO11" s="6">
        <v>220.40641334877185</v>
      </c>
      <c r="AP11" s="6">
        <v>8.2533956884207491</v>
      </c>
      <c r="AQ11" s="6">
        <v>1103.229605</v>
      </c>
      <c r="AR11" s="6">
        <v>25368.420890000001</v>
      </c>
      <c r="AS11" s="6">
        <v>0.36939500000000003</v>
      </c>
      <c r="AT11" s="6">
        <v>1.8330150000000001</v>
      </c>
      <c r="AU11" s="6">
        <v>35.351290000000006</v>
      </c>
      <c r="AV11" s="6">
        <v>8.2364899999999999</v>
      </c>
      <c r="AW11" s="6">
        <v>29.496880000000001</v>
      </c>
      <c r="AX11" s="6">
        <v>98.296404999999993</v>
      </c>
      <c r="AY11" s="6">
        <v>0.91332000000000002</v>
      </c>
      <c r="AZ11" s="6">
        <v>69.074079999999995</v>
      </c>
      <c r="BA11" s="6">
        <v>2.2749999999999999</v>
      </c>
      <c r="BB11" s="6">
        <v>2.7018981808576901</v>
      </c>
      <c r="BC11" s="6">
        <v>1.77028991286698</v>
      </c>
      <c r="BD11" s="6">
        <v>0.39386670843462201</v>
      </c>
      <c r="BE11" s="6">
        <v>9.9628864266824296E-2</v>
      </c>
      <c r="BF11" s="6">
        <v>2.4628758391371401E-2</v>
      </c>
      <c r="BG11" s="6">
        <v>1.7257045411888501E-2</v>
      </c>
      <c r="BH11" s="6">
        <v>1.42717121057145</v>
      </c>
      <c r="BI11" s="6">
        <v>0.84331198579049704</v>
      </c>
      <c r="BJ11" s="6">
        <v>1.34816608154423</v>
      </c>
      <c r="BK11" s="6">
        <v>1.71600253616976</v>
      </c>
      <c r="BL11" s="6">
        <v>0.63181183129149499</v>
      </c>
      <c r="BM11" s="6">
        <v>0.26431488710654799</v>
      </c>
      <c r="BN11" s="6">
        <v>0.20904272807349</v>
      </c>
      <c r="BO11" s="6">
        <v>0.13209725934608199</v>
      </c>
      <c r="BP11" s="6">
        <v>7.9682984710949506E-2</v>
      </c>
      <c r="BQ11" s="6">
        <v>4.0309370994742397E-2</v>
      </c>
      <c r="BR11" s="6">
        <v>0.18579684089158599</v>
      </c>
      <c r="BS11" s="6">
        <v>0.17934035527522099</v>
      </c>
      <c r="BT11" s="6" t="s">
        <v>31</v>
      </c>
      <c r="BU11" s="6">
        <v>0.239241757271212</v>
      </c>
      <c r="BV11" s="6">
        <v>0.12357311002114416</v>
      </c>
      <c r="BW11" s="6">
        <v>0.12118576299946614</v>
      </c>
      <c r="BX11" s="6">
        <v>2.8472234259896971E-2</v>
      </c>
      <c r="BY11" s="6">
        <v>6.4684152247479282E-2</v>
      </c>
      <c r="BZ11" s="6">
        <v>4.3574132862237359E-2</v>
      </c>
      <c r="CA11" s="6">
        <v>6.8814232217414895E-2</v>
      </c>
      <c r="CB11" s="6">
        <v>0.20672478632452421</v>
      </c>
      <c r="CC11" s="6">
        <v>0.65702841093216302</v>
      </c>
      <c r="CD11" s="6">
        <v>18.807879227904934</v>
      </c>
      <c r="CE11" s="6">
        <v>18.444524008867912</v>
      </c>
      <c r="CF11" s="6">
        <v>4.3334860085428906</v>
      </c>
      <c r="CG11" s="6">
        <v>9.8449551299780556</v>
      </c>
      <c r="CH11" s="6">
        <v>6.6320013164143532</v>
      </c>
      <c r="CI11" s="6">
        <v>10.473555035433595</v>
      </c>
      <c r="CJ11" s="6">
        <v>31.463599272858257</v>
      </c>
    </row>
    <row r="12" spans="1:88" x14ac:dyDescent="0.35">
      <c r="A12">
        <v>111</v>
      </c>
      <c r="B12" t="s">
        <v>87</v>
      </c>
      <c r="C12" t="s">
        <v>130</v>
      </c>
      <c r="D12" t="s">
        <v>23</v>
      </c>
      <c r="E12" t="s">
        <v>29</v>
      </c>
      <c r="F12">
        <v>4</v>
      </c>
      <c r="G12">
        <v>1</v>
      </c>
      <c r="H12" s="1">
        <v>10.28</v>
      </c>
      <c r="I12" s="1">
        <v>10.58</v>
      </c>
      <c r="J12">
        <v>30</v>
      </c>
      <c r="K12">
        <v>26</v>
      </c>
      <c r="L12" t="s">
        <v>31</v>
      </c>
      <c r="M12">
        <v>341</v>
      </c>
      <c r="N12">
        <f t="shared" si="0"/>
        <v>85.25</v>
      </c>
      <c r="O12" s="2" t="s">
        <v>49</v>
      </c>
      <c r="P12">
        <v>39.184370000000001</v>
      </c>
      <c r="Q12">
        <f t="shared" si="1"/>
        <v>124.36102</v>
      </c>
      <c r="R12">
        <f t="shared" si="2"/>
        <v>248.72204000000002</v>
      </c>
      <c r="S12">
        <v>563.31759999999997</v>
      </c>
      <c r="T12">
        <f t="shared" si="3"/>
        <v>2157.6205999999997</v>
      </c>
      <c r="U12">
        <f t="shared" si="4"/>
        <v>4315.2411999999995</v>
      </c>
      <c r="V12">
        <v>61.844980499999998</v>
      </c>
      <c r="W12">
        <f t="shared" si="6"/>
        <v>213.43438499999999</v>
      </c>
      <c r="X12">
        <f t="shared" si="5"/>
        <v>426.86876999999998</v>
      </c>
      <c r="Y12">
        <v>866.9042475898741</v>
      </c>
      <c r="Z12">
        <f t="shared" si="7"/>
        <v>2688.0119439922864</v>
      </c>
      <c r="AA12">
        <f t="shared" si="8"/>
        <v>5376.0238879845729</v>
      </c>
      <c r="AD12" t="s">
        <v>31</v>
      </c>
      <c r="AF12" t="s">
        <v>31</v>
      </c>
      <c r="AG12" t="s">
        <v>31</v>
      </c>
      <c r="AJ12" s="7">
        <v>8.51</v>
      </c>
      <c r="AK12" s="7" t="s">
        <v>209</v>
      </c>
      <c r="AL12" s="7" t="s">
        <v>209</v>
      </c>
      <c r="AM12" s="6">
        <v>14.505273478215095</v>
      </c>
      <c r="AN12" s="6">
        <v>432.04884767182438</v>
      </c>
      <c r="AO12" s="6">
        <v>220.40641334877185</v>
      </c>
      <c r="AP12" s="6">
        <v>8.2533956884207491</v>
      </c>
      <c r="AQ12" s="6">
        <v>1103.229605</v>
      </c>
      <c r="AR12" s="6">
        <v>25368.420890000001</v>
      </c>
      <c r="AS12" s="6">
        <v>0.36939500000000003</v>
      </c>
      <c r="AT12" s="6">
        <v>1.8330150000000001</v>
      </c>
      <c r="AU12" s="6">
        <v>35.351290000000006</v>
      </c>
      <c r="AV12" s="6">
        <v>8.2364899999999999</v>
      </c>
      <c r="AW12" s="6">
        <v>29.496880000000001</v>
      </c>
      <c r="AX12" s="6">
        <v>98.296404999999993</v>
      </c>
      <c r="AY12" s="6">
        <v>0.91332000000000002</v>
      </c>
      <c r="AZ12" s="6">
        <v>69.074079999999995</v>
      </c>
      <c r="BA12" s="6">
        <v>2.2749999999999999</v>
      </c>
      <c r="BB12" s="6">
        <v>2.7018981808576901</v>
      </c>
      <c r="BC12" s="6">
        <v>1.77028991286698</v>
      </c>
      <c r="BD12" s="6">
        <v>0.39386670843462201</v>
      </c>
      <c r="BE12" s="6">
        <v>9.9628864266824296E-2</v>
      </c>
      <c r="BF12" s="6">
        <v>2.4628758391371401E-2</v>
      </c>
      <c r="BG12" s="6">
        <v>1.7257045411888501E-2</v>
      </c>
      <c r="BH12" s="6">
        <v>1.42717121057145</v>
      </c>
      <c r="BI12" s="6">
        <v>0.84331198579049704</v>
      </c>
      <c r="BJ12" s="6">
        <v>1.34816608154423</v>
      </c>
      <c r="BK12" s="6">
        <v>1.71600253616976</v>
      </c>
      <c r="BL12" s="6">
        <v>0.63181183129149499</v>
      </c>
      <c r="BM12" s="6">
        <v>0.26431488710654799</v>
      </c>
      <c r="BN12" s="6">
        <v>0.20904272807349</v>
      </c>
      <c r="BO12" s="6">
        <v>0.13209725934608199</v>
      </c>
      <c r="BP12" s="6">
        <v>7.9682984710949506E-2</v>
      </c>
      <c r="BQ12" s="6">
        <v>4.0309370994742397E-2</v>
      </c>
      <c r="BR12" s="6">
        <v>0.18579684089158599</v>
      </c>
      <c r="BS12" s="6">
        <v>0.17934035527522099</v>
      </c>
      <c r="BT12" s="6" t="s">
        <v>31</v>
      </c>
      <c r="BU12" s="6">
        <v>0.239241757271212</v>
      </c>
      <c r="BV12" s="6">
        <v>0.12357311002114416</v>
      </c>
      <c r="BW12" s="6">
        <v>0.12118576299946614</v>
      </c>
      <c r="BX12" s="6">
        <v>2.8472234259896971E-2</v>
      </c>
      <c r="BY12" s="6">
        <v>6.4684152247479282E-2</v>
      </c>
      <c r="BZ12" s="6">
        <v>4.3574132862237359E-2</v>
      </c>
      <c r="CA12" s="6">
        <v>6.8814232217414895E-2</v>
      </c>
      <c r="CB12" s="6">
        <v>0.20672478632452421</v>
      </c>
      <c r="CC12" s="6">
        <v>0.65702841093216302</v>
      </c>
      <c r="CD12" s="6">
        <v>18.807879227904934</v>
      </c>
      <c r="CE12" s="6">
        <v>18.444524008867912</v>
      </c>
      <c r="CF12" s="6">
        <v>4.3334860085428906</v>
      </c>
      <c r="CG12" s="6">
        <v>9.8449551299780556</v>
      </c>
      <c r="CH12" s="6">
        <v>6.6320013164143532</v>
      </c>
      <c r="CI12" s="6">
        <v>10.473555035433595</v>
      </c>
      <c r="CJ12" s="6">
        <v>31.463599272858257</v>
      </c>
    </row>
    <row r="13" spans="1:88" x14ac:dyDescent="0.35">
      <c r="A13">
        <v>112</v>
      </c>
      <c r="B13" t="s">
        <v>87</v>
      </c>
      <c r="C13" t="s">
        <v>130</v>
      </c>
      <c r="D13" t="s">
        <v>23</v>
      </c>
      <c r="E13" t="s">
        <v>29</v>
      </c>
      <c r="F13">
        <v>5</v>
      </c>
      <c r="G13">
        <v>1</v>
      </c>
      <c r="H13" s="1">
        <v>10.3</v>
      </c>
      <c r="I13" s="1">
        <v>11</v>
      </c>
      <c r="J13">
        <v>30</v>
      </c>
      <c r="K13">
        <v>26</v>
      </c>
      <c r="L13" t="s">
        <v>31</v>
      </c>
      <c r="M13">
        <v>582</v>
      </c>
      <c r="N13">
        <f t="shared" si="0"/>
        <v>145.5</v>
      </c>
      <c r="O13" s="2" t="s">
        <v>49</v>
      </c>
      <c r="P13">
        <v>128.32811000000001</v>
      </c>
      <c r="Q13">
        <f t="shared" si="1"/>
        <v>601.16997500000002</v>
      </c>
      <c r="R13">
        <f t="shared" si="2"/>
        <v>1202.33995</v>
      </c>
      <c r="S13">
        <v>768.14560000000006</v>
      </c>
      <c r="T13">
        <f t="shared" si="3"/>
        <v>3721.1657500000001</v>
      </c>
      <c r="U13">
        <f t="shared" si="4"/>
        <v>7442.3315000000002</v>
      </c>
      <c r="V13">
        <v>195.51463799999999</v>
      </c>
      <c r="W13">
        <f t="shared" si="6"/>
        <v>935.14126874999988</v>
      </c>
      <c r="X13">
        <f t="shared" si="5"/>
        <v>1870.2825374999998</v>
      </c>
      <c r="Y13">
        <v>1245.4669139904934</v>
      </c>
      <c r="Z13">
        <f t="shared" si="7"/>
        <v>5252.8282619934544</v>
      </c>
      <c r="AA13">
        <f t="shared" si="8"/>
        <v>10505.656523986909</v>
      </c>
      <c r="AD13" t="s">
        <v>31</v>
      </c>
      <c r="AF13" t="s">
        <v>31</v>
      </c>
      <c r="AG13" t="s">
        <v>31</v>
      </c>
      <c r="AJ13" s="7">
        <v>8.51</v>
      </c>
      <c r="AK13" s="7" t="s">
        <v>209</v>
      </c>
      <c r="AL13" s="7" t="s">
        <v>209</v>
      </c>
      <c r="AM13" s="6">
        <v>14.505273478215095</v>
      </c>
      <c r="AN13" s="6">
        <v>432.04884767182438</v>
      </c>
      <c r="AO13" s="6">
        <v>220.40641334877185</v>
      </c>
      <c r="AP13" s="6">
        <v>8.2533956884207491</v>
      </c>
      <c r="AQ13" s="6">
        <v>1103.229605</v>
      </c>
      <c r="AR13" s="6">
        <v>25368.420890000001</v>
      </c>
      <c r="AS13" s="6">
        <v>0.36939500000000003</v>
      </c>
      <c r="AT13" s="6">
        <v>1.8330150000000001</v>
      </c>
      <c r="AU13" s="6">
        <v>35.351290000000006</v>
      </c>
      <c r="AV13" s="6">
        <v>8.2364899999999999</v>
      </c>
      <c r="AW13" s="6">
        <v>29.496880000000001</v>
      </c>
      <c r="AX13" s="6">
        <v>98.296404999999993</v>
      </c>
      <c r="AY13" s="6">
        <v>0.91332000000000002</v>
      </c>
      <c r="AZ13" s="6">
        <v>69.074079999999995</v>
      </c>
      <c r="BA13" s="6">
        <v>2.2749999999999999</v>
      </c>
      <c r="BB13" s="6">
        <v>2.7018981808576901</v>
      </c>
      <c r="BC13" s="6">
        <v>1.77028991286698</v>
      </c>
      <c r="BD13" s="6">
        <v>0.39386670843462201</v>
      </c>
      <c r="BE13" s="6">
        <v>9.9628864266824296E-2</v>
      </c>
      <c r="BF13" s="6">
        <v>2.4628758391371401E-2</v>
      </c>
      <c r="BG13" s="6">
        <v>1.7257045411888501E-2</v>
      </c>
      <c r="BH13" s="6">
        <v>1.42717121057145</v>
      </c>
      <c r="BI13" s="6">
        <v>0.84331198579049704</v>
      </c>
      <c r="BJ13" s="6">
        <v>1.34816608154423</v>
      </c>
      <c r="BK13" s="6">
        <v>1.71600253616976</v>
      </c>
      <c r="BL13" s="6">
        <v>0.63181183129149499</v>
      </c>
      <c r="BM13" s="6">
        <v>0.26431488710654799</v>
      </c>
      <c r="BN13" s="6">
        <v>0.20904272807349</v>
      </c>
      <c r="BO13" s="6">
        <v>0.13209725934608199</v>
      </c>
      <c r="BP13" s="6">
        <v>7.9682984710949506E-2</v>
      </c>
      <c r="BQ13" s="6">
        <v>4.0309370994742397E-2</v>
      </c>
      <c r="BR13" s="6">
        <v>0.18579684089158599</v>
      </c>
      <c r="BS13" s="6">
        <v>0.17934035527522099</v>
      </c>
      <c r="BT13" s="6" t="s">
        <v>31</v>
      </c>
      <c r="BU13" s="6">
        <v>0.239241757271212</v>
      </c>
      <c r="BV13" s="6">
        <v>0.12357311002114416</v>
      </c>
      <c r="BW13" s="6">
        <v>0.12118576299946614</v>
      </c>
      <c r="BX13" s="6">
        <v>2.8472234259896971E-2</v>
      </c>
      <c r="BY13" s="6">
        <v>6.4684152247479282E-2</v>
      </c>
      <c r="BZ13" s="6">
        <v>4.3574132862237359E-2</v>
      </c>
      <c r="CA13" s="6">
        <v>6.8814232217414895E-2</v>
      </c>
      <c r="CB13" s="6">
        <v>0.20672478632452421</v>
      </c>
      <c r="CC13" s="6">
        <v>0.65702841093216302</v>
      </c>
      <c r="CD13" s="6">
        <v>18.807879227904934</v>
      </c>
      <c r="CE13" s="6">
        <v>18.444524008867912</v>
      </c>
      <c r="CF13" s="6">
        <v>4.3334860085428906</v>
      </c>
      <c r="CG13" s="6">
        <v>9.8449551299780556</v>
      </c>
      <c r="CH13" s="6">
        <v>6.6320013164143532</v>
      </c>
      <c r="CI13" s="6">
        <v>10.473555035433595</v>
      </c>
      <c r="CJ13" s="6">
        <v>31.463599272858257</v>
      </c>
    </row>
    <row r="14" spans="1:88" x14ac:dyDescent="0.35">
      <c r="A14">
        <v>113</v>
      </c>
      <c r="B14" t="s">
        <v>87</v>
      </c>
      <c r="C14" t="s">
        <v>130</v>
      </c>
      <c r="D14" t="s">
        <v>23</v>
      </c>
      <c r="E14" t="s">
        <v>29</v>
      </c>
      <c r="F14">
        <v>5</v>
      </c>
      <c r="G14">
        <v>1</v>
      </c>
      <c r="H14" s="1">
        <v>10.33</v>
      </c>
      <c r="I14" s="1">
        <v>11.03</v>
      </c>
      <c r="J14">
        <v>30</v>
      </c>
      <c r="K14">
        <v>26</v>
      </c>
      <c r="L14" t="s">
        <v>31</v>
      </c>
      <c r="M14">
        <v>444</v>
      </c>
      <c r="N14">
        <f t="shared" si="0"/>
        <v>111</v>
      </c>
      <c r="O14" s="2" t="s">
        <v>58</v>
      </c>
      <c r="P14">
        <v>49.639499999999998</v>
      </c>
      <c r="Q14">
        <f t="shared" si="1"/>
        <v>207.72692499999999</v>
      </c>
      <c r="R14">
        <f t="shared" si="2"/>
        <v>415.45384999999999</v>
      </c>
      <c r="S14">
        <v>1116.0906000000002</v>
      </c>
      <c r="T14">
        <f t="shared" si="3"/>
        <v>5460.8907500000005</v>
      </c>
      <c r="U14">
        <f t="shared" si="4"/>
        <v>10921.781500000001</v>
      </c>
      <c r="V14">
        <v>77.94361499999998</v>
      </c>
      <c r="W14">
        <f t="shared" si="6"/>
        <v>347.28615374999993</v>
      </c>
      <c r="X14">
        <f t="shared" si="5"/>
        <v>694.57230749999985</v>
      </c>
      <c r="Y14">
        <v>1439.775660776937</v>
      </c>
      <c r="Z14">
        <f t="shared" si="7"/>
        <v>6224.3719959256723</v>
      </c>
      <c r="AA14">
        <f t="shared" si="8"/>
        <v>12448.743991851345</v>
      </c>
      <c r="AD14" t="s">
        <v>31</v>
      </c>
      <c r="AF14" t="s">
        <v>31</v>
      </c>
      <c r="AG14" t="s">
        <v>31</v>
      </c>
      <c r="AJ14" s="7">
        <v>8.51</v>
      </c>
      <c r="AK14" s="7" t="s">
        <v>209</v>
      </c>
      <c r="AL14" s="7" t="s">
        <v>209</v>
      </c>
      <c r="AM14" s="6">
        <v>14.505273478215095</v>
      </c>
      <c r="AN14" s="6">
        <v>432.04884767182438</v>
      </c>
      <c r="AO14" s="6">
        <v>220.40641334877185</v>
      </c>
      <c r="AP14" s="6">
        <v>8.2533956884207491</v>
      </c>
      <c r="AQ14" s="6">
        <v>1103.229605</v>
      </c>
      <c r="AR14" s="6">
        <v>25368.420890000001</v>
      </c>
      <c r="AS14" s="6">
        <v>0.36939500000000003</v>
      </c>
      <c r="AT14" s="6">
        <v>1.8330150000000001</v>
      </c>
      <c r="AU14" s="6">
        <v>35.351290000000006</v>
      </c>
      <c r="AV14" s="6">
        <v>8.2364899999999999</v>
      </c>
      <c r="AW14" s="6">
        <v>29.496880000000001</v>
      </c>
      <c r="AX14" s="6">
        <v>98.296404999999993</v>
      </c>
      <c r="AY14" s="6">
        <v>0.91332000000000002</v>
      </c>
      <c r="AZ14" s="6">
        <v>69.074079999999995</v>
      </c>
      <c r="BA14" s="6">
        <v>2.2749999999999999</v>
      </c>
      <c r="BB14" s="6">
        <v>2.7018981808576901</v>
      </c>
      <c r="BC14" s="6">
        <v>1.77028991286698</v>
      </c>
      <c r="BD14" s="6">
        <v>0.39386670843462201</v>
      </c>
      <c r="BE14" s="6">
        <v>9.9628864266824296E-2</v>
      </c>
      <c r="BF14" s="6">
        <v>2.4628758391371401E-2</v>
      </c>
      <c r="BG14" s="6">
        <v>1.7257045411888501E-2</v>
      </c>
      <c r="BH14" s="6">
        <v>1.42717121057145</v>
      </c>
      <c r="BI14" s="6">
        <v>0.84331198579049704</v>
      </c>
      <c r="BJ14" s="6">
        <v>1.34816608154423</v>
      </c>
      <c r="BK14" s="6">
        <v>1.71600253616976</v>
      </c>
      <c r="BL14" s="6">
        <v>0.63181183129149499</v>
      </c>
      <c r="BM14" s="6">
        <v>0.26431488710654799</v>
      </c>
      <c r="BN14" s="6">
        <v>0.20904272807349</v>
      </c>
      <c r="BO14" s="6">
        <v>0.13209725934608199</v>
      </c>
      <c r="BP14" s="6">
        <v>7.9682984710949506E-2</v>
      </c>
      <c r="BQ14" s="6">
        <v>4.0309370994742397E-2</v>
      </c>
      <c r="BR14" s="6">
        <v>0.18579684089158599</v>
      </c>
      <c r="BS14" s="6">
        <v>0.17934035527522099</v>
      </c>
      <c r="BT14" s="6" t="s">
        <v>31</v>
      </c>
      <c r="BU14" s="6">
        <v>0.239241757271212</v>
      </c>
      <c r="BV14" s="6">
        <v>0.12357311002114416</v>
      </c>
      <c r="BW14" s="6">
        <v>0.12118576299946614</v>
      </c>
      <c r="BX14" s="6">
        <v>2.8472234259896971E-2</v>
      </c>
      <c r="BY14" s="6">
        <v>6.4684152247479282E-2</v>
      </c>
      <c r="BZ14" s="6">
        <v>4.3574132862237359E-2</v>
      </c>
      <c r="CA14" s="6">
        <v>6.8814232217414895E-2</v>
      </c>
      <c r="CB14" s="6">
        <v>0.20672478632452421</v>
      </c>
      <c r="CC14" s="6">
        <v>0.65702841093216302</v>
      </c>
      <c r="CD14" s="6">
        <v>18.807879227904934</v>
      </c>
      <c r="CE14" s="6">
        <v>18.444524008867912</v>
      </c>
      <c r="CF14" s="6">
        <v>4.3334860085428906</v>
      </c>
      <c r="CG14" s="6">
        <v>9.8449551299780556</v>
      </c>
      <c r="CH14" s="6">
        <v>6.6320013164143532</v>
      </c>
      <c r="CI14" s="6">
        <v>10.473555035433595</v>
      </c>
      <c r="CJ14" s="6">
        <v>31.463599272858257</v>
      </c>
    </row>
    <row r="15" spans="1:88" x14ac:dyDescent="0.35">
      <c r="A15">
        <v>114</v>
      </c>
      <c r="B15" t="s">
        <v>87</v>
      </c>
      <c r="C15" t="s">
        <v>130</v>
      </c>
      <c r="D15" t="s">
        <v>23</v>
      </c>
      <c r="E15" t="s">
        <v>29</v>
      </c>
      <c r="F15">
        <v>5</v>
      </c>
      <c r="G15">
        <v>1</v>
      </c>
      <c r="H15" s="1">
        <v>10.36</v>
      </c>
      <c r="I15" s="1">
        <v>11.06</v>
      </c>
      <c r="J15">
        <v>30</v>
      </c>
      <c r="K15">
        <v>26</v>
      </c>
      <c r="L15" t="s">
        <v>31</v>
      </c>
      <c r="M15">
        <v>483</v>
      </c>
      <c r="N15">
        <f t="shared" si="0"/>
        <v>120.75</v>
      </c>
      <c r="O15" s="2" t="s">
        <v>49</v>
      </c>
      <c r="P15">
        <v>40.442129999999999</v>
      </c>
      <c r="Q15">
        <f t="shared" si="1"/>
        <v>161.74007499999999</v>
      </c>
      <c r="R15">
        <f t="shared" si="2"/>
        <v>323.48014999999998</v>
      </c>
      <c r="S15">
        <v>283.1234</v>
      </c>
      <c r="T15">
        <f t="shared" si="3"/>
        <v>1296.0547500000002</v>
      </c>
      <c r="U15">
        <f t="shared" si="4"/>
        <v>2592.1095000000005</v>
      </c>
      <c r="V15">
        <v>115.31284350000001</v>
      </c>
      <c r="W15">
        <f t="shared" si="6"/>
        <v>534.13229625000008</v>
      </c>
      <c r="X15">
        <f t="shared" si="5"/>
        <v>1068.2645925000002</v>
      </c>
      <c r="Y15">
        <v>639.64628307047451</v>
      </c>
      <c r="Z15">
        <f t="shared" si="7"/>
        <v>2223.7251073933598</v>
      </c>
      <c r="AA15">
        <f t="shared" si="8"/>
        <v>4447.4502147867197</v>
      </c>
      <c r="AD15" t="s">
        <v>31</v>
      </c>
      <c r="AF15" t="s">
        <v>31</v>
      </c>
      <c r="AG15" t="s">
        <v>31</v>
      </c>
      <c r="AJ15" s="7">
        <v>8.51</v>
      </c>
      <c r="AK15" s="7" t="s">
        <v>209</v>
      </c>
      <c r="AL15" s="7" t="s">
        <v>209</v>
      </c>
      <c r="AM15" s="6">
        <v>14.505273478215095</v>
      </c>
      <c r="AN15" s="6">
        <v>432.04884767182438</v>
      </c>
      <c r="AO15" s="6">
        <v>220.40641334877185</v>
      </c>
      <c r="AP15" s="6">
        <v>8.2533956884207491</v>
      </c>
      <c r="AQ15" s="6">
        <v>1103.229605</v>
      </c>
      <c r="AR15" s="6">
        <v>25368.420890000001</v>
      </c>
      <c r="AS15" s="6">
        <v>0.36939500000000003</v>
      </c>
      <c r="AT15" s="6">
        <v>1.8330150000000001</v>
      </c>
      <c r="AU15" s="6">
        <v>35.351290000000006</v>
      </c>
      <c r="AV15" s="6">
        <v>8.2364899999999999</v>
      </c>
      <c r="AW15" s="6">
        <v>29.496880000000001</v>
      </c>
      <c r="AX15" s="6">
        <v>98.296404999999993</v>
      </c>
      <c r="AY15" s="6">
        <v>0.91332000000000002</v>
      </c>
      <c r="AZ15" s="6">
        <v>69.074079999999995</v>
      </c>
      <c r="BA15" s="6">
        <v>2.2749999999999999</v>
      </c>
      <c r="BB15" s="6">
        <v>2.7018981808576901</v>
      </c>
      <c r="BC15" s="6">
        <v>1.77028991286698</v>
      </c>
      <c r="BD15" s="6">
        <v>0.39386670843462201</v>
      </c>
      <c r="BE15" s="6">
        <v>9.9628864266824296E-2</v>
      </c>
      <c r="BF15" s="6">
        <v>2.4628758391371401E-2</v>
      </c>
      <c r="BG15" s="6">
        <v>1.7257045411888501E-2</v>
      </c>
      <c r="BH15" s="6">
        <v>1.42717121057145</v>
      </c>
      <c r="BI15" s="6">
        <v>0.84331198579049704</v>
      </c>
      <c r="BJ15" s="6">
        <v>1.34816608154423</v>
      </c>
      <c r="BK15" s="6">
        <v>1.71600253616976</v>
      </c>
      <c r="BL15" s="6">
        <v>0.63181183129149499</v>
      </c>
      <c r="BM15" s="6">
        <v>0.26431488710654799</v>
      </c>
      <c r="BN15" s="6">
        <v>0.20904272807349</v>
      </c>
      <c r="BO15" s="6">
        <v>0.13209725934608199</v>
      </c>
      <c r="BP15" s="6">
        <v>7.9682984710949506E-2</v>
      </c>
      <c r="BQ15" s="6">
        <v>4.0309370994742397E-2</v>
      </c>
      <c r="BR15" s="6">
        <v>0.18579684089158599</v>
      </c>
      <c r="BS15" s="6">
        <v>0.17934035527522099</v>
      </c>
      <c r="BT15" s="6" t="s">
        <v>31</v>
      </c>
      <c r="BU15" s="6">
        <v>0.239241757271212</v>
      </c>
      <c r="BV15" s="6">
        <v>0.12357311002114416</v>
      </c>
      <c r="BW15" s="6">
        <v>0.12118576299946614</v>
      </c>
      <c r="BX15" s="6">
        <v>2.8472234259896971E-2</v>
      </c>
      <c r="BY15" s="6">
        <v>6.4684152247479282E-2</v>
      </c>
      <c r="BZ15" s="6">
        <v>4.3574132862237359E-2</v>
      </c>
      <c r="CA15" s="6">
        <v>6.8814232217414895E-2</v>
      </c>
      <c r="CB15" s="6">
        <v>0.20672478632452421</v>
      </c>
      <c r="CC15" s="6">
        <v>0.65702841093216302</v>
      </c>
      <c r="CD15" s="6">
        <v>18.807879227904934</v>
      </c>
      <c r="CE15" s="6">
        <v>18.444524008867912</v>
      </c>
      <c r="CF15" s="6">
        <v>4.3334860085428906</v>
      </c>
      <c r="CG15" s="6">
        <v>9.8449551299780556</v>
      </c>
      <c r="CH15" s="6">
        <v>6.6320013164143532</v>
      </c>
      <c r="CI15" s="6">
        <v>10.473555035433595</v>
      </c>
      <c r="CJ15" s="6">
        <v>31.463599272858257</v>
      </c>
    </row>
    <row r="16" spans="1:88" x14ac:dyDescent="0.35">
      <c r="A16">
        <v>115</v>
      </c>
      <c r="B16" t="s">
        <v>87</v>
      </c>
      <c r="C16" t="s">
        <v>130</v>
      </c>
      <c r="D16" t="s">
        <v>23</v>
      </c>
      <c r="E16" t="s">
        <v>29</v>
      </c>
      <c r="F16">
        <v>5</v>
      </c>
      <c r="G16">
        <v>1</v>
      </c>
      <c r="H16" s="1">
        <v>10.38</v>
      </c>
      <c r="I16" s="1">
        <v>11.08</v>
      </c>
      <c r="J16">
        <v>30</v>
      </c>
      <c r="K16">
        <v>26</v>
      </c>
      <c r="L16" t="s">
        <v>31</v>
      </c>
      <c r="M16">
        <v>504</v>
      </c>
      <c r="N16">
        <f t="shared" si="0"/>
        <v>126</v>
      </c>
      <c r="O16" s="2" t="s">
        <v>49</v>
      </c>
      <c r="P16">
        <v>19.68909</v>
      </c>
      <c r="Q16">
        <f t="shared" si="1"/>
        <v>57.974874999999997</v>
      </c>
      <c r="R16">
        <f t="shared" si="2"/>
        <v>115.94974999999999</v>
      </c>
      <c r="S16">
        <v>1175.9634000000001</v>
      </c>
      <c r="T16">
        <f t="shared" si="3"/>
        <v>5760.2547500000001</v>
      </c>
      <c r="U16">
        <f t="shared" si="4"/>
        <v>11520.5095</v>
      </c>
      <c r="V16">
        <v>62.354892000000007</v>
      </c>
      <c r="W16">
        <f t="shared" si="6"/>
        <v>269.34253875000002</v>
      </c>
      <c r="X16">
        <f t="shared" si="5"/>
        <v>538.68507750000003</v>
      </c>
      <c r="Y16">
        <v>1195.3932058718042</v>
      </c>
      <c r="Z16">
        <f t="shared" si="7"/>
        <v>5002.4597214000087</v>
      </c>
      <c r="AA16">
        <f t="shared" si="8"/>
        <v>10004.919442800017</v>
      </c>
      <c r="AD16" t="s">
        <v>31</v>
      </c>
      <c r="AF16" t="s">
        <v>31</v>
      </c>
      <c r="AG16" t="s">
        <v>31</v>
      </c>
      <c r="AJ16" s="7">
        <v>8.51</v>
      </c>
      <c r="AK16" s="7" t="s">
        <v>209</v>
      </c>
      <c r="AL16" s="7" t="s">
        <v>209</v>
      </c>
      <c r="AM16" s="6">
        <v>14.505273478215095</v>
      </c>
      <c r="AN16" s="6">
        <v>432.04884767182438</v>
      </c>
      <c r="AO16" s="6">
        <v>220.40641334877185</v>
      </c>
      <c r="AP16" s="6">
        <v>8.2533956884207491</v>
      </c>
      <c r="AQ16" s="6">
        <v>1103.229605</v>
      </c>
      <c r="AR16" s="6">
        <v>25368.420890000001</v>
      </c>
      <c r="AS16" s="6">
        <v>0.36939500000000003</v>
      </c>
      <c r="AT16" s="6">
        <v>1.8330150000000001</v>
      </c>
      <c r="AU16" s="6">
        <v>35.351290000000006</v>
      </c>
      <c r="AV16" s="6">
        <v>8.2364899999999999</v>
      </c>
      <c r="AW16" s="6">
        <v>29.496880000000001</v>
      </c>
      <c r="AX16" s="6">
        <v>98.296404999999993</v>
      </c>
      <c r="AY16" s="6">
        <v>0.91332000000000002</v>
      </c>
      <c r="AZ16" s="6">
        <v>69.074079999999995</v>
      </c>
      <c r="BA16" s="6">
        <v>2.2749999999999999</v>
      </c>
      <c r="BB16" s="6">
        <v>2.7018981808576901</v>
      </c>
      <c r="BC16" s="6">
        <v>1.77028991286698</v>
      </c>
      <c r="BD16" s="6">
        <v>0.39386670843462201</v>
      </c>
      <c r="BE16" s="6">
        <v>9.9628864266824296E-2</v>
      </c>
      <c r="BF16" s="6">
        <v>2.4628758391371401E-2</v>
      </c>
      <c r="BG16" s="6">
        <v>1.7257045411888501E-2</v>
      </c>
      <c r="BH16" s="6">
        <v>1.42717121057145</v>
      </c>
      <c r="BI16" s="6">
        <v>0.84331198579049704</v>
      </c>
      <c r="BJ16" s="6">
        <v>1.34816608154423</v>
      </c>
      <c r="BK16" s="6">
        <v>1.71600253616976</v>
      </c>
      <c r="BL16" s="6">
        <v>0.63181183129149499</v>
      </c>
      <c r="BM16" s="6">
        <v>0.26431488710654799</v>
      </c>
      <c r="BN16" s="6">
        <v>0.20904272807349</v>
      </c>
      <c r="BO16" s="6">
        <v>0.13209725934608199</v>
      </c>
      <c r="BP16" s="6">
        <v>7.9682984710949506E-2</v>
      </c>
      <c r="BQ16" s="6">
        <v>4.0309370994742397E-2</v>
      </c>
      <c r="BR16" s="6">
        <v>0.18579684089158599</v>
      </c>
      <c r="BS16" s="6">
        <v>0.17934035527522099</v>
      </c>
      <c r="BT16" s="6" t="s">
        <v>31</v>
      </c>
      <c r="BU16" s="6">
        <v>0.239241757271212</v>
      </c>
      <c r="BV16" s="6">
        <v>0.12357311002114416</v>
      </c>
      <c r="BW16" s="6">
        <v>0.12118576299946614</v>
      </c>
      <c r="BX16" s="6">
        <v>2.8472234259896971E-2</v>
      </c>
      <c r="BY16" s="6">
        <v>6.4684152247479282E-2</v>
      </c>
      <c r="BZ16" s="6">
        <v>4.3574132862237359E-2</v>
      </c>
      <c r="CA16" s="6">
        <v>6.8814232217414895E-2</v>
      </c>
      <c r="CB16" s="6">
        <v>0.20672478632452421</v>
      </c>
      <c r="CC16" s="6">
        <v>0.65702841093216302</v>
      </c>
      <c r="CD16" s="6">
        <v>18.807879227904934</v>
      </c>
      <c r="CE16" s="6">
        <v>18.444524008867912</v>
      </c>
      <c r="CF16" s="6">
        <v>4.3334860085428906</v>
      </c>
      <c r="CG16" s="6">
        <v>9.8449551299780556</v>
      </c>
      <c r="CH16" s="6">
        <v>6.6320013164143532</v>
      </c>
      <c r="CI16" s="6">
        <v>10.473555035433595</v>
      </c>
      <c r="CJ16" s="6">
        <v>31.463599272858257</v>
      </c>
    </row>
    <row r="17" spans="1:88" x14ac:dyDescent="0.35">
      <c r="A17">
        <v>116</v>
      </c>
      <c r="B17" t="s">
        <v>87</v>
      </c>
      <c r="C17" t="s">
        <v>130</v>
      </c>
      <c r="D17" t="s">
        <v>22</v>
      </c>
      <c r="E17" t="s">
        <v>29</v>
      </c>
      <c r="F17">
        <v>5</v>
      </c>
      <c r="G17">
        <v>1</v>
      </c>
      <c r="H17" s="1">
        <v>11.19</v>
      </c>
      <c r="I17" s="1">
        <v>11.49</v>
      </c>
      <c r="J17">
        <v>30</v>
      </c>
      <c r="K17">
        <v>26</v>
      </c>
      <c r="L17" t="s">
        <v>31</v>
      </c>
      <c r="M17">
        <v>557</v>
      </c>
      <c r="N17">
        <f t="shared" si="0"/>
        <v>139.25</v>
      </c>
      <c r="O17" s="2" t="s">
        <v>49</v>
      </c>
      <c r="P17">
        <v>197.81934999999999</v>
      </c>
      <c r="Q17">
        <f t="shared" si="1"/>
        <v>948.62617499999999</v>
      </c>
      <c r="R17">
        <f t="shared" si="2"/>
        <v>1897.25235</v>
      </c>
      <c r="S17">
        <v>833.53300000000013</v>
      </c>
      <c r="T17">
        <f t="shared" si="3"/>
        <v>4048.1027500000005</v>
      </c>
      <c r="U17">
        <f t="shared" si="4"/>
        <v>8096.2055000000018</v>
      </c>
      <c r="V17">
        <v>266.46518099999997</v>
      </c>
      <c r="W17">
        <f t="shared" si="6"/>
        <v>1289.8939837499997</v>
      </c>
      <c r="X17">
        <f t="shared" si="5"/>
        <v>2579.7879674999995</v>
      </c>
      <c r="Y17">
        <v>1768.9256673977297</v>
      </c>
      <c r="Z17">
        <f t="shared" si="7"/>
        <v>7870.122029029636</v>
      </c>
      <c r="AA17">
        <f t="shared" si="8"/>
        <v>15740.244058059274</v>
      </c>
      <c r="AD17" t="s">
        <v>31</v>
      </c>
      <c r="AF17" t="s">
        <v>31</v>
      </c>
      <c r="AG17" t="s">
        <v>31</v>
      </c>
      <c r="AJ17" s="7">
        <v>8.51</v>
      </c>
      <c r="AK17" s="7" t="s">
        <v>209</v>
      </c>
      <c r="AL17" s="7" t="s">
        <v>209</v>
      </c>
      <c r="AM17" s="6">
        <v>14.505273478215095</v>
      </c>
      <c r="AN17" s="6">
        <v>432.04884767182438</v>
      </c>
      <c r="AO17" s="6">
        <v>220.40641334877185</v>
      </c>
      <c r="AP17" s="6">
        <v>8.2533956884207491</v>
      </c>
      <c r="AQ17" s="6">
        <v>1103.229605</v>
      </c>
      <c r="AR17" s="6">
        <v>25368.420890000001</v>
      </c>
      <c r="AS17" s="6">
        <v>0.36939500000000003</v>
      </c>
      <c r="AT17" s="6">
        <v>1.8330150000000001</v>
      </c>
      <c r="AU17" s="6">
        <v>35.351290000000006</v>
      </c>
      <c r="AV17" s="6">
        <v>8.2364899999999999</v>
      </c>
      <c r="AW17" s="6">
        <v>29.496880000000001</v>
      </c>
      <c r="AX17" s="6">
        <v>98.296404999999993</v>
      </c>
      <c r="AY17" s="6">
        <v>0.91332000000000002</v>
      </c>
      <c r="AZ17" s="6">
        <v>69.074079999999995</v>
      </c>
      <c r="BA17" s="6">
        <v>2.2749999999999999</v>
      </c>
      <c r="BB17" s="6">
        <v>2.7018981808576901</v>
      </c>
      <c r="BC17" s="6">
        <v>1.77028991286698</v>
      </c>
      <c r="BD17" s="6">
        <v>0.39386670843462201</v>
      </c>
      <c r="BE17" s="6">
        <v>9.9628864266824296E-2</v>
      </c>
      <c r="BF17" s="6">
        <v>2.4628758391371401E-2</v>
      </c>
      <c r="BG17" s="6">
        <v>1.7257045411888501E-2</v>
      </c>
      <c r="BH17" s="6">
        <v>1.42717121057145</v>
      </c>
      <c r="BI17" s="6">
        <v>0.84331198579049704</v>
      </c>
      <c r="BJ17" s="6">
        <v>1.34816608154423</v>
      </c>
      <c r="BK17" s="6">
        <v>1.71600253616976</v>
      </c>
      <c r="BL17" s="6">
        <v>0.63181183129149499</v>
      </c>
      <c r="BM17" s="6">
        <v>0.26431488710654799</v>
      </c>
      <c r="BN17" s="6">
        <v>0.20904272807349</v>
      </c>
      <c r="BO17" s="6">
        <v>0.13209725934608199</v>
      </c>
      <c r="BP17" s="6">
        <v>7.9682984710949506E-2</v>
      </c>
      <c r="BQ17" s="6">
        <v>4.0309370994742397E-2</v>
      </c>
      <c r="BR17" s="6">
        <v>0.18579684089158599</v>
      </c>
      <c r="BS17" s="6">
        <v>0.17934035527522099</v>
      </c>
      <c r="BT17" s="6" t="s">
        <v>31</v>
      </c>
      <c r="BU17" s="6">
        <v>0.239241757271212</v>
      </c>
      <c r="BV17" s="6">
        <v>0.12357311002114416</v>
      </c>
      <c r="BW17" s="6">
        <v>0.12118576299946614</v>
      </c>
      <c r="BX17" s="6">
        <v>2.8472234259896971E-2</v>
      </c>
      <c r="BY17" s="6">
        <v>6.4684152247479282E-2</v>
      </c>
      <c r="BZ17" s="6">
        <v>4.3574132862237359E-2</v>
      </c>
      <c r="CA17" s="6">
        <v>6.8814232217414895E-2</v>
      </c>
      <c r="CB17" s="6">
        <v>0.20672478632452421</v>
      </c>
      <c r="CC17" s="6">
        <v>0.65702841093216302</v>
      </c>
      <c r="CD17" s="6">
        <v>18.807879227904934</v>
      </c>
      <c r="CE17" s="6">
        <v>18.444524008867912</v>
      </c>
      <c r="CF17" s="6">
        <v>4.3334860085428906</v>
      </c>
      <c r="CG17" s="6">
        <v>9.8449551299780556</v>
      </c>
      <c r="CH17" s="6">
        <v>6.6320013164143532</v>
      </c>
      <c r="CI17" s="6">
        <v>10.473555035433595</v>
      </c>
      <c r="CJ17" s="6">
        <v>31.463599272858257</v>
      </c>
    </row>
    <row r="18" spans="1:88" x14ac:dyDescent="0.35">
      <c r="A18">
        <v>117</v>
      </c>
      <c r="B18" t="s">
        <v>87</v>
      </c>
      <c r="C18" t="s">
        <v>130</v>
      </c>
      <c r="D18" t="s">
        <v>22</v>
      </c>
      <c r="E18" t="s">
        <v>29</v>
      </c>
      <c r="F18">
        <v>5</v>
      </c>
      <c r="G18">
        <v>1</v>
      </c>
      <c r="H18" s="1">
        <v>11.21</v>
      </c>
      <c r="I18" s="1">
        <v>11.51</v>
      </c>
      <c r="J18">
        <v>30</v>
      </c>
      <c r="K18">
        <v>26</v>
      </c>
      <c r="L18" t="s">
        <v>31</v>
      </c>
      <c r="M18">
        <v>392</v>
      </c>
      <c r="N18">
        <f t="shared" si="0"/>
        <v>98</v>
      </c>
      <c r="O18" s="2" t="s">
        <v>49</v>
      </c>
      <c r="P18">
        <v>58.286600000000007</v>
      </c>
      <c r="Q18">
        <f t="shared" si="1"/>
        <v>250.96242500000002</v>
      </c>
      <c r="R18">
        <f t="shared" si="2"/>
        <v>501.92485000000005</v>
      </c>
      <c r="S18">
        <v>729.80600000000004</v>
      </c>
      <c r="T18">
        <f t="shared" si="3"/>
        <v>3529.4677499999998</v>
      </c>
      <c r="U18">
        <f t="shared" si="4"/>
        <v>7058.9354999999996</v>
      </c>
      <c r="V18">
        <v>100.52541000000001</v>
      </c>
      <c r="W18">
        <f t="shared" si="6"/>
        <v>460.19512875000004</v>
      </c>
      <c r="X18">
        <f t="shared" si="5"/>
        <v>920.39025750000008</v>
      </c>
      <c r="Y18">
        <v>1015.5859033784744</v>
      </c>
      <c r="Z18">
        <f t="shared" si="7"/>
        <v>4103.4232089333591</v>
      </c>
      <c r="AA18">
        <f t="shared" si="8"/>
        <v>8206.8464178667182</v>
      </c>
      <c r="AD18" t="s">
        <v>31</v>
      </c>
      <c r="AF18" t="s">
        <v>31</v>
      </c>
      <c r="AG18" t="s">
        <v>31</v>
      </c>
      <c r="AJ18" s="7">
        <v>8.51</v>
      </c>
      <c r="AK18" s="7" t="s">
        <v>209</v>
      </c>
      <c r="AL18" s="7" t="s">
        <v>209</v>
      </c>
      <c r="AM18" s="6">
        <v>14.505273478215095</v>
      </c>
      <c r="AN18" s="6">
        <v>432.04884767182438</v>
      </c>
      <c r="AO18" s="6">
        <v>220.40641334877185</v>
      </c>
      <c r="AP18" s="6">
        <v>8.2533956884207491</v>
      </c>
      <c r="AQ18" s="6">
        <v>1103.229605</v>
      </c>
      <c r="AR18" s="6">
        <v>25368.420890000001</v>
      </c>
      <c r="AS18" s="6">
        <v>0.36939500000000003</v>
      </c>
      <c r="AT18" s="6">
        <v>1.8330150000000001</v>
      </c>
      <c r="AU18" s="6">
        <v>35.351290000000006</v>
      </c>
      <c r="AV18" s="6">
        <v>8.2364899999999999</v>
      </c>
      <c r="AW18" s="6">
        <v>29.496880000000001</v>
      </c>
      <c r="AX18" s="6">
        <v>98.296404999999993</v>
      </c>
      <c r="AY18" s="6">
        <v>0.91332000000000002</v>
      </c>
      <c r="AZ18" s="6">
        <v>69.074079999999995</v>
      </c>
      <c r="BA18" s="6">
        <v>2.2749999999999999</v>
      </c>
      <c r="BB18" s="6">
        <v>2.7018981808576901</v>
      </c>
      <c r="BC18" s="6">
        <v>1.77028991286698</v>
      </c>
      <c r="BD18" s="6">
        <v>0.39386670843462201</v>
      </c>
      <c r="BE18" s="6">
        <v>9.9628864266824296E-2</v>
      </c>
      <c r="BF18" s="6">
        <v>2.4628758391371401E-2</v>
      </c>
      <c r="BG18" s="6">
        <v>1.7257045411888501E-2</v>
      </c>
      <c r="BH18" s="6">
        <v>1.42717121057145</v>
      </c>
      <c r="BI18" s="6">
        <v>0.84331198579049704</v>
      </c>
      <c r="BJ18" s="6">
        <v>1.34816608154423</v>
      </c>
      <c r="BK18" s="6">
        <v>1.71600253616976</v>
      </c>
      <c r="BL18" s="6">
        <v>0.63181183129149499</v>
      </c>
      <c r="BM18" s="6">
        <v>0.26431488710654799</v>
      </c>
      <c r="BN18" s="6">
        <v>0.20904272807349</v>
      </c>
      <c r="BO18" s="6">
        <v>0.13209725934608199</v>
      </c>
      <c r="BP18" s="6">
        <v>7.9682984710949506E-2</v>
      </c>
      <c r="BQ18" s="6">
        <v>4.0309370994742397E-2</v>
      </c>
      <c r="BR18" s="6">
        <v>0.18579684089158599</v>
      </c>
      <c r="BS18" s="6">
        <v>0.17934035527522099</v>
      </c>
      <c r="BT18" s="6" t="s">
        <v>31</v>
      </c>
      <c r="BU18" s="6">
        <v>0.239241757271212</v>
      </c>
      <c r="BV18" s="6">
        <v>0.12357311002114416</v>
      </c>
      <c r="BW18" s="6">
        <v>0.12118576299946614</v>
      </c>
      <c r="BX18" s="6">
        <v>2.8472234259896971E-2</v>
      </c>
      <c r="BY18" s="6">
        <v>6.4684152247479282E-2</v>
      </c>
      <c r="BZ18" s="6">
        <v>4.3574132862237359E-2</v>
      </c>
      <c r="CA18" s="6">
        <v>6.8814232217414895E-2</v>
      </c>
      <c r="CB18" s="6">
        <v>0.20672478632452421</v>
      </c>
      <c r="CC18" s="6">
        <v>0.65702841093216302</v>
      </c>
      <c r="CD18" s="6">
        <v>18.807879227904934</v>
      </c>
      <c r="CE18" s="6">
        <v>18.444524008867912</v>
      </c>
      <c r="CF18" s="6">
        <v>4.3334860085428906</v>
      </c>
      <c r="CG18" s="6">
        <v>9.8449551299780556</v>
      </c>
      <c r="CH18" s="6">
        <v>6.6320013164143532</v>
      </c>
      <c r="CI18" s="6">
        <v>10.473555035433595</v>
      </c>
      <c r="CJ18" s="6">
        <v>31.463599272858257</v>
      </c>
    </row>
    <row r="19" spans="1:88" x14ac:dyDescent="0.35">
      <c r="A19">
        <v>118</v>
      </c>
      <c r="B19" t="s">
        <v>87</v>
      </c>
      <c r="C19" t="s">
        <v>130</v>
      </c>
      <c r="D19" t="s">
        <v>23</v>
      </c>
      <c r="E19" t="s">
        <v>29</v>
      </c>
      <c r="F19">
        <v>5</v>
      </c>
      <c r="G19">
        <v>1</v>
      </c>
      <c r="H19" s="1">
        <v>11.24</v>
      </c>
      <c r="I19" s="1">
        <v>11.54</v>
      </c>
      <c r="J19">
        <v>30</v>
      </c>
      <c r="K19">
        <v>26</v>
      </c>
      <c r="L19" t="s">
        <v>31</v>
      </c>
      <c r="M19">
        <v>673</v>
      </c>
      <c r="N19">
        <f t="shared" si="0"/>
        <v>168.25</v>
      </c>
      <c r="O19" s="2" t="s">
        <v>59</v>
      </c>
      <c r="P19">
        <v>53.96305000000001</v>
      </c>
      <c r="Q19">
        <f t="shared" si="1"/>
        <v>229.34467500000005</v>
      </c>
      <c r="R19">
        <f t="shared" si="2"/>
        <v>458.6893500000001</v>
      </c>
      <c r="S19">
        <v>405.495</v>
      </c>
      <c r="T19">
        <f t="shared" si="3"/>
        <v>1907.9127500000002</v>
      </c>
      <c r="U19">
        <f t="shared" si="4"/>
        <v>3815.8255000000004</v>
      </c>
      <c r="V19">
        <v>79.935714000000004</v>
      </c>
      <c r="W19">
        <f t="shared" si="6"/>
        <v>357.24664875000002</v>
      </c>
      <c r="X19">
        <f t="shared" si="5"/>
        <v>714.49329750000004</v>
      </c>
      <c r="Y19">
        <v>685.65796079200163</v>
      </c>
      <c r="Z19">
        <f t="shared" si="7"/>
        <v>2453.7834960009955</v>
      </c>
      <c r="AA19">
        <f t="shared" si="8"/>
        <v>4907.5669920019909</v>
      </c>
      <c r="AD19" t="s">
        <v>31</v>
      </c>
      <c r="AF19" t="s">
        <v>31</v>
      </c>
      <c r="AG19" t="s">
        <v>31</v>
      </c>
      <c r="AJ19" s="7">
        <v>8.51</v>
      </c>
      <c r="AK19" s="7" t="s">
        <v>209</v>
      </c>
      <c r="AL19" s="7" t="s">
        <v>209</v>
      </c>
      <c r="AM19" s="6">
        <v>14.505273478215095</v>
      </c>
      <c r="AN19" s="6">
        <v>432.04884767182438</v>
      </c>
      <c r="AO19" s="6">
        <v>220.40641334877185</v>
      </c>
      <c r="AP19" s="6">
        <v>8.2533956884207491</v>
      </c>
      <c r="AQ19" s="6">
        <v>1103.229605</v>
      </c>
      <c r="AR19" s="6">
        <v>25368.420890000001</v>
      </c>
      <c r="AS19" s="6">
        <v>0.36939500000000003</v>
      </c>
      <c r="AT19" s="6">
        <v>1.8330150000000001</v>
      </c>
      <c r="AU19" s="6">
        <v>35.351290000000006</v>
      </c>
      <c r="AV19" s="6">
        <v>8.2364899999999999</v>
      </c>
      <c r="AW19" s="6">
        <v>29.496880000000001</v>
      </c>
      <c r="AX19" s="6">
        <v>98.296404999999993</v>
      </c>
      <c r="AY19" s="6">
        <v>0.91332000000000002</v>
      </c>
      <c r="AZ19" s="6">
        <v>69.074079999999995</v>
      </c>
      <c r="BA19" s="6">
        <v>2.2749999999999999</v>
      </c>
      <c r="BB19" s="6">
        <v>2.7018981808576901</v>
      </c>
      <c r="BC19" s="6">
        <v>1.77028991286698</v>
      </c>
      <c r="BD19" s="6">
        <v>0.39386670843462201</v>
      </c>
      <c r="BE19" s="6">
        <v>9.9628864266824296E-2</v>
      </c>
      <c r="BF19" s="6">
        <v>2.4628758391371401E-2</v>
      </c>
      <c r="BG19" s="6">
        <v>1.7257045411888501E-2</v>
      </c>
      <c r="BH19" s="6">
        <v>1.42717121057145</v>
      </c>
      <c r="BI19" s="6">
        <v>0.84331198579049704</v>
      </c>
      <c r="BJ19" s="6">
        <v>1.34816608154423</v>
      </c>
      <c r="BK19" s="6">
        <v>1.71600253616976</v>
      </c>
      <c r="BL19" s="6">
        <v>0.63181183129149499</v>
      </c>
      <c r="BM19" s="6">
        <v>0.26431488710654799</v>
      </c>
      <c r="BN19" s="6">
        <v>0.20904272807349</v>
      </c>
      <c r="BO19" s="6">
        <v>0.13209725934608199</v>
      </c>
      <c r="BP19" s="6">
        <v>7.9682984710949506E-2</v>
      </c>
      <c r="BQ19" s="6">
        <v>4.0309370994742397E-2</v>
      </c>
      <c r="BR19" s="6">
        <v>0.18579684089158599</v>
      </c>
      <c r="BS19" s="6">
        <v>0.17934035527522099</v>
      </c>
      <c r="BT19" s="6" t="s">
        <v>31</v>
      </c>
      <c r="BU19" s="6">
        <v>0.239241757271212</v>
      </c>
      <c r="BV19" s="6">
        <v>0.12357311002114416</v>
      </c>
      <c r="BW19" s="6">
        <v>0.12118576299946614</v>
      </c>
      <c r="BX19" s="6">
        <v>2.8472234259896971E-2</v>
      </c>
      <c r="BY19" s="6">
        <v>6.4684152247479282E-2</v>
      </c>
      <c r="BZ19" s="6">
        <v>4.3574132862237359E-2</v>
      </c>
      <c r="CA19" s="6">
        <v>6.8814232217414895E-2</v>
      </c>
      <c r="CB19" s="6">
        <v>0.20672478632452421</v>
      </c>
      <c r="CC19" s="6">
        <v>0.65702841093216302</v>
      </c>
      <c r="CD19" s="6">
        <v>18.807879227904934</v>
      </c>
      <c r="CE19" s="6">
        <v>18.444524008867912</v>
      </c>
      <c r="CF19" s="6">
        <v>4.3334860085428906</v>
      </c>
      <c r="CG19" s="6">
        <v>9.8449551299780556</v>
      </c>
      <c r="CH19" s="6">
        <v>6.6320013164143532</v>
      </c>
      <c r="CI19" s="6">
        <v>10.473555035433595</v>
      </c>
      <c r="CJ19" s="6">
        <v>31.463599272858257</v>
      </c>
    </row>
    <row r="20" spans="1:88" x14ac:dyDescent="0.35">
      <c r="A20">
        <v>119</v>
      </c>
      <c r="B20" t="s">
        <v>87</v>
      </c>
      <c r="C20" t="s">
        <v>130</v>
      </c>
      <c r="D20" t="s">
        <v>23</v>
      </c>
      <c r="E20" t="s">
        <v>29</v>
      </c>
      <c r="F20">
        <v>5</v>
      </c>
      <c r="G20">
        <v>1</v>
      </c>
      <c r="H20" s="1">
        <v>11.26</v>
      </c>
      <c r="I20" s="1">
        <v>11.56</v>
      </c>
      <c r="J20">
        <v>30</v>
      </c>
      <c r="K20">
        <v>26</v>
      </c>
      <c r="L20" t="s">
        <v>31</v>
      </c>
      <c r="M20">
        <v>408</v>
      </c>
      <c r="N20">
        <f t="shared" si="0"/>
        <v>102</v>
      </c>
      <c r="O20" s="2" t="s">
        <v>59</v>
      </c>
      <c r="P20">
        <v>65.990380000000002</v>
      </c>
      <c r="Q20">
        <f t="shared" si="1"/>
        <v>289.48132499999997</v>
      </c>
      <c r="R20">
        <f t="shared" si="2"/>
        <v>578.96264999999994</v>
      </c>
      <c r="S20">
        <v>496.35460000000012</v>
      </c>
      <c r="T20">
        <f t="shared" si="3"/>
        <v>2362.2107500000006</v>
      </c>
      <c r="U20">
        <f t="shared" si="4"/>
        <v>4724.4215000000013</v>
      </c>
      <c r="V20">
        <v>115.53137700000001</v>
      </c>
      <c r="W20">
        <f t="shared" si="6"/>
        <v>535.22496375000003</v>
      </c>
      <c r="X20">
        <f t="shared" si="5"/>
        <v>1070.4499275000001</v>
      </c>
      <c r="Y20">
        <v>802.91606268389637</v>
      </c>
      <c r="Z20">
        <f t="shared" si="7"/>
        <v>3040.0740054604694</v>
      </c>
      <c r="AA20">
        <f t="shared" si="8"/>
        <v>6080.1480109209388</v>
      </c>
      <c r="AD20" t="s">
        <v>31</v>
      </c>
      <c r="AF20" t="s">
        <v>31</v>
      </c>
      <c r="AG20" t="s">
        <v>31</v>
      </c>
      <c r="AJ20" s="7">
        <v>8.51</v>
      </c>
      <c r="AK20" s="7" t="s">
        <v>209</v>
      </c>
      <c r="AL20" s="7" t="s">
        <v>209</v>
      </c>
      <c r="AM20" s="6">
        <v>14.505273478215095</v>
      </c>
      <c r="AN20" s="6">
        <v>432.04884767182438</v>
      </c>
      <c r="AO20" s="6">
        <v>220.40641334877185</v>
      </c>
      <c r="AP20" s="6">
        <v>8.2533956884207491</v>
      </c>
      <c r="AQ20" s="6">
        <v>1103.229605</v>
      </c>
      <c r="AR20" s="6">
        <v>25368.420890000001</v>
      </c>
      <c r="AS20" s="6">
        <v>0.36939500000000003</v>
      </c>
      <c r="AT20" s="6">
        <v>1.8330150000000001</v>
      </c>
      <c r="AU20" s="6">
        <v>35.351290000000006</v>
      </c>
      <c r="AV20" s="6">
        <v>8.2364899999999999</v>
      </c>
      <c r="AW20" s="6">
        <v>29.496880000000001</v>
      </c>
      <c r="AX20" s="6">
        <v>98.296404999999993</v>
      </c>
      <c r="AY20" s="6">
        <v>0.91332000000000002</v>
      </c>
      <c r="AZ20" s="6">
        <v>69.074079999999995</v>
      </c>
      <c r="BA20" s="6">
        <v>2.2749999999999999</v>
      </c>
      <c r="BB20" s="6">
        <v>2.7018981808576901</v>
      </c>
      <c r="BC20" s="6">
        <v>1.77028991286698</v>
      </c>
      <c r="BD20" s="6">
        <v>0.39386670843462201</v>
      </c>
      <c r="BE20" s="6">
        <v>9.9628864266824296E-2</v>
      </c>
      <c r="BF20" s="6">
        <v>2.4628758391371401E-2</v>
      </c>
      <c r="BG20" s="6">
        <v>1.7257045411888501E-2</v>
      </c>
      <c r="BH20" s="6">
        <v>1.42717121057145</v>
      </c>
      <c r="BI20" s="6">
        <v>0.84331198579049704</v>
      </c>
      <c r="BJ20" s="6">
        <v>1.34816608154423</v>
      </c>
      <c r="BK20" s="6">
        <v>1.71600253616976</v>
      </c>
      <c r="BL20" s="6">
        <v>0.63181183129149499</v>
      </c>
      <c r="BM20" s="6">
        <v>0.26431488710654799</v>
      </c>
      <c r="BN20" s="6">
        <v>0.20904272807349</v>
      </c>
      <c r="BO20" s="6">
        <v>0.13209725934608199</v>
      </c>
      <c r="BP20" s="6">
        <v>7.9682984710949506E-2</v>
      </c>
      <c r="BQ20" s="6">
        <v>4.0309370994742397E-2</v>
      </c>
      <c r="BR20" s="6">
        <v>0.18579684089158599</v>
      </c>
      <c r="BS20" s="6">
        <v>0.17934035527522099</v>
      </c>
      <c r="BT20" s="6" t="s">
        <v>31</v>
      </c>
      <c r="BU20" s="6">
        <v>0.239241757271212</v>
      </c>
      <c r="BV20" s="6">
        <v>0.12357311002114416</v>
      </c>
      <c r="BW20" s="6">
        <v>0.12118576299946614</v>
      </c>
      <c r="BX20" s="6">
        <v>2.8472234259896971E-2</v>
      </c>
      <c r="BY20" s="6">
        <v>6.4684152247479282E-2</v>
      </c>
      <c r="BZ20" s="6">
        <v>4.3574132862237359E-2</v>
      </c>
      <c r="CA20" s="6">
        <v>6.8814232217414895E-2</v>
      </c>
      <c r="CB20" s="6">
        <v>0.20672478632452421</v>
      </c>
      <c r="CC20" s="6">
        <v>0.65702841093216302</v>
      </c>
      <c r="CD20" s="6">
        <v>18.807879227904934</v>
      </c>
      <c r="CE20" s="6">
        <v>18.444524008867912</v>
      </c>
      <c r="CF20" s="6">
        <v>4.3334860085428906</v>
      </c>
      <c r="CG20" s="6">
        <v>9.8449551299780556</v>
      </c>
      <c r="CH20" s="6">
        <v>6.6320013164143532</v>
      </c>
      <c r="CI20" s="6">
        <v>10.473555035433595</v>
      </c>
      <c r="CJ20" s="6">
        <v>31.463599272858257</v>
      </c>
    </row>
    <row r="21" spans="1:88" x14ac:dyDescent="0.35">
      <c r="A21">
        <v>120</v>
      </c>
      <c r="B21" t="s">
        <v>87</v>
      </c>
      <c r="C21" t="s">
        <v>130</v>
      </c>
      <c r="D21" t="s">
        <v>24</v>
      </c>
      <c r="E21" t="s">
        <v>29</v>
      </c>
      <c r="F21">
        <v>6</v>
      </c>
      <c r="G21">
        <v>1</v>
      </c>
      <c r="H21" s="1">
        <v>11.29</v>
      </c>
      <c r="I21" s="1">
        <v>11.59</v>
      </c>
      <c r="J21">
        <v>30</v>
      </c>
      <c r="K21">
        <v>26</v>
      </c>
      <c r="L21" t="s">
        <v>31</v>
      </c>
      <c r="M21">
        <v>723</v>
      </c>
      <c r="N21">
        <f t="shared" si="0"/>
        <v>180.75</v>
      </c>
      <c r="O21" s="2" t="s">
        <v>49</v>
      </c>
      <c r="P21">
        <v>230.28528</v>
      </c>
      <c r="Q21">
        <f t="shared" si="1"/>
        <v>1333.1469900000002</v>
      </c>
      <c r="R21">
        <f t="shared" si="2"/>
        <v>2666.2939800000004</v>
      </c>
      <c r="S21">
        <v>424.00151999999991</v>
      </c>
      <c r="T21">
        <f t="shared" si="3"/>
        <v>2400.5344199999995</v>
      </c>
      <c r="U21">
        <f t="shared" si="4"/>
        <v>4801.068839999999</v>
      </c>
      <c r="V21">
        <v>373.21320149999997</v>
      </c>
      <c r="W21">
        <f t="shared" si="6"/>
        <v>2188.3609034999999</v>
      </c>
      <c r="X21">
        <f t="shared" si="5"/>
        <v>4376.7218069999999</v>
      </c>
      <c r="Y21">
        <v>1048.2254902232853</v>
      </c>
      <c r="Z21">
        <f t="shared" si="7"/>
        <v>5119.9453717888973</v>
      </c>
      <c r="AA21">
        <f t="shared" si="8"/>
        <v>10239.890743577795</v>
      </c>
      <c r="AD21" t="s">
        <v>31</v>
      </c>
      <c r="AF21" t="s">
        <v>31</v>
      </c>
      <c r="AG21" t="s">
        <v>31</v>
      </c>
      <c r="AJ21" s="7">
        <v>8.51</v>
      </c>
      <c r="AK21" s="7" t="s">
        <v>209</v>
      </c>
      <c r="AL21" s="7" t="s">
        <v>209</v>
      </c>
      <c r="AM21" s="6">
        <v>14.505273478215095</v>
      </c>
      <c r="AN21" s="6">
        <v>432.04884767182438</v>
      </c>
      <c r="AO21" s="6">
        <v>220.40641334877185</v>
      </c>
      <c r="AP21" s="6">
        <v>8.2533956884207491</v>
      </c>
      <c r="AQ21" s="6">
        <v>1103.229605</v>
      </c>
      <c r="AR21" s="6">
        <v>25368.420890000001</v>
      </c>
      <c r="AS21" s="6">
        <v>0.36939500000000003</v>
      </c>
      <c r="AT21" s="6">
        <v>1.8330150000000001</v>
      </c>
      <c r="AU21" s="6">
        <v>35.351290000000006</v>
      </c>
      <c r="AV21" s="6">
        <v>8.2364899999999999</v>
      </c>
      <c r="AW21" s="6">
        <v>29.496880000000001</v>
      </c>
      <c r="AX21" s="6">
        <v>98.296404999999993</v>
      </c>
      <c r="AY21" s="6">
        <v>0.91332000000000002</v>
      </c>
      <c r="AZ21" s="6">
        <v>69.074079999999995</v>
      </c>
      <c r="BA21" s="6">
        <v>2.2749999999999999</v>
      </c>
      <c r="BB21" s="6">
        <v>2.7018981808576901</v>
      </c>
      <c r="BC21" s="6">
        <v>1.77028991286698</v>
      </c>
      <c r="BD21" s="6">
        <v>0.39386670843462201</v>
      </c>
      <c r="BE21" s="6">
        <v>9.9628864266824296E-2</v>
      </c>
      <c r="BF21" s="6">
        <v>2.4628758391371401E-2</v>
      </c>
      <c r="BG21" s="6">
        <v>1.7257045411888501E-2</v>
      </c>
      <c r="BH21" s="6">
        <v>1.42717121057145</v>
      </c>
      <c r="BI21" s="6">
        <v>0.84331198579049704</v>
      </c>
      <c r="BJ21" s="6">
        <v>1.34816608154423</v>
      </c>
      <c r="BK21" s="6">
        <v>1.71600253616976</v>
      </c>
      <c r="BL21" s="6">
        <v>0.63181183129149499</v>
      </c>
      <c r="BM21" s="6">
        <v>0.26431488710654799</v>
      </c>
      <c r="BN21" s="6">
        <v>0.20904272807349</v>
      </c>
      <c r="BO21" s="6">
        <v>0.13209725934608199</v>
      </c>
      <c r="BP21" s="6">
        <v>7.9682984710949506E-2</v>
      </c>
      <c r="BQ21" s="6">
        <v>4.0309370994742397E-2</v>
      </c>
      <c r="BR21" s="6">
        <v>0.18579684089158599</v>
      </c>
      <c r="BS21" s="6">
        <v>0.17934035527522099</v>
      </c>
      <c r="BT21" s="6" t="s">
        <v>31</v>
      </c>
      <c r="BU21" s="6">
        <v>0.239241757271212</v>
      </c>
      <c r="BV21" s="6">
        <v>0.12357311002114416</v>
      </c>
      <c r="BW21" s="6">
        <v>0.12118576299946614</v>
      </c>
      <c r="BX21" s="6">
        <v>2.8472234259896971E-2</v>
      </c>
      <c r="BY21" s="6">
        <v>6.4684152247479282E-2</v>
      </c>
      <c r="BZ21" s="6">
        <v>4.3574132862237359E-2</v>
      </c>
      <c r="CA21" s="6">
        <v>6.8814232217414895E-2</v>
      </c>
      <c r="CB21" s="6">
        <v>0.20672478632452421</v>
      </c>
      <c r="CC21" s="6">
        <v>0.65702841093216302</v>
      </c>
      <c r="CD21" s="6">
        <v>18.807879227904934</v>
      </c>
      <c r="CE21" s="6">
        <v>18.444524008867912</v>
      </c>
      <c r="CF21" s="6">
        <v>4.3334860085428906</v>
      </c>
      <c r="CG21" s="6">
        <v>9.8449551299780556</v>
      </c>
      <c r="CH21" s="6">
        <v>6.6320013164143532</v>
      </c>
      <c r="CI21" s="6">
        <v>10.473555035433595</v>
      </c>
      <c r="CJ21" s="6">
        <v>31.463599272858257</v>
      </c>
    </row>
    <row r="22" spans="1:88" x14ac:dyDescent="0.35">
      <c r="A22">
        <v>121</v>
      </c>
      <c r="B22" t="s">
        <v>87</v>
      </c>
      <c r="C22" t="s">
        <v>130</v>
      </c>
      <c r="D22" t="s">
        <v>22</v>
      </c>
      <c r="E22" t="s">
        <v>29</v>
      </c>
      <c r="F22">
        <v>6</v>
      </c>
      <c r="G22">
        <v>1</v>
      </c>
      <c r="H22" s="1">
        <v>11.32</v>
      </c>
      <c r="I22" s="1">
        <v>12.02</v>
      </c>
      <c r="J22">
        <v>30</v>
      </c>
      <c r="K22">
        <v>26</v>
      </c>
      <c r="L22" t="s">
        <v>31</v>
      </c>
      <c r="M22">
        <v>726</v>
      </c>
      <c r="N22">
        <f t="shared" si="0"/>
        <v>181.5</v>
      </c>
      <c r="O22" s="2" t="s">
        <v>49</v>
      </c>
      <c r="P22">
        <v>63.003200000000007</v>
      </c>
      <c r="Q22">
        <f t="shared" si="1"/>
        <v>329.45451000000003</v>
      </c>
      <c r="R22">
        <f t="shared" si="2"/>
        <v>658.90902000000006</v>
      </c>
      <c r="S22">
        <v>766.53</v>
      </c>
      <c r="T22">
        <f t="shared" si="3"/>
        <v>4455.7052999999996</v>
      </c>
      <c r="U22">
        <f t="shared" si="4"/>
        <v>8911.4105999999992</v>
      </c>
      <c r="V22">
        <v>92.002603499999992</v>
      </c>
      <c r="W22">
        <f t="shared" si="6"/>
        <v>501.09731549999992</v>
      </c>
      <c r="X22">
        <f t="shared" si="5"/>
        <v>1002.1946309999997</v>
      </c>
      <c r="Y22">
        <v>1207.0958414776042</v>
      </c>
      <c r="Z22">
        <f t="shared" si="7"/>
        <v>6073.1674793148104</v>
      </c>
      <c r="AA22">
        <f t="shared" si="8"/>
        <v>12146.334958629621</v>
      </c>
      <c r="AD22" t="s">
        <v>31</v>
      </c>
      <c r="AF22" t="s">
        <v>31</v>
      </c>
      <c r="AG22" t="s">
        <v>31</v>
      </c>
      <c r="AJ22" s="7">
        <v>8.51</v>
      </c>
      <c r="AK22" s="7" t="s">
        <v>209</v>
      </c>
      <c r="AL22" s="7" t="s">
        <v>209</v>
      </c>
      <c r="AM22" s="6">
        <v>14.505273478215095</v>
      </c>
      <c r="AN22" s="6">
        <v>432.04884767182438</v>
      </c>
      <c r="AO22" s="6">
        <v>220.40641334877185</v>
      </c>
      <c r="AP22" s="6">
        <v>8.2533956884207491</v>
      </c>
      <c r="AQ22" s="6">
        <v>1103.229605</v>
      </c>
      <c r="AR22" s="6">
        <v>25368.420890000001</v>
      </c>
      <c r="AS22" s="6">
        <v>0.36939500000000003</v>
      </c>
      <c r="AT22" s="6">
        <v>1.8330150000000001</v>
      </c>
      <c r="AU22" s="6">
        <v>35.351290000000006</v>
      </c>
      <c r="AV22" s="6">
        <v>8.2364899999999999</v>
      </c>
      <c r="AW22" s="6">
        <v>29.496880000000001</v>
      </c>
      <c r="AX22" s="6">
        <v>98.296404999999993</v>
      </c>
      <c r="AY22" s="6">
        <v>0.91332000000000002</v>
      </c>
      <c r="AZ22" s="6">
        <v>69.074079999999995</v>
      </c>
      <c r="BA22" s="6">
        <v>2.2749999999999999</v>
      </c>
      <c r="BB22" s="6">
        <v>2.7018981808576901</v>
      </c>
      <c r="BC22" s="6">
        <v>1.77028991286698</v>
      </c>
      <c r="BD22" s="6">
        <v>0.39386670843462201</v>
      </c>
      <c r="BE22" s="6">
        <v>9.9628864266824296E-2</v>
      </c>
      <c r="BF22" s="6">
        <v>2.4628758391371401E-2</v>
      </c>
      <c r="BG22" s="6">
        <v>1.7257045411888501E-2</v>
      </c>
      <c r="BH22" s="6">
        <v>1.42717121057145</v>
      </c>
      <c r="BI22" s="6">
        <v>0.84331198579049704</v>
      </c>
      <c r="BJ22" s="6">
        <v>1.34816608154423</v>
      </c>
      <c r="BK22" s="6">
        <v>1.71600253616976</v>
      </c>
      <c r="BL22" s="6">
        <v>0.63181183129149499</v>
      </c>
      <c r="BM22" s="6">
        <v>0.26431488710654799</v>
      </c>
      <c r="BN22" s="6">
        <v>0.20904272807349</v>
      </c>
      <c r="BO22" s="6">
        <v>0.13209725934608199</v>
      </c>
      <c r="BP22" s="6">
        <v>7.9682984710949506E-2</v>
      </c>
      <c r="BQ22" s="6">
        <v>4.0309370994742397E-2</v>
      </c>
      <c r="BR22" s="6">
        <v>0.18579684089158599</v>
      </c>
      <c r="BS22" s="6">
        <v>0.17934035527522099</v>
      </c>
      <c r="BT22" s="6" t="s">
        <v>31</v>
      </c>
      <c r="BU22" s="6">
        <v>0.239241757271212</v>
      </c>
      <c r="BV22" s="6">
        <v>0.12357311002114416</v>
      </c>
      <c r="BW22" s="6">
        <v>0.12118576299946614</v>
      </c>
      <c r="BX22" s="6">
        <v>2.8472234259896971E-2</v>
      </c>
      <c r="BY22" s="6">
        <v>6.4684152247479282E-2</v>
      </c>
      <c r="BZ22" s="6">
        <v>4.3574132862237359E-2</v>
      </c>
      <c r="CA22" s="6">
        <v>6.8814232217414895E-2</v>
      </c>
      <c r="CB22" s="6">
        <v>0.20672478632452421</v>
      </c>
      <c r="CC22" s="6">
        <v>0.65702841093216302</v>
      </c>
      <c r="CD22" s="6">
        <v>18.807879227904934</v>
      </c>
      <c r="CE22" s="6">
        <v>18.444524008867912</v>
      </c>
      <c r="CF22" s="6">
        <v>4.3334860085428906</v>
      </c>
      <c r="CG22" s="6">
        <v>9.8449551299780556</v>
      </c>
      <c r="CH22" s="6">
        <v>6.6320013164143532</v>
      </c>
      <c r="CI22" s="6">
        <v>10.473555035433595</v>
      </c>
      <c r="CJ22" s="6">
        <v>31.463599272858257</v>
      </c>
    </row>
    <row r="23" spans="1:88" x14ac:dyDescent="0.35">
      <c r="A23">
        <v>122</v>
      </c>
      <c r="B23" t="s">
        <v>87</v>
      </c>
      <c r="C23" t="s">
        <v>130</v>
      </c>
      <c r="D23" t="s">
        <v>21</v>
      </c>
      <c r="E23" t="s">
        <v>29</v>
      </c>
      <c r="F23">
        <v>6</v>
      </c>
      <c r="G23">
        <v>1</v>
      </c>
      <c r="H23" s="1">
        <v>11.34</v>
      </c>
      <c r="I23" s="1">
        <v>12.04</v>
      </c>
      <c r="J23">
        <v>30</v>
      </c>
      <c r="K23">
        <v>26</v>
      </c>
      <c r="L23" t="s">
        <v>31</v>
      </c>
      <c r="M23">
        <v>1070</v>
      </c>
      <c r="N23">
        <f t="shared" si="0"/>
        <v>267.5</v>
      </c>
      <c r="O23" s="2" t="s">
        <v>49</v>
      </c>
      <c r="P23">
        <v>163.85982999999999</v>
      </c>
      <c r="Q23">
        <f t="shared" si="1"/>
        <v>934.59429</v>
      </c>
      <c r="R23">
        <f t="shared" si="2"/>
        <v>1869.18858</v>
      </c>
      <c r="S23">
        <v>724.10435999999993</v>
      </c>
      <c r="T23">
        <f t="shared" si="3"/>
        <v>4201.1514599999991</v>
      </c>
      <c r="U23">
        <f t="shared" si="4"/>
        <v>8402.3029199999983</v>
      </c>
      <c r="V23">
        <v>201.487887</v>
      </c>
      <c r="W23">
        <f t="shared" si="6"/>
        <v>1158.0090164999999</v>
      </c>
      <c r="X23">
        <f t="shared" si="5"/>
        <v>2316.0180329999998</v>
      </c>
      <c r="Y23">
        <v>1110.0194870703565</v>
      </c>
      <c r="Z23">
        <f t="shared" si="7"/>
        <v>5490.709352871324</v>
      </c>
      <c r="AA23">
        <f t="shared" si="8"/>
        <v>10981.418705742648</v>
      </c>
      <c r="AD23" t="s">
        <v>31</v>
      </c>
      <c r="AF23" t="s">
        <v>31</v>
      </c>
      <c r="AG23" t="s">
        <v>31</v>
      </c>
      <c r="AJ23" s="7">
        <v>8.51</v>
      </c>
      <c r="AK23" s="7" t="s">
        <v>209</v>
      </c>
      <c r="AL23" s="7" t="s">
        <v>209</v>
      </c>
      <c r="AM23" s="6">
        <v>14.505273478215095</v>
      </c>
      <c r="AN23" s="6">
        <v>432.04884767182438</v>
      </c>
      <c r="AO23" s="6">
        <v>220.40641334877185</v>
      </c>
      <c r="AP23" s="6">
        <v>8.2533956884207491</v>
      </c>
      <c r="AQ23" s="6">
        <v>1103.229605</v>
      </c>
      <c r="AR23" s="6">
        <v>25368.420890000001</v>
      </c>
      <c r="AS23" s="6">
        <v>0.36939500000000003</v>
      </c>
      <c r="AT23" s="6">
        <v>1.8330150000000001</v>
      </c>
      <c r="AU23" s="6">
        <v>35.351290000000006</v>
      </c>
      <c r="AV23" s="6">
        <v>8.2364899999999999</v>
      </c>
      <c r="AW23" s="6">
        <v>29.496880000000001</v>
      </c>
      <c r="AX23" s="6">
        <v>98.296404999999993</v>
      </c>
      <c r="AY23" s="6">
        <v>0.91332000000000002</v>
      </c>
      <c r="AZ23" s="6">
        <v>69.074079999999995</v>
      </c>
      <c r="BA23" s="6">
        <v>2.2749999999999999</v>
      </c>
      <c r="BB23" s="6">
        <v>2.7018981808576901</v>
      </c>
      <c r="BC23" s="6">
        <v>1.77028991286698</v>
      </c>
      <c r="BD23" s="6">
        <v>0.39386670843462201</v>
      </c>
      <c r="BE23" s="6">
        <v>9.9628864266824296E-2</v>
      </c>
      <c r="BF23" s="6">
        <v>2.4628758391371401E-2</v>
      </c>
      <c r="BG23" s="6">
        <v>1.7257045411888501E-2</v>
      </c>
      <c r="BH23" s="6">
        <v>1.42717121057145</v>
      </c>
      <c r="BI23" s="6">
        <v>0.84331198579049704</v>
      </c>
      <c r="BJ23" s="6">
        <v>1.34816608154423</v>
      </c>
      <c r="BK23" s="6">
        <v>1.71600253616976</v>
      </c>
      <c r="BL23" s="6">
        <v>0.63181183129149499</v>
      </c>
      <c r="BM23" s="6">
        <v>0.26431488710654799</v>
      </c>
      <c r="BN23" s="6">
        <v>0.20904272807349</v>
      </c>
      <c r="BO23" s="6">
        <v>0.13209725934608199</v>
      </c>
      <c r="BP23" s="6">
        <v>7.9682984710949506E-2</v>
      </c>
      <c r="BQ23" s="6">
        <v>4.0309370994742397E-2</v>
      </c>
      <c r="BR23" s="6">
        <v>0.18579684089158599</v>
      </c>
      <c r="BS23" s="6">
        <v>0.17934035527522099</v>
      </c>
      <c r="BT23" s="6" t="s">
        <v>31</v>
      </c>
      <c r="BU23" s="6">
        <v>0.239241757271212</v>
      </c>
      <c r="BV23" s="6">
        <v>0.12357311002114416</v>
      </c>
      <c r="BW23" s="6">
        <v>0.12118576299946614</v>
      </c>
      <c r="BX23" s="6">
        <v>2.8472234259896971E-2</v>
      </c>
      <c r="BY23" s="6">
        <v>6.4684152247479282E-2</v>
      </c>
      <c r="BZ23" s="6">
        <v>4.3574132862237359E-2</v>
      </c>
      <c r="CA23" s="6">
        <v>6.8814232217414895E-2</v>
      </c>
      <c r="CB23" s="6">
        <v>0.20672478632452421</v>
      </c>
      <c r="CC23" s="6">
        <v>0.65702841093216302</v>
      </c>
      <c r="CD23" s="6">
        <v>18.807879227904934</v>
      </c>
      <c r="CE23" s="6">
        <v>18.444524008867912</v>
      </c>
      <c r="CF23" s="6">
        <v>4.3334860085428906</v>
      </c>
      <c r="CG23" s="6">
        <v>9.8449551299780556</v>
      </c>
      <c r="CH23" s="6">
        <v>6.6320013164143532</v>
      </c>
      <c r="CI23" s="6">
        <v>10.473555035433595</v>
      </c>
      <c r="CJ23" s="6">
        <v>31.463599272858257</v>
      </c>
    </row>
    <row r="24" spans="1:88" x14ac:dyDescent="0.35">
      <c r="A24">
        <v>123</v>
      </c>
      <c r="B24" t="s">
        <v>87</v>
      </c>
      <c r="C24" t="s">
        <v>130</v>
      </c>
      <c r="D24" t="s">
        <v>32</v>
      </c>
      <c r="E24" t="s">
        <v>29</v>
      </c>
      <c r="F24">
        <v>5</v>
      </c>
      <c r="G24">
        <v>0</v>
      </c>
      <c r="H24" s="1">
        <v>11.4</v>
      </c>
      <c r="I24" s="1">
        <v>12.1</v>
      </c>
      <c r="J24">
        <v>30</v>
      </c>
      <c r="K24">
        <v>26</v>
      </c>
      <c r="L24" t="s">
        <v>31</v>
      </c>
      <c r="M24" t="s">
        <v>31</v>
      </c>
      <c r="N24" t="s">
        <v>31</v>
      </c>
      <c r="O24" s="2" t="s">
        <v>49</v>
      </c>
      <c r="P24">
        <v>7.0328800000000005</v>
      </c>
      <c r="Q24">
        <f t="shared" si="1"/>
        <v>-5.3061749999999996</v>
      </c>
      <c r="R24" t="s">
        <v>31</v>
      </c>
      <c r="S24">
        <v>19.073980000000002</v>
      </c>
      <c r="T24">
        <f t="shared" si="3"/>
        <v>-24.192349999999987</v>
      </c>
      <c r="U24" t="s">
        <v>31</v>
      </c>
      <c r="V24">
        <v>7.0659165000000002</v>
      </c>
      <c r="W24">
        <f t="shared" si="6"/>
        <v>-7.1023387500000013</v>
      </c>
      <c r="X24" t="s">
        <v>31</v>
      </c>
      <c r="Y24">
        <v>194.90126159180255</v>
      </c>
      <c r="Z24">
        <f t="shared" si="7"/>
        <v>0</v>
      </c>
      <c r="AA24" t="s">
        <v>31</v>
      </c>
      <c r="AD24" t="s">
        <v>31</v>
      </c>
      <c r="AF24" t="s">
        <v>31</v>
      </c>
      <c r="AG24" t="s">
        <v>31</v>
      </c>
      <c r="AJ24" s="7">
        <v>8.51</v>
      </c>
      <c r="AK24" s="7" t="s">
        <v>209</v>
      </c>
      <c r="AL24" s="7" t="s">
        <v>209</v>
      </c>
      <c r="AM24" s="6">
        <v>14.505273478215095</v>
      </c>
      <c r="AN24" s="6">
        <v>432.04884767182438</v>
      </c>
      <c r="AO24" s="6">
        <v>220.40641334877185</v>
      </c>
      <c r="AP24" s="6">
        <v>8.2533956884207491</v>
      </c>
      <c r="AQ24" s="6">
        <v>1103.229605</v>
      </c>
      <c r="AR24" s="6">
        <v>25368.420890000001</v>
      </c>
      <c r="AS24" s="6">
        <v>0.36939500000000003</v>
      </c>
      <c r="AT24" s="6">
        <v>1.8330150000000001</v>
      </c>
      <c r="AU24" s="6">
        <v>35.351290000000006</v>
      </c>
      <c r="AV24" s="6">
        <v>8.2364899999999999</v>
      </c>
      <c r="AW24" s="6">
        <v>29.496880000000001</v>
      </c>
      <c r="AX24" s="6">
        <v>98.296404999999993</v>
      </c>
      <c r="AY24" s="6">
        <v>0.91332000000000002</v>
      </c>
      <c r="AZ24" s="6">
        <v>69.074079999999995</v>
      </c>
      <c r="BA24" s="6">
        <v>2.2749999999999999</v>
      </c>
      <c r="BB24" s="6">
        <v>2.7018981808576901</v>
      </c>
      <c r="BC24" s="6">
        <v>1.77028991286698</v>
      </c>
      <c r="BD24" s="6">
        <v>0.39386670843462201</v>
      </c>
      <c r="BE24" s="6">
        <v>9.9628864266824296E-2</v>
      </c>
      <c r="BF24" s="6">
        <v>2.4628758391371401E-2</v>
      </c>
      <c r="BG24" s="6">
        <v>1.7257045411888501E-2</v>
      </c>
      <c r="BH24" s="6">
        <v>1.42717121057145</v>
      </c>
      <c r="BI24" s="6">
        <v>0.84331198579049704</v>
      </c>
      <c r="BJ24" s="6">
        <v>1.34816608154423</v>
      </c>
      <c r="BK24" s="6">
        <v>1.71600253616976</v>
      </c>
      <c r="BL24" s="6">
        <v>0.63181183129149499</v>
      </c>
      <c r="BM24" s="6">
        <v>0.26431488710654799</v>
      </c>
      <c r="BN24" s="6">
        <v>0.20904272807349</v>
      </c>
      <c r="BO24" s="6">
        <v>0.13209725934608199</v>
      </c>
      <c r="BP24" s="6">
        <v>7.9682984710949506E-2</v>
      </c>
      <c r="BQ24" s="6">
        <v>4.0309370994742397E-2</v>
      </c>
      <c r="BR24" s="6">
        <v>0.18579684089158599</v>
      </c>
      <c r="BS24" s="6">
        <v>0.17934035527522099</v>
      </c>
      <c r="BT24" s="6" t="s">
        <v>31</v>
      </c>
      <c r="BU24" s="6">
        <v>0.239241757271212</v>
      </c>
      <c r="BV24" s="6">
        <v>0.12357311002114416</v>
      </c>
      <c r="BW24" s="6">
        <v>0.12118576299946614</v>
      </c>
      <c r="BX24" s="6">
        <v>2.8472234259896971E-2</v>
      </c>
      <c r="BY24" s="6">
        <v>6.4684152247479282E-2</v>
      </c>
      <c r="BZ24" s="6">
        <v>4.3574132862237359E-2</v>
      </c>
      <c r="CA24" s="6">
        <v>6.8814232217414895E-2</v>
      </c>
      <c r="CB24" s="6">
        <v>0.20672478632452421</v>
      </c>
      <c r="CC24" s="6">
        <v>0.65702841093216302</v>
      </c>
      <c r="CD24" s="6">
        <v>18.807879227904934</v>
      </c>
      <c r="CE24" s="6">
        <v>18.444524008867912</v>
      </c>
      <c r="CF24" s="6">
        <v>4.3334860085428906</v>
      </c>
      <c r="CG24" s="6">
        <v>9.8449551299780556</v>
      </c>
      <c r="CH24" s="6">
        <v>6.6320013164143532</v>
      </c>
      <c r="CI24" s="6">
        <v>10.473555035433595</v>
      </c>
      <c r="CJ24" s="6">
        <v>31.463599272858257</v>
      </c>
    </row>
    <row r="25" spans="1:88" x14ac:dyDescent="0.35">
      <c r="A25">
        <v>124</v>
      </c>
      <c r="B25" t="s">
        <v>87</v>
      </c>
      <c r="C25" t="s">
        <v>130</v>
      </c>
      <c r="D25" t="s">
        <v>34</v>
      </c>
      <c r="E25" t="s">
        <v>29</v>
      </c>
      <c r="F25">
        <v>4</v>
      </c>
      <c r="G25">
        <v>0</v>
      </c>
      <c r="H25" s="1">
        <v>11.43</v>
      </c>
      <c r="I25" s="1">
        <v>12.1</v>
      </c>
      <c r="J25">
        <v>27</v>
      </c>
      <c r="K25">
        <v>26</v>
      </c>
      <c r="L25" t="s">
        <v>31</v>
      </c>
      <c r="M25" t="s">
        <v>31</v>
      </c>
      <c r="N25" t="s">
        <v>31</v>
      </c>
      <c r="O25" s="2" t="s">
        <v>49</v>
      </c>
      <c r="P25">
        <v>9.1553500000000003</v>
      </c>
      <c r="Q25">
        <f t="shared" si="1"/>
        <v>4.2449399999999997</v>
      </c>
      <c r="R25" t="s">
        <v>31</v>
      </c>
      <c r="S25">
        <v>28.750920000000001</v>
      </c>
      <c r="T25">
        <f t="shared" si="3"/>
        <v>19.353880000000004</v>
      </c>
      <c r="U25" t="s">
        <v>31</v>
      </c>
      <c r="V25">
        <v>9.9068520000000007</v>
      </c>
      <c r="W25">
        <f t="shared" si="6"/>
        <v>5.681871000000001</v>
      </c>
      <c r="X25" t="s">
        <v>31</v>
      </c>
      <c r="Y25">
        <v>248.21929658922463</v>
      </c>
      <c r="Z25">
        <f t="shared" si="7"/>
        <v>213.2721399896883</v>
      </c>
      <c r="AA25" t="s">
        <v>31</v>
      </c>
      <c r="AD25" t="s">
        <v>31</v>
      </c>
      <c r="AF25" t="s">
        <v>31</v>
      </c>
      <c r="AG25" t="s">
        <v>31</v>
      </c>
      <c r="AJ25" s="7">
        <v>8.51</v>
      </c>
      <c r="AK25" s="7" t="s">
        <v>209</v>
      </c>
      <c r="AL25" s="7" t="s">
        <v>209</v>
      </c>
      <c r="AM25" s="6">
        <v>14.505273478215095</v>
      </c>
      <c r="AN25" s="6">
        <v>432.04884767182438</v>
      </c>
      <c r="AO25" s="6">
        <v>220.40641334877185</v>
      </c>
      <c r="AP25" s="6">
        <v>8.2533956884207491</v>
      </c>
      <c r="AQ25" s="6">
        <v>1103.229605</v>
      </c>
      <c r="AR25" s="6">
        <v>25368.420890000001</v>
      </c>
      <c r="AS25" s="6">
        <v>0.36939500000000003</v>
      </c>
      <c r="AT25" s="6">
        <v>1.8330150000000001</v>
      </c>
      <c r="AU25" s="6">
        <v>35.351290000000006</v>
      </c>
      <c r="AV25" s="6">
        <v>8.2364899999999999</v>
      </c>
      <c r="AW25" s="6">
        <v>29.496880000000001</v>
      </c>
      <c r="AX25" s="6">
        <v>98.296404999999993</v>
      </c>
      <c r="AY25" s="6">
        <v>0.91332000000000002</v>
      </c>
      <c r="AZ25" s="6">
        <v>69.074079999999995</v>
      </c>
      <c r="BA25" s="6">
        <v>2.2749999999999999</v>
      </c>
      <c r="BB25" s="6">
        <v>2.7018981808576901</v>
      </c>
      <c r="BC25" s="6">
        <v>1.77028991286698</v>
      </c>
      <c r="BD25" s="6">
        <v>0.39386670843462201</v>
      </c>
      <c r="BE25" s="6">
        <v>9.9628864266824296E-2</v>
      </c>
      <c r="BF25" s="6">
        <v>2.4628758391371401E-2</v>
      </c>
      <c r="BG25" s="6">
        <v>1.7257045411888501E-2</v>
      </c>
      <c r="BH25" s="6">
        <v>1.42717121057145</v>
      </c>
      <c r="BI25" s="6">
        <v>0.84331198579049704</v>
      </c>
      <c r="BJ25" s="6">
        <v>1.34816608154423</v>
      </c>
      <c r="BK25" s="6">
        <v>1.71600253616976</v>
      </c>
      <c r="BL25" s="6">
        <v>0.63181183129149499</v>
      </c>
      <c r="BM25" s="6">
        <v>0.26431488710654799</v>
      </c>
      <c r="BN25" s="6">
        <v>0.20904272807349</v>
      </c>
      <c r="BO25" s="6">
        <v>0.13209725934608199</v>
      </c>
      <c r="BP25" s="6">
        <v>7.9682984710949506E-2</v>
      </c>
      <c r="BQ25" s="6">
        <v>4.0309370994742397E-2</v>
      </c>
      <c r="BR25" s="6">
        <v>0.18579684089158599</v>
      </c>
      <c r="BS25" s="6">
        <v>0.17934035527522099</v>
      </c>
      <c r="BT25" s="6" t="s">
        <v>31</v>
      </c>
      <c r="BU25" s="6">
        <v>0.239241757271212</v>
      </c>
      <c r="BV25" s="6">
        <v>0.12357311002114416</v>
      </c>
      <c r="BW25" s="6">
        <v>0.12118576299946614</v>
      </c>
      <c r="BX25" s="6">
        <v>2.8472234259896971E-2</v>
      </c>
      <c r="BY25" s="6">
        <v>6.4684152247479282E-2</v>
      </c>
      <c r="BZ25" s="6">
        <v>4.3574132862237359E-2</v>
      </c>
      <c r="CA25" s="6">
        <v>6.8814232217414895E-2</v>
      </c>
      <c r="CB25" s="6">
        <v>0.20672478632452421</v>
      </c>
      <c r="CC25" s="6">
        <v>0.65702841093216302</v>
      </c>
      <c r="CD25" s="6">
        <v>18.807879227904934</v>
      </c>
      <c r="CE25" s="6">
        <v>18.444524008867912</v>
      </c>
      <c r="CF25" s="6">
        <v>4.3334860085428906</v>
      </c>
      <c r="CG25" s="6">
        <v>9.8449551299780556</v>
      </c>
      <c r="CH25" s="6">
        <v>6.6320013164143532</v>
      </c>
      <c r="CI25" s="6">
        <v>10.473555035433595</v>
      </c>
      <c r="CJ25" s="6">
        <v>31.463599272858257</v>
      </c>
    </row>
    <row r="26" spans="1:88" x14ac:dyDescent="0.35">
      <c r="A26">
        <v>125</v>
      </c>
      <c r="B26" t="s">
        <v>88</v>
      </c>
      <c r="C26" t="s">
        <v>130</v>
      </c>
      <c r="D26" t="s">
        <v>20</v>
      </c>
      <c r="E26" t="s">
        <v>29</v>
      </c>
      <c r="F26">
        <v>2</v>
      </c>
      <c r="G26">
        <v>1</v>
      </c>
      <c r="H26" s="1">
        <v>12.25</v>
      </c>
      <c r="I26" s="1">
        <v>13.04</v>
      </c>
      <c r="J26">
        <v>39</v>
      </c>
      <c r="K26">
        <v>25</v>
      </c>
      <c r="L26" t="s">
        <v>31</v>
      </c>
      <c r="M26">
        <v>40</v>
      </c>
      <c r="N26">
        <f>M26*0.25</f>
        <v>10</v>
      </c>
      <c r="O26" s="2" t="s">
        <v>101</v>
      </c>
      <c r="P26">
        <v>117.55854000000002</v>
      </c>
      <c r="Q26">
        <f t="shared" ref="Q26:Q32" si="9">(P26-AVERAGE($P$30,$P$32))*F26</f>
        <v>225.21765000000005</v>
      </c>
      <c r="R26">
        <f>(Q26/J26*60)/G26</f>
        <v>346.48869230769242</v>
      </c>
      <c r="S26">
        <v>761.06412</v>
      </c>
      <c r="T26">
        <f t="shared" ref="T26:T32" si="10">(S26-AVERAGE($S$30,$S$32))*F26</f>
        <v>1491.9249600000001</v>
      </c>
      <c r="U26">
        <f>(T26/J26*60)/G26</f>
        <v>2295.269169230769</v>
      </c>
      <c r="V26">
        <v>149.18553600000001</v>
      </c>
      <c r="W26">
        <f>(V26-AVERAGE($V$30,(5.1/2)))*F26</f>
        <v>288.90084450000001</v>
      </c>
      <c r="X26">
        <f>(W26/J26*60)/G26</f>
        <v>444.46283769230769</v>
      </c>
      <c r="Y26">
        <v>1224.1235252291287</v>
      </c>
      <c r="Z26">
        <f>(Y26-$Y$32)*F26</f>
        <v>2237.0901943700096</v>
      </c>
      <c r="AA26">
        <f t="shared" si="8"/>
        <v>3441.6772221077067</v>
      </c>
      <c r="AD26" t="s">
        <v>31</v>
      </c>
      <c r="AF26" t="s">
        <v>31</v>
      </c>
      <c r="AG26" t="s">
        <v>31</v>
      </c>
      <c r="AJ26" s="7">
        <v>8.49</v>
      </c>
      <c r="AK26" s="7" t="s">
        <v>209</v>
      </c>
      <c r="AL26" s="7" t="s">
        <v>209</v>
      </c>
      <c r="AM26" s="6">
        <v>14.272444048388209</v>
      </c>
      <c r="AN26" s="6">
        <v>483.68041721035127</v>
      </c>
      <c r="AO26" s="6">
        <v>247.4617147763864</v>
      </c>
      <c r="AP26" s="6">
        <v>12.203445979793864</v>
      </c>
      <c r="AQ26" s="6">
        <v>1214.399805</v>
      </c>
      <c r="AR26" s="6">
        <v>25948.338680000001</v>
      </c>
      <c r="AS26" s="6">
        <v>0.41236499999999998</v>
      </c>
      <c r="AT26" s="6">
        <v>10.045579999999999</v>
      </c>
      <c r="AU26" s="6">
        <v>44.272959999999998</v>
      </c>
      <c r="AV26" s="6">
        <v>17.441474999999997</v>
      </c>
      <c r="AW26" s="6">
        <v>36.730184999999999</v>
      </c>
      <c r="AX26" s="6">
        <v>106.54972000000001</v>
      </c>
      <c r="AY26" s="6">
        <v>1.1345800000000001</v>
      </c>
      <c r="AZ26" s="6">
        <v>78.850654999999989</v>
      </c>
      <c r="BA26" s="6">
        <v>2.7850000000000001</v>
      </c>
      <c r="BB26" s="6">
        <v>2.8905364968598701</v>
      </c>
      <c r="BC26" s="6">
        <v>1.9875864751916299</v>
      </c>
      <c r="BD26" s="6">
        <v>0.45810803894074598</v>
      </c>
      <c r="BE26" s="6">
        <v>0.11035015538078</v>
      </c>
      <c r="BF26" s="6">
        <v>2.1620846296293701E-2</v>
      </c>
      <c r="BG26" s="6">
        <v>1.68161575956913E-2</v>
      </c>
      <c r="BH26" s="6">
        <v>1.2857185818616199</v>
      </c>
      <c r="BI26" s="6">
        <v>0.99256402266516797</v>
      </c>
      <c r="BJ26" s="6">
        <v>1.3760047190268401</v>
      </c>
      <c r="BK26" s="6">
        <v>3.0325658720373001</v>
      </c>
      <c r="BL26" s="6">
        <v>0.75201892994873998</v>
      </c>
      <c r="BM26" s="6">
        <v>0.23966477671354999</v>
      </c>
      <c r="BN26" s="6">
        <v>0.121883668199887</v>
      </c>
      <c r="BO26" s="6">
        <v>0.119878816842869</v>
      </c>
      <c r="BP26" s="6">
        <v>5.5794800991056603E-2</v>
      </c>
      <c r="BQ26" s="6">
        <v>1.60666279426552E-2</v>
      </c>
      <c r="BR26" s="6">
        <v>0.131904635919324</v>
      </c>
      <c r="BS26" s="6">
        <v>0.126780744561339</v>
      </c>
      <c r="BT26" s="6" t="s">
        <v>31</v>
      </c>
      <c r="BU26" s="6">
        <v>0.134618176857943</v>
      </c>
      <c r="BV26" s="6">
        <v>9.075950404130545E-2</v>
      </c>
      <c r="BW26" s="6">
        <v>6.730982930009978E-2</v>
      </c>
      <c r="BX26" s="6">
        <v>9.9639695690282859E-2</v>
      </c>
      <c r="BY26" s="6">
        <v>1.0790831602627357E-2</v>
      </c>
      <c r="BZ26" s="6">
        <v>1.5561610263245079E-2</v>
      </c>
      <c r="CA26" s="6">
        <v>7.5151657626444435E-2</v>
      </c>
      <c r="CB26" s="6">
        <v>0.11605602815137467</v>
      </c>
      <c r="CC26" s="6">
        <v>0.47526915667537961</v>
      </c>
      <c r="CD26" s="6">
        <v>19.096443092623492</v>
      </c>
      <c r="CE26" s="6">
        <v>14.162465279873826</v>
      </c>
      <c r="CF26" s="6">
        <v>20.964898371963827</v>
      </c>
      <c r="CG26" s="6">
        <v>2.2704674711297868</v>
      </c>
      <c r="CH26" s="6">
        <v>3.2742731239077729</v>
      </c>
      <c r="CI26" s="6">
        <v>15.812441554623089</v>
      </c>
      <c r="CJ26" s="6">
        <v>24.419011105878212</v>
      </c>
    </row>
    <row r="27" spans="1:88" x14ac:dyDescent="0.35">
      <c r="A27">
        <v>126</v>
      </c>
      <c r="B27" t="s">
        <v>88</v>
      </c>
      <c r="C27" t="s">
        <v>130</v>
      </c>
      <c r="D27" t="s">
        <v>25</v>
      </c>
      <c r="E27" t="s">
        <v>30</v>
      </c>
      <c r="F27">
        <v>0.3</v>
      </c>
      <c r="G27">
        <v>10</v>
      </c>
      <c r="H27" s="1">
        <v>12.34</v>
      </c>
      <c r="I27" s="1">
        <v>13.42</v>
      </c>
      <c r="J27">
        <v>68</v>
      </c>
      <c r="K27">
        <v>25</v>
      </c>
      <c r="L27">
        <v>4.6899999999999997E-2</v>
      </c>
      <c r="M27">
        <f>L27/G27</f>
        <v>4.6899999999999997E-3</v>
      </c>
      <c r="N27">
        <f>M27</f>
        <v>4.6899999999999997E-3</v>
      </c>
      <c r="O27" s="2" t="s">
        <v>102</v>
      </c>
      <c r="P27">
        <v>17.723840000000003</v>
      </c>
      <c r="Q27">
        <f t="shared" si="9"/>
        <v>3.8322375000000006</v>
      </c>
      <c r="R27">
        <f>(Q27/J27*60)/G27</f>
        <v>0.33813860294117654</v>
      </c>
      <c r="S27">
        <v>60.650639999999989</v>
      </c>
      <c r="T27">
        <f t="shared" si="10"/>
        <v>13.664699999999998</v>
      </c>
      <c r="U27">
        <f>(T27/J27*60)/G27</f>
        <v>1.2057088235294116</v>
      </c>
      <c r="V27">
        <v>25.568419500000001</v>
      </c>
      <c r="W27">
        <f t="shared" ref="W27:W32" si="11">(V27-AVERAGE($V$30,(5.1/2)))*F27</f>
        <v>6.2499917250000001</v>
      </c>
      <c r="X27">
        <f>(W27/J27*60)/G27</f>
        <v>0.55146985808823534</v>
      </c>
      <c r="Y27">
        <v>355.77330144968084</v>
      </c>
      <c r="Z27">
        <f t="shared" ref="Z27:Z32" si="12">(Y27-$Y$32)*F27</f>
        <v>75.058462021667097</v>
      </c>
      <c r="AA27">
        <f t="shared" si="8"/>
        <v>6.6228054725000378</v>
      </c>
      <c r="AB27">
        <v>47.416577263508067</v>
      </c>
      <c r="AC27">
        <v>10.931760593327386</v>
      </c>
      <c r="AD27">
        <v>1.3334962267205783</v>
      </c>
      <c r="AE27">
        <v>5.0604236772735094</v>
      </c>
      <c r="AF27">
        <v>91.858396104080668</v>
      </c>
      <c r="AG27">
        <v>18.152313316495427</v>
      </c>
      <c r="AH27">
        <v>-25.891241692332635</v>
      </c>
      <c r="AI27">
        <v>9.1767951527161138</v>
      </c>
      <c r="AJ27" s="7">
        <v>8.49</v>
      </c>
      <c r="AK27" s="7" t="s">
        <v>209</v>
      </c>
      <c r="AL27" s="7" t="s">
        <v>209</v>
      </c>
      <c r="AM27" s="6">
        <v>14.272444048388209</v>
      </c>
      <c r="AN27" s="6">
        <v>483.68041721035127</v>
      </c>
      <c r="AO27" s="6">
        <v>247.4617147763864</v>
      </c>
      <c r="AP27" s="6">
        <v>12.203445979793864</v>
      </c>
      <c r="AQ27" s="6">
        <v>1214.399805</v>
      </c>
      <c r="AR27" s="6">
        <v>25948.338680000001</v>
      </c>
      <c r="AS27" s="6">
        <v>0.41236499999999998</v>
      </c>
      <c r="AT27" s="6">
        <v>10.045579999999999</v>
      </c>
      <c r="AU27" s="6">
        <v>44.272959999999998</v>
      </c>
      <c r="AV27" s="6">
        <v>17.441474999999997</v>
      </c>
      <c r="AW27" s="6">
        <v>36.730184999999999</v>
      </c>
      <c r="AX27" s="6">
        <v>106.54972000000001</v>
      </c>
      <c r="AY27" s="6">
        <v>1.1345800000000001</v>
      </c>
      <c r="AZ27" s="6">
        <v>78.850654999999989</v>
      </c>
      <c r="BA27" s="6">
        <v>2.7850000000000001</v>
      </c>
      <c r="BB27" s="6">
        <v>2.8905364968598701</v>
      </c>
      <c r="BC27" s="6">
        <v>1.9875864751916299</v>
      </c>
      <c r="BD27" s="6">
        <v>0.45810803894074598</v>
      </c>
      <c r="BE27" s="6">
        <v>0.11035015538078</v>
      </c>
      <c r="BF27" s="6">
        <v>2.1620846296293701E-2</v>
      </c>
      <c r="BG27" s="6">
        <v>1.68161575956913E-2</v>
      </c>
      <c r="BH27" s="6">
        <v>1.2857185818616199</v>
      </c>
      <c r="BI27" s="6">
        <v>0.99256402266516797</v>
      </c>
      <c r="BJ27" s="6">
        <v>1.3760047190268401</v>
      </c>
      <c r="BK27" s="6">
        <v>3.0325658720373001</v>
      </c>
      <c r="BL27" s="6">
        <v>0.75201892994873998</v>
      </c>
      <c r="BM27" s="6">
        <v>0.23966477671354999</v>
      </c>
      <c r="BN27" s="6">
        <v>0.121883668199887</v>
      </c>
      <c r="BO27" s="6">
        <v>0.119878816842869</v>
      </c>
      <c r="BP27" s="6">
        <v>5.5794800991056603E-2</v>
      </c>
      <c r="BQ27" s="6">
        <v>1.60666279426552E-2</v>
      </c>
      <c r="BR27" s="6">
        <v>0.131904635919324</v>
      </c>
      <c r="BS27" s="6">
        <v>0.126780744561339</v>
      </c>
      <c r="BT27" s="6" t="s">
        <v>31</v>
      </c>
      <c r="BU27" s="6">
        <v>0.134618176857943</v>
      </c>
      <c r="BV27" s="6">
        <v>9.075950404130545E-2</v>
      </c>
      <c r="BW27" s="6">
        <v>6.730982930009978E-2</v>
      </c>
      <c r="BX27" s="6">
        <v>9.9639695690282859E-2</v>
      </c>
      <c r="BY27" s="6">
        <v>1.0790831602627357E-2</v>
      </c>
      <c r="BZ27" s="6">
        <v>1.5561610263245079E-2</v>
      </c>
      <c r="CA27" s="6">
        <v>7.5151657626444435E-2</v>
      </c>
      <c r="CB27" s="6">
        <v>0.11605602815137467</v>
      </c>
      <c r="CC27" s="6">
        <v>0.47526915667537961</v>
      </c>
      <c r="CD27" s="6">
        <v>19.096443092623492</v>
      </c>
      <c r="CE27" s="6">
        <v>14.162465279873826</v>
      </c>
      <c r="CF27" s="6">
        <v>20.964898371963827</v>
      </c>
      <c r="CG27" s="6">
        <v>2.2704674711297868</v>
      </c>
      <c r="CH27" s="6">
        <v>3.2742731239077729</v>
      </c>
      <c r="CI27" s="6">
        <v>15.812441554623089</v>
      </c>
      <c r="CJ27" s="6">
        <v>24.419011105878212</v>
      </c>
    </row>
    <row r="28" spans="1:88" x14ac:dyDescent="0.35">
      <c r="A28">
        <v>127</v>
      </c>
      <c r="B28" t="s">
        <v>88</v>
      </c>
      <c r="C28" t="s">
        <v>130</v>
      </c>
      <c r="D28" t="s">
        <v>25</v>
      </c>
      <c r="E28" t="s">
        <v>30</v>
      </c>
      <c r="F28">
        <v>0.3</v>
      </c>
      <c r="G28">
        <v>10</v>
      </c>
      <c r="H28" s="1">
        <v>12.39</v>
      </c>
      <c r="I28" s="1">
        <v>14.08</v>
      </c>
      <c r="J28">
        <v>89</v>
      </c>
      <c r="K28">
        <v>25</v>
      </c>
      <c r="L28">
        <v>5.04E-2</v>
      </c>
      <c r="M28">
        <v>5.04E-2</v>
      </c>
      <c r="N28">
        <f>M28</f>
        <v>5.04E-2</v>
      </c>
      <c r="O28" s="2" t="s">
        <v>102</v>
      </c>
      <c r="P28">
        <v>14.815269999999998</v>
      </c>
      <c r="Q28">
        <f t="shared" si="9"/>
        <v>2.9596664999999995</v>
      </c>
      <c r="R28">
        <f>(Q28/J28*60)/G28</f>
        <v>0.19952807865168534</v>
      </c>
      <c r="S28">
        <v>64.034279999999995</v>
      </c>
      <c r="T28">
        <f t="shared" si="10"/>
        <v>14.679791999999997</v>
      </c>
      <c r="U28">
        <f>(T28/J28*60)/G28</f>
        <v>0.98964889887640428</v>
      </c>
      <c r="V28">
        <v>21.926194500000001</v>
      </c>
      <c r="W28">
        <f t="shared" si="11"/>
        <v>5.157324225</v>
      </c>
      <c r="X28">
        <f>(W28/J28*60)/G28</f>
        <v>0.34768477921348312</v>
      </c>
      <c r="Y28">
        <v>293.12143160543826</v>
      </c>
      <c r="Z28">
        <f t="shared" si="12"/>
        <v>56.262901068394321</v>
      </c>
      <c r="AA28">
        <f t="shared" si="8"/>
        <v>3.7930045664086061</v>
      </c>
      <c r="AB28">
        <v>46.667739263042762</v>
      </c>
      <c r="AC28">
        <v>10.924129186813214</v>
      </c>
      <c r="AD28">
        <v>1.3731681167778587</v>
      </c>
      <c r="AE28">
        <v>4.9841011688053989</v>
      </c>
      <c r="AF28">
        <v>87.795751267818147</v>
      </c>
      <c r="AG28">
        <v>17.615572997814706</v>
      </c>
      <c r="AH28">
        <v>-25.714365209854407</v>
      </c>
      <c r="AI28">
        <v>9.3059036259360131</v>
      </c>
      <c r="AJ28" s="7">
        <v>8.49</v>
      </c>
      <c r="AK28" s="7" t="s">
        <v>209</v>
      </c>
      <c r="AL28" s="7" t="s">
        <v>209</v>
      </c>
      <c r="AM28" s="6">
        <v>14.272444048388209</v>
      </c>
      <c r="AN28" s="6">
        <v>483.68041721035127</v>
      </c>
      <c r="AO28" s="6">
        <v>247.4617147763864</v>
      </c>
      <c r="AP28" s="6">
        <v>12.203445979793864</v>
      </c>
      <c r="AQ28" s="6">
        <v>1214.399805</v>
      </c>
      <c r="AR28" s="6">
        <v>25948.338680000001</v>
      </c>
      <c r="AS28" s="6">
        <v>0.41236499999999998</v>
      </c>
      <c r="AT28" s="6">
        <v>10.045579999999999</v>
      </c>
      <c r="AU28" s="6">
        <v>44.272959999999998</v>
      </c>
      <c r="AV28" s="6">
        <v>17.441474999999997</v>
      </c>
      <c r="AW28" s="6">
        <v>36.730184999999999</v>
      </c>
      <c r="AX28" s="6">
        <v>106.54972000000001</v>
      </c>
      <c r="AY28" s="6">
        <v>1.1345800000000001</v>
      </c>
      <c r="AZ28" s="6">
        <v>78.850654999999989</v>
      </c>
      <c r="BA28" s="6">
        <v>2.7850000000000001</v>
      </c>
      <c r="BB28" s="6">
        <v>2.8905364968598701</v>
      </c>
      <c r="BC28" s="6">
        <v>1.9875864751916299</v>
      </c>
      <c r="BD28" s="6">
        <v>0.45810803894074598</v>
      </c>
      <c r="BE28" s="6">
        <v>0.11035015538078</v>
      </c>
      <c r="BF28" s="6">
        <v>2.1620846296293701E-2</v>
      </c>
      <c r="BG28" s="6">
        <v>1.68161575956913E-2</v>
      </c>
      <c r="BH28" s="6">
        <v>1.2857185818616199</v>
      </c>
      <c r="BI28" s="6">
        <v>0.99256402266516797</v>
      </c>
      <c r="BJ28" s="6">
        <v>1.3760047190268401</v>
      </c>
      <c r="BK28" s="6">
        <v>3.0325658720373001</v>
      </c>
      <c r="BL28" s="6">
        <v>0.75201892994873998</v>
      </c>
      <c r="BM28" s="6">
        <v>0.23966477671354999</v>
      </c>
      <c r="BN28" s="6">
        <v>0.121883668199887</v>
      </c>
      <c r="BO28" s="6">
        <v>0.119878816842869</v>
      </c>
      <c r="BP28" s="6">
        <v>5.5794800991056603E-2</v>
      </c>
      <c r="BQ28" s="6">
        <v>1.60666279426552E-2</v>
      </c>
      <c r="BR28" s="6">
        <v>0.131904635919324</v>
      </c>
      <c r="BS28" s="6">
        <v>0.126780744561339</v>
      </c>
      <c r="BT28" s="6" t="s">
        <v>31</v>
      </c>
      <c r="BU28" s="6">
        <v>0.134618176857943</v>
      </c>
      <c r="BV28" s="6">
        <v>9.075950404130545E-2</v>
      </c>
      <c r="BW28" s="6">
        <v>6.730982930009978E-2</v>
      </c>
      <c r="BX28" s="6">
        <v>9.9639695690282859E-2</v>
      </c>
      <c r="BY28" s="6">
        <v>1.0790831602627357E-2</v>
      </c>
      <c r="BZ28" s="6">
        <v>1.5561610263245079E-2</v>
      </c>
      <c r="CA28" s="6">
        <v>7.5151657626444435E-2</v>
      </c>
      <c r="CB28" s="6">
        <v>0.11605602815137467</v>
      </c>
      <c r="CC28" s="6">
        <v>0.47526915667537961</v>
      </c>
      <c r="CD28" s="6">
        <v>19.096443092623492</v>
      </c>
      <c r="CE28" s="6">
        <v>14.162465279873826</v>
      </c>
      <c r="CF28" s="6">
        <v>20.964898371963827</v>
      </c>
      <c r="CG28" s="6">
        <v>2.2704674711297868</v>
      </c>
      <c r="CH28" s="6">
        <v>3.2742731239077729</v>
      </c>
      <c r="CI28" s="6">
        <v>15.812441554623089</v>
      </c>
      <c r="CJ28" s="6">
        <v>24.419011105878212</v>
      </c>
    </row>
    <row r="29" spans="1:88" x14ac:dyDescent="0.35">
      <c r="A29">
        <v>128</v>
      </c>
      <c r="B29" t="s">
        <v>88</v>
      </c>
      <c r="C29" t="s">
        <v>130</v>
      </c>
      <c r="D29" t="s">
        <v>25</v>
      </c>
      <c r="E29" t="s">
        <v>30</v>
      </c>
      <c r="F29">
        <v>0.3</v>
      </c>
      <c r="G29">
        <v>10</v>
      </c>
      <c r="H29" s="1">
        <v>12.47</v>
      </c>
      <c r="I29" s="1">
        <v>14.15</v>
      </c>
      <c r="J29">
        <v>88</v>
      </c>
      <c r="K29">
        <v>25</v>
      </c>
      <c r="L29">
        <v>4.8099999999999997E-2</v>
      </c>
      <c r="M29">
        <v>4.8099999999999997E-2</v>
      </c>
      <c r="N29">
        <f>M29</f>
        <v>4.8099999999999997E-2</v>
      </c>
      <c r="O29" s="2" t="s">
        <v>103</v>
      </c>
      <c r="P29">
        <v>12.6928</v>
      </c>
      <c r="Q29">
        <f t="shared" si="9"/>
        <v>2.3229255000000002</v>
      </c>
      <c r="R29">
        <f>(Q29/J29*60)/G29</f>
        <v>0.1583812840909091</v>
      </c>
      <c r="S29">
        <v>55.445039999999992</v>
      </c>
      <c r="T29">
        <f t="shared" si="10"/>
        <v>12.103019999999995</v>
      </c>
      <c r="U29">
        <f>(T29/J29*60)/G29</f>
        <v>0.82520590909090874</v>
      </c>
      <c r="V29">
        <v>9.178407</v>
      </c>
      <c r="W29">
        <f t="shared" si="11"/>
        <v>1.3329879750000002</v>
      </c>
      <c r="X29">
        <f>(W29/J29*60)/G29</f>
        <v>9.0885543750000006E-2</v>
      </c>
      <c r="Y29">
        <v>219.57288121570579</v>
      </c>
      <c r="Z29">
        <f t="shared" si="12"/>
        <v>34.198335951474583</v>
      </c>
      <c r="AA29">
        <f t="shared" si="8"/>
        <v>2.3317047239641764</v>
      </c>
      <c r="AB29">
        <v>43.39079030786408</v>
      </c>
      <c r="AC29">
        <v>10.27916890394612</v>
      </c>
      <c r="AD29">
        <v>1.2970090764968623</v>
      </c>
      <c r="AE29">
        <v>4.9259800057448437</v>
      </c>
      <c r="AF29">
        <v>86.424125315096333</v>
      </c>
      <c r="AG29">
        <v>17.548849326647638</v>
      </c>
      <c r="AH29">
        <v>-25.339337007618738</v>
      </c>
      <c r="AI29">
        <v>9.5257914943886526</v>
      </c>
      <c r="AJ29" s="7">
        <v>8.49</v>
      </c>
      <c r="AK29" s="7" t="s">
        <v>209</v>
      </c>
      <c r="AL29" s="7" t="s">
        <v>209</v>
      </c>
      <c r="AM29" s="6">
        <v>14.272444048388209</v>
      </c>
      <c r="AN29" s="6">
        <v>483.68041721035127</v>
      </c>
      <c r="AO29" s="6">
        <v>247.4617147763864</v>
      </c>
      <c r="AP29" s="6">
        <v>12.203445979793864</v>
      </c>
      <c r="AQ29" s="6">
        <v>1214.399805</v>
      </c>
      <c r="AR29" s="6">
        <v>25948.338680000001</v>
      </c>
      <c r="AS29" s="6">
        <v>0.41236499999999998</v>
      </c>
      <c r="AT29" s="6">
        <v>10.045579999999999</v>
      </c>
      <c r="AU29" s="6">
        <v>44.272959999999998</v>
      </c>
      <c r="AV29" s="6">
        <v>17.441474999999997</v>
      </c>
      <c r="AW29" s="6">
        <v>36.730184999999999</v>
      </c>
      <c r="AX29" s="6">
        <v>106.54972000000001</v>
      </c>
      <c r="AY29" s="6">
        <v>1.1345800000000001</v>
      </c>
      <c r="AZ29" s="6">
        <v>78.850654999999989</v>
      </c>
      <c r="BA29" s="6">
        <v>2.7850000000000001</v>
      </c>
      <c r="BB29" s="6">
        <v>2.8905364968598701</v>
      </c>
      <c r="BC29" s="6">
        <v>1.9875864751916299</v>
      </c>
      <c r="BD29" s="6">
        <v>0.45810803894074598</v>
      </c>
      <c r="BE29" s="6">
        <v>0.11035015538078</v>
      </c>
      <c r="BF29" s="6">
        <v>2.1620846296293701E-2</v>
      </c>
      <c r="BG29" s="6">
        <v>1.68161575956913E-2</v>
      </c>
      <c r="BH29" s="6">
        <v>1.2857185818616199</v>
      </c>
      <c r="BI29" s="6">
        <v>0.99256402266516797</v>
      </c>
      <c r="BJ29" s="6">
        <v>1.3760047190268401</v>
      </c>
      <c r="BK29" s="6">
        <v>3.0325658720373001</v>
      </c>
      <c r="BL29" s="6">
        <v>0.75201892994873998</v>
      </c>
      <c r="BM29" s="6">
        <v>0.23966477671354999</v>
      </c>
      <c r="BN29" s="6">
        <v>0.121883668199887</v>
      </c>
      <c r="BO29" s="6">
        <v>0.119878816842869</v>
      </c>
      <c r="BP29" s="6">
        <v>5.5794800991056603E-2</v>
      </c>
      <c r="BQ29" s="6">
        <v>1.60666279426552E-2</v>
      </c>
      <c r="BR29" s="6">
        <v>0.131904635919324</v>
      </c>
      <c r="BS29" s="6">
        <v>0.126780744561339</v>
      </c>
      <c r="BT29" s="6" t="s">
        <v>31</v>
      </c>
      <c r="BU29" s="6">
        <v>0.134618176857943</v>
      </c>
      <c r="BV29" s="6">
        <v>9.075950404130545E-2</v>
      </c>
      <c r="BW29" s="6">
        <v>6.730982930009978E-2</v>
      </c>
      <c r="BX29" s="6">
        <v>9.9639695690282859E-2</v>
      </c>
      <c r="BY29" s="6">
        <v>1.0790831602627357E-2</v>
      </c>
      <c r="BZ29" s="6">
        <v>1.5561610263245079E-2</v>
      </c>
      <c r="CA29" s="6">
        <v>7.5151657626444435E-2</v>
      </c>
      <c r="CB29" s="6">
        <v>0.11605602815137467</v>
      </c>
      <c r="CC29" s="6">
        <v>0.47526915667537961</v>
      </c>
      <c r="CD29" s="6">
        <v>19.096443092623492</v>
      </c>
      <c r="CE29" s="6">
        <v>14.162465279873826</v>
      </c>
      <c r="CF29" s="6">
        <v>20.964898371963827</v>
      </c>
      <c r="CG29" s="6">
        <v>2.2704674711297868</v>
      </c>
      <c r="CH29" s="6">
        <v>3.2742731239077729</v>
      </c>
      <c r="CI29" s="6">
        <v>15.812441554623089</v>
      </c>
      <c r="CJ29" s="6">
        <v>24.419011105878212</v>
      </c>
    </row>
    <row r="30" spans="1:88" x14ac:dyDescent="0.35">
      <c r="A30">
        <v>129</v>
      </c>
      <c r="B30" t="s">
        <v>88</v>
      </c>
      <c r="C30" t="s">
        <v>130</v>
      </c>
      <c r="D30" t="s">
        <v>33</v>
      </c>
      <c r="E30" t="s">
        <v>30</v>
      </c>
      <c r="F30">
        <v>0.3</v>
      </c>
      <c r="G30">
        <v>0</v>
      </c>
      <c r="H30" s="1">
        <v>12.47</v>
      </c>
      <c r="I30" s="1">
        <v>13.47</v>
      </c>
      <c r="J30">
        <v>90</v>
      </c>
      <c r="K30">
        <v>25</v>
      </c>
      <c r="L30" t="s">
        <v>31</v>
      </c>
      <c r="M30" t="s">
        <v>31</v>
      </c>
      <c r="N30" t="s">
        <v>31</v>
      </c>
      <c r="O30" s="2" t="s">
        <v>102</v>
      </c>
      <c r="P30">
        <v>4.98902</v>
      </c>
      <c r="Q30">
        <f t="shared" si="9"/>
        <v>1.1791500000000177E-2</v>
      </c>
      <c r="R30" t="s">
        <v>31</v>
      </c>
      <c r="S30">
        <v>15.882479999999999</v>
      </c>
      <c r="T30">
        <f t="shared" si="10"/>
        <v>0.23425199999999985</v>
      </c>
      <c r="U30" t="s">
        <v>31</v>
      </c>
      <c r="V30">
        <v>6.9202274999999984</v>
      </c>
      <c r="W30">
        <f t="shared" si="11"/>
        <v>0.65553412499999975</v>
      </c>
      <c r="X30" t="s">
        <v>31</v>
      </c>
      <c r="Y30">
        <v>-36.53897233680884</v>
      </c>
      <c r="Z30">
        <f t="shared" si="12"/>
        <v>-42.635220114279804</v>
      </c>
      <c r="AA30" t="s">
        <v>31</v>
      </c>
      <c r="AD30" t="s">
        <v>31</v>
      </c>
      <c r="AF30" t="s">
        <v>31</v>
      </c>
      <c r="AG30" t="s">
        <v>31</v>
      </c>
      <c r="AJ30" s="7">
        <v>8.49</v>
      </c>
      <c r="AK30" s="7" t="s">
        <v>209</v>
      </c>
      <c r="AL30" s="7" t="s">
        <v>209</v>
      </c>
      <c r="AM30" s="6">
        <v>14.272444048388209</v>
      </c>
      <c r="AN30" s="6">
        <v>483.68041721035127</v>
      </c>
      <c r="AO30" s="6">
        <v>247.4617147763864</v>
      </c>
      <c r="AP30" s="6">
        <v>12.203445979793864</v>
      </c>
      <c r="AQ30" s="6">
        <v>1214.399805</v>
      </c>
      <c r="AR30" s="6">
        <v>25948.338680000001</v>
      </c>
      <c r="AS30" s="6">
        <v>0.41236499999999998</v>
      </c>
      <c r="AT30" s="6">
        <v>10.045579999999999</v>
      </c>
      <c r="AU30" s="6">
        <v>44.272959999999998</v>
      </c>
      <c r="AV30" s="6">
        <v>17.441474999999997</v>
      </c>
      <c r="AW30" s="6">
        <v>36.730184999999999</v>
      </c>
      <c r="AX30" s="6">
        <v>106.54972000000001</v>
      </c>
      <c r="AY30" s="6">
        <v>1.1345800000000001</v>
      </c>
      <c r="AZ30" s="6">
        <v>78.850654999999989</v>
      </c>
      <c r="BA30" s="6">
        <v>2.7850000000000001</v>
      </c>
      <c r="BB30" s="6">
        <v>2.8905364968598701</v>
      </c>
      <c r="BC30" s="6">
        <v>1.9875864751916299</v>
      </c>
      <c r="BD30" s="6">
        <v>0.45810803894074598</v>
      </c>
      <c r="BE30" s="6">
        <v>0.11035015538078</v>
      </c>
      <c r="BF30" s="6">
        <v>2.1620846296293701E-2</v>
      </c>
      <c r="BG30" s="6">
        <v>1.68161575956913E-2</v>
      </c>
      <c r="BH30" s="6">
        <v>1.2857185818616199</v>
      </c>
      <c r="BI30" s="6">
        <v>0.99256402266516797</v>
      </c>
      <c r="BJ30" s="6">
        <v>1.3760047190268401</v>
      </c>
      <c r="BK30" s="6">
        <v>3.0325658720373001</v>
      </c>
      <c r="BL30" s="6">
        <v>0.75201892994873998</v>
      </c>
      <c r="BM30" s="6">
        <v>0.23966477671354999</v>
      </c>
      <c r="BN30" s="6">
        <v>0.121883668199887</v>
      </c>
      <c r="BO30" s="6">
        <v>0.119878816842869</v>
      </c>
      <c r="BP30" s="6">
        <v>5.5794800991056603E-2</v>
      </c>
      <c r="BQ30" s="6">
        <v>1.60666279426552E-2</v>
      </c>
      <c r="BR30" s="6">
        <v>0.131904635919324</v>
      </c>
      <c r="BS30" s="6">
        <v>0.126780744561339</v>
      </c>
      <c r="BT30" s="6" t="s">
        <v>31</v>
      </c>
      <c r="BU30" s="6">
        <v>0.134618176857943</v>
      </c>
      <c r="BV30" s="6">
        <v>9.075950404130545E-2</v>
      </c>
      <c r="BW30" s="6">
        <v>6.730982930009978E-2</v>
      </c>
      <c r="BX30" s="6">
        <v>9.9639695690282859E-2</v>
      </c>
      <c r="BY30" s="6">
        <v>1.0790831602627357E-2</v>
      </c>
      <c r="BZ30" s="6">
        <v>1.5561610263245079E-2</v>
      </c>
      <c r="CA30" s="6">
        <v>7.5151657626444435E-2</v>
      </c>
      <c r="CB30" s="6">
        <v>0.11605602815137467</v>
      </c>
      <c r="CC30" s="6">
        <v>0.47526915667537961</v>
      </c>
      <c r="CD30" s="6">
        <v>19.096443092623492</v>
      </c>
      <c r="CE30" s="6">
        <v>14.162465279873826</v>
      </c>
      <c r="CF30" s="6">
        <v>20.964898371963827</v>
      </c>
      <c r="CG30" s="6">
        <v>2.2704674711297868</v>
      </c>
      <c r="CH30" s="6">
        <v>3.2742731239077729</v>
      </c>
      <c r="CI30" s="6">
        <v>15.812441554623089</v>
      </c>
      <c r="CJ30" s="6">
        <v>24.419011105878212</v>
      </c>
    </row>
    <row r="31" spans="1:88" x14ac:dyDescent="0.35">
      <c r="A31">
        <v>130</v>
      </c>
      <c r="B31" t="s">
        <v>88</v>
      </c>
      <c r="C31" t="s">
        <v>130</v>
      </c>
      <c r="D31" t="s">
        <v>26</v>
      </c>
      <c r="E31" t="s">
        <v>29</v>
      </c>
      <c r="F31">
        <v>3</v>
      </c>
      <c r="G31">
        <v>1</v>
      </c>
      <c r="H31" s="1">
        <v>12.56</v>
      </c>
      <c r="I31" s="1">
        <v>13.32</v>
      </c>
      <c r="J31">
        <v>36</v>
      </c>
      <c r="K31">
        <v>25</v>
      </c>
      <c r="L31" t="s">
        <v>31</v>
      </c>
      <c r="M31">
        <v>48</v>
      </c>
      <c r="N31">
        <f>M31*0.25</f>
        <v>12</v>
      </c>
      <c r="O31" s="2" t="s">
        <v>100</v>
      </c>
      <c r="P31">
        <v>18.824380000000001</v>
      </c>
      <c r="Q31">
        <f t="shared" si="9"/>
        <v>41.623995000000008</v>
      </c>
      <c r="R31">
        <f>(Q31/J31*60)/G31</f>
        <v>69.373325000000023</v>
      </c>
      <c r="S31">
        <v>657.99324000000001</v>
      </c>
      <c r="T31">
        <f t="shared" si="10"/>
        <v>1928.6748000000002</v>
      </c>
      <c r="U31">
        <f>(T31/J31*60)/G31</f>
        <v>3214.4580000000005</v>
      </c>
      <c r="V31">
        <v>50.054611500000007</v>
      </c>
      <c r="W31">
        <f t="shared" si="11"/>
        <v>135.95849325000003</v>
      </c>
      <c r="X31">
        <f>(W31/J31*60)/G31</f>
        <v>226.59748875000005</v>
      </c>
      <c r="Y31">
        <v>674.00255438915292</v>
      </c>
      <c r="Z31">
        <f t="shared" si="12"/>
        <v>1705.2723790350874</v>
      </c>
      <c r="AA31">
        <f t="shared" si="8"/>
        <v>2842.1206317251458</v>
      </c>
      <c r="AB31">
        <v>46.820824039999998</v>
      </c>
      <c r="AC31">
        <v>14.28768788</v>
      </c>
      <c r="AD31" t="s">
        <v>31</v>
      </c>
      <c r="AE31">
        <v>3.2770049609999998</v>
      </c>
      <c r="AF31" t="s">
        <v>31</v>
      </c>
      <c r="AG31" t="s">
        <v>31</v>
      </c>
      <c r="AH31">
        <v>-23.886097759999998</v>
      </c>
      <c r="AI31">
        <v>12.58401098</v>
      </c>
      <c r="AJ31" s="7">
        <v>8.49</v>
      </c>
      <c r="AK31" s="7" t="s">
        <v>209</v>
      </c>
      <c r="AL31" s="7" t="s">
        <v>209</v>
      </c>
      <c r="AM31" s="6">
        <v>14.272444048388209</v>
      </c>
      <c r="AN31" s="6">
        <v>483.68041721035127</v>
      </c>
      <c r="AO31" s="6">
        <v>247.4617147763864</v>
      </c>
      <c r="AP31" s="6">
        <v>12.203445979793864</v>
      </c>
      <c r="AQ31" s="6">
        <v>1214.399805</v>
      </c>
      <c r="AR31" s="6">
        <v>25948.338680000001</v>
      </c>
      <c r="AS31" s="6">
        <v>0.41236499999999998</v>
      </c>
      <c r="AT31" s="6">
        <v>10.045579999999999</v>
      </c>
      <c r="AU31" s="6">
        <v>44.272959999999998</v>
      </c>
      <c r="AV31" s="6">
        <v>17.441474999999997</v>
      </c>
      <c r="AW31" s="6">
        <v>36.730184999999999</v>
      </c>
      <c r="AX31" s="6">
        <v>106.54972000000001</v>
      </c>
      <c r="AY31" s="6">
        <v>1.1345800000000001</v>
      </c>
      <c r="AZ31" s="6">
        <v>78.850654999999989</v>
      </c>
      <c r="BA31" s="6">
        <v>2.7850000000000001</v>
      </c>
      <c r="BB31" s="6">
        <v>2.8905364968598701</v>
      </c>
      <c r="BC31" s="6">
        <v>1.9875864751916299</v>
      </c>
      <c r="BD31" s="6">
        <v>0.45810803894074598</v>
      </c>
      <c r="BE31" s="6">
        <v>0.11035015538078</v>
      </c>
      <c r="BF31" s="6">
        <v>2.1620846296293701E-2</v>
      </c>
      <c r="BG31" s="6">
        <v>1.68161575956913E-2</v>
      </c>
      <c r="BH31" s="6">
        <v>1.2857185818616199</v>
      </c>
      <c r="BI31" s="6">
        <v>0.99256402266516797</v>
      </c>
      <c r="BJ31" s="6">
        <v>1.3760047190268401</v>
      </c>
      <c r="BK31" s="6">
        <v>3.0325658720373001</v>
      </c>
      <c r="BL31" s="6">
        <v>0.75201892994873998</v>
      </c>
      <c r="BM31" s="6">
        <v>0.23966477671354999</v>
      </c>
      <c r="BN31" s="6">
        <v>0.121883668199887</v>
      </c>
      <c r="BO31" s="6">
        <v>0.119878816842869</v>
      </c>
      <c r="BP31" s="6">
        <v>5.5794800991056603E-2</v>
      </c>
      <c r="BQ31" s="6">
        <v>1.60666279426552E-2</v>
      </c>
      <c r="BR31" s="6">
        <v>0.131904635919324</v>
      </c>
      <c r="BS31" s="6">
        <v>0.126780744561339</v>
      </c>
      <c r="BT31" s="6" t="s">
        <v>31</v>
      </c>
      <c r="BU31" s="6">
        <v>0.134618176857943</v>
      </c>
      <c r="BV31" s="6">
        <v>9.075950404130545E-2</v>
      </c>
      <c r="BW31" s="6">
        <v>6.730982930009978E-2</v>
      </c>
      <c r="BX31" s="6">
        <v>9.9639695690282859E-2</v>
      </c>
      <c r="BY31" s="6">
        <v>1.0790831602627357E-2</v>
      </c>
      <c r="BZ31" s="6">
        <v>1.5561610263245079E-2</v>
      </c>
      <c r="CA31" s="6">
        <v>7.5151657626444435E-2</v>
      </c>
      <c r="CB31" s="6">
        <v>0.11605602815137467</v>
      </c>
      <c r="CC31" s="6">
        <v>0.47526915667537961</v>
      </c>
      <c r="CD31" s="6">
        <v>19.096443092623492</v>
      </c>
      <c r="CE31" s="6">
        <v>14.162465279873826</v>
      </c>
      <c r="CF31" s="6">
        <v>20.964898371963827</v>
      </c>
      <c r="CG31" s="6">
        <v>2.2704674711297868</v>
      </c>
      <c r="CH31" s="6">
        <v>3.2742731239077729</v>
      </c>
      <c r="CI31" s="6">
        <v>15.812441554623089</v>
      </c>
      <c r="CJ31" s="6">
        <v>24.419011105878212</v>
      </c>
    </row>
    <row r="32" spans="1:88" x14ac:dyDescent="0.35">
      <c r="A32">
        <v>131</v>
      </c>
      <c r="B32" t="s">
        <v>88</v>
      </c>
      <c r="C32" t="s">
        <v>130</v>
      </c>
      <c r="D32" t="s">
        <v>35</v>
      </c>
      <c r="E32" t="s">
        <v>29</v>
      </c>
      <c r="F32">
        <v>2</v>
      </c>
      <c r="G32">
        <v>0</v>
      </c>
      <c r="H32" s="1">
        <v>12.56</v>
      </c>
      <c r="I32" s="1">
        <v>12.56</v>
      </c>
      <c r="J32">
        <v>30</v>
      </c>
      <c r="K32">
        <v>25</v>
      </c>
      <c r="L32" t="s">
        <v>31</v>
      </c>
      <c r="M32" t="s">
        <v>31</v>
      </c>
      <c r="N32" t="s">
        <v>31</v>
      </c>
      <c r="O32" s="2" t="s">
        <v>100</v>
      </c>
      <c r="P32">
        <v>4.9104099999999997</v>
      </c>
      <c r="Q32">
        <f t="shared" si="9"/>
        <v>-7.8609999999999403E-2</v>
      </c>
      <c r="R32" t="s">
        <v>31</v>
      </c>
      <c r="S32">
        <v>14.320799999999998</v>
      </c>
      <c r="T32">
        <f t="shared" si="10"/>
        <v>-1.5616800000000026</v>
      </c>
      <c r="U32" t="s">
        <v>31</v>
      </c>
      <c r="V32">
        <v>-2.4038684999999993</v>
      </c>
      <c r="W32">
        <f t="shared" si="11"/>
        <v>-14.277964499999996</v>
      </c>
      <c r="X32" t="s">
        <v>31</v>
      </c>
      <c r="Y32">
        <v>105.57842804412385</v>
      </c>
      <c r="Z32">
        <f t="shared" si="12"/>
        <v>0</v>
      </c>
      <c r="AA32" t="s">
        <v>31</v>
      </c>
      <c r="AD32" t="s">
        <v>31</v>
      </c>
      <c r="AF32" t="s">
        <v>31</v>
      </c>
      <c r="AG32" t="s">
        <v>31</v>
      </c>
      <c r="AJ32" s="7">
        <v>8.49</v>
      </c>
      <c r="AK32" s="7" t="s">
        <v>209</v>
      </c>
      <c r="AL32" s="7" t="s">
        <v>209</v>
      </c>
      <c r="AM32" s="6">
        <v>14.272444048388209</v>
      </c>
      <c r="AN32" s="6">
        <v>483.68041721035127</v>
      </c>
      <c r="AO32" s="6">
        <v>247.4617147763864</v>
      </c>
      <c r="AP32" s="6">
        <v>12.203445979793864</v>
      </c>
      <c r="AQ32" s="6">
        <v>1214.399805</v>
      </c>
      <c r="AR32" s="6">
        <v>25948.338680000001</v>
      </c>
      <c r="AS32" s="6">
        <v>0.41236499999999998</v>
      </c>
      <c r="AT32" s="6">
        <v>10.045579999999999</v>
      </c>
      <c r="AU32" s="6">
        <v>44.272959999999998</v>
      </c>
      <c r="AV32" s="6">
        <v>17.441474999999997</v>
      </c>
      <c r="AW32" s="6">
        <v>36.730184999999999</v>
      </c>
      <c r="AX32" s="6">
        <v>106.54972000000001</v>
      </c>
      <c r="AY32" s="6">
        <v>1.1345800000000001</v>
      </c>
      <c r="AZ32" s="6">
        <v>78.850654999999989</v>
      </c>
      <c r="BA32" s="6">
        <v>2.7850000000000001</v>
      </c>
      <c r="BB32" s="6">
        <v>2.8905364968598701</v>
      </c>
      <c r="BC32" s="6">
        <v>1.9875864751916299</v>
      </c>
      <c r="BD32" s="6">
        <v>0.45810803894074598</v>
      </c>
      <c r="BE32" s="6">
        <v>0.11035015538078</v>
      </c>
      <c r="BF32" s="6">
        <v>2.1620846296293701E-2</v>
      </c>
      <c r="BG32" s="6">
        <v>1.68161575956913E-2</v>
      </c>
      <c r="BH32" s="6">
        <v>1.2857185818616199</v>
      </c>
      <c r="BI32" s="6">
        <v>0.99256402266516797</v>
      </c>
      <c r="BJ32" s="6">
        <v>1.3760047190268401</v>
      </c>
      <c r="BK32" s="6">
        <v>3.0325658720373001</v>
      </c>
      <c r="BL32" s="6">
        <v>0.75201892994873998</v>
      </c>
      <c r="BM32" s="6">
        <v>0.23966477671354999</v>
      </c>
      <c r="BN32" s="6">
        <v>0.121883668199887</v>
      </c>
      <c r="BO32" s="6">
        <v>0.119878816842869</v>
      </c>
      <c r="BP32" s="6">
        <v>5.5794800991056603E-2</v>
      </c>
      <c r="BQ32" s="6">
        <v>1.60666279426552E-2</v>
      </c>
      <c r="BR32" s="6">
        <v>0.131904635919324</v>
      </c>
      <c r="BS32" s="6">
        <v>0.126780744561339</v>
      </c>
      <c r="BT32" s="6" t="s">
        <v>31</v>
      </c>
      <c r="BU32" s="6">
        <v>0.134618176857943</v>
      </c>
      <c r="BV32" s="6">
        <v>9.075950404130545E-2</v>
      </c>
      <c r="BW32" s="6">
        <v>6.730982930009978E-2</v>
      </c>
      <c r="BX32" s="6">
        <v>9.9639695690282859E-2</v>
      </c>
      <c r="BY32" s="6">
        <v>1.0790831602627357E-2</v>
      </c>
      <c r="BZ32" s="6">
        <v>1.5561610263245079E-2</v>
      </c>
      <c r="CA32" s="6">
        <v>7.5151657626444435E-2</v>
      </c>
      <c r="CB32" s="6">
        <v>0.11605602815137467</v>
      </c>
      <c r="CC32" s="6">
        <v>0.47526915667537961</v>
      </c>
      <c r="CD32" s="6">
        <v>19.096443092623492</v>
      </c>
      <c r="CE32" s="6">
        <v>14.162465279873826</v>
      </c>
      <c r="CF32" s="6">
        <v>20.964898371963827</v>
      </c>
      <c r="CG32" s="6">
        <v>2.2704674711297868</v>
      </c>
      <c r="CH32" s="6">
        <v>3.2742731239077729</v>
      </c>
      <c r="CI32" s="6">
        <v>15.812441554623089</v>
      </c>
      <c r="CJ32" s="6">
        <v>24.419011105878212</v>
      </c>
    </row>
    <row r="33" spans="1:88" x14ac:dyDescent="0.35">
      <c r="A33">
        <v>132</v>
      </c>
      <c r="B33" t="s">
        <v>89</v>
      </c>
      <c r="C33" t="s">
        <v>130</v>
      </c>
      <c r="D33" t="s">
        <v>20</v>
      </c>
      <c r="E33" t="s">
        <v>65</v>
      </c>
      <c r="F33">
        <v>0.5</v>
      </c>
      <c r="G33">
        <v>1</v>
      </c>
      <c r="H33" s="1">
        <v>11.01</v>
      </c>
      <c r="I33" s="1">
        <v>11.34</v>
      </c>
      <c r="J33">
        <v>33</v>
      </c>
      <c r="K33">
        <v>23.3</v>
      </c>
      <c r="L33" t="s">
        <v>31</v>
      </c>
      <c r="M33">
        <v>41</v>
      </c>
      <c r="N33">
        <f t="shared" ref="N33:N41" si="13">M33*0.25</f>
        <v>10.25</v>
      </c>
      <c r="O33" s="2" t="s">
        <v>104</v>
      </c>
      <c r="P33">
        <v>323.35951999999997</v>
      </c>
      <c r="Q33">
        <f t="shared" ref="Q33:Q47" si="14">(P33-AVERAGE($P$43,$P$47))*F33</f>
        <v>158.57602249999999</v>
      </c>
      <c r="R33">
        <f t="shared" ref="R33:R42" si="15">(Q33/J33*60)/G33</f>
        <v>288.32004090909089</v>
      </c>
      <c r="S33">
        <v>1042.4267999999997</v>
      </c>
      <c r="T33">
        <f t="shared" ref="T33:T47" si="16">(S33-AVERAGE($S$43,$S$47))*F33</f>
        <v>508.52204999999987</v>
      </c>
      <c r="U33">
        <f t="shared" ref="U33:U42" si="17">(T33/J33*60)/G33</f>
        <v>924.58554545454524</v>
      </c>
      <c r="V33">
        <v>644.356539</v>
      </c>
      <c r="W33">
        <f>(V33-AVERAGE($V$43,(5.1/2)))*F32</f>
        <v>1277.0575154999999</v>
      </c>
      <c r="X33">
        <f t="shared" ref="X33:X42" si="18">(W33/J33*60)/G33</f>
        <v>2321.9227554545455</v>
      </c>
      <c r="Y33">
        <v>3538.9192412608031</v>
      </c>
      <c r="Z33">
        <f>(Y33-AVERAGE($Y$43,$Y$47))*F33</f>
        <v>1689.1466667631139</v>
      </c>
      <c r="AA33">
        <f t="shared" si="8"/>
        <v>3071.1757577511162</v>
      </c>
      <c r="AD33" t="s">
        <v>31</v>
      </c>
      <c r="AF33" t="s">
        <v>31</v>
      </c>
      <c r="AG33" t="s">
        <v>31</v>
      </c>
      <c r="AJ33">
        <v>8.4700000000000006</v>
      </c>
      <c r="AK33" t="s">
        <v>209</v>
      </c>
      <c r="AL33" t="s">
        <v>209</v>
      </c>
      <c r="AM33">
        <v>11.105963802742538</v>
      </c>
      <c r="AN33">
        <v>349.50187510738766</v>
      </c>
      <c r="AO33">
        <v>154.26224357580398</v>
      </c>
      <c r="AP33">
        <v>6.5129684331604309</v>
      </c>
      <c r="AQ33">
        <v>977.21013500000004</v>
      </c>
      <c r="AR33">
        <v>23667.102175</v>
      </c>
      <c r="AS33">
        <v>0.34913</v>
      </c>
      <c r="AT33">
        <v>7.1194249999999997</v>
      </c>
      <c r="AU33">
        <v>12.855995</v>
      </c>
      <c r="AV33">
        <v>3.6722299999999999</v>
      </c>
      <c r="AW33">
        <v>27.063825000000001</v>
      </c>
      <c r="AX33">
        <v>91.942084999999992</v>
      </c>
      <c r="AY33">
        <v>0.70595999999999992</v>
      </c>
      <c r="AZ33">
        <v>53.014785000000003</v>
      </c>
      <c r="BA33">
        <v>2.2690000000000001</v>
      </c>
      <c r="BB33">
        <v>2.1762986860025899</v>
      </c>
      <c r="BC33">
        <v>1.3647001187228001</v>
      </c>
      <c r="BD33">
        <v>0.29302172826226203</v>
      </c>
      <c r="BE33">
        <v>8.0565156459535603E-2</v>
      </c>
      <c r="BF33">
        <v>2.6752190410289801E-2</v>
      </c>
      <c r="BG33">
        <v>1.6297522855873901E-2</v>
      </c>
      <c r="BH33">
        <v>1.64148813576584</v>
      </c>
      <c r="BI33">
        <v>0.60812421921279103</v>
      </c>
      <c r="BJ33">
        <v>1.5498438311012299</v>
      </c>
      <c r="BK33">
        <v>3.2021905828271602</v>
      </c>
      <c r="BL33">
        <v>0.76202887986883805</v>
      </c>
      <c r="BM33">
        <v>0.169395869358866</v>
      </c>
      <c r="BN33">
        <v>4.17796100161172E-2</v>
      </c>
      <c r="BO33">
        <v>8.2216389132537496E-2</v>
      </c>
      <c r="BP33">
        <v>4.2639602375306E-2</v>
      </c>
      <c r="BQ33">
        <v>1.05139037327278E-2</v>
      </c>
      <c r="BR33">
        <v>9.9945088381935707E-2</v>
      </c>
      <c r="BS33">
        <v>7.7852127541559193E-2</v>
      </c>
      <c r="BT33" t="s">
        <v>31</v>
      </c>
      <c r="BU33">
        <v>6.8658109721587104E-2</v>
      </c>
      <c r="BV33">
        <v>5.8816905793324187E-2</v>
      </c>
      <c r="BW33">
        <v>3.812722718711517E-2</v>
      </c>
      <c r="BX33">
        <v>6.1890640725397655E-2</v>
      </c>
      <c r="BY33">
        <v>9.6477979368313274E-3</v>
      </c>
      <c r="BZ33">
        <v>7.5027487608367392E-3</v>
      </c>
      <c r="CA33">
        <v>6.5927325596186304E-2</v>
      </c>
      <c r="CB33">
        <v>7.5172654191082433E-2</v>
      </c>
      <c r="CC33">
        <v>0.3170853001907738</v>
      </c>
      <c r="CD33">
        <v>18.549237620897941</v>
      </c>
      <c r="CE33">
        <v>12.024280899863852</v>
      </c>
      <c r="CF33">
        <v>19.518609247467879</v>
      </c>
      <c r="CG33">
        <v>3.0426506466956202</v>
      </c>
      <c r="CH33">
        <v>2.3661610160807593</v>
      </c>
      <c r="CI33">
        <v>20.791668852678207</v>
      </c>
      <c r="CJ33">
        <v>23.707391716315747</v>
      </c>
    </row>
    <row r="34" spans="1:88" x14ac:dyDescent="0.35">
      <c r="A34">
        <v>133</v>
      </c>
      <c r="B34" t="s">
        <v>89</v>
      </c>
      <c r="C34" t="s">
        <v>130</v>
      </c>
      <c r="D34" t="s">
        <v>20</v>
      </c>
      <c r="E34" t="s">
        <v>65</v>
      </c>
      <c r="F34">
        <v>0.7</v>
      </c>
      <c r="G34">
        <v>1</v>
      </c>
      <c r="H34" s="1">
        <v>11.03</v>
      </c>
      <c r="I34" s="1">
        <v>11.36</v>
      </c>
      <c r="J34">
        <v>33</v>
      </c>
      <c r="K34">
        <v>23.3</v>
      </c>
      <c r="L34" t="s">
        <v>31</v>
      </c>
      <c r="M34">
        <v>56</v>
      </c>
      <c r="N34">
        <f t="shared" si="13"/>
        <v>14</v>
      </c>
      <c r="O34" s="2" t="s">
        <v>100</v>
      </c>
      <c r="P34">
        <v>225.01841000000002</v>
      </c>
      <c r="Q34">
        <f t="shared" si="14"/>
        <v>153.1676545</v>
      </c>
      <c r="R34">
        <f t="shared" si="15"/>
        <v>278.48664454545457</v>
      </c>
      <c r="S34">
        <v>889.12187999999992</v>
      </c>
      <c r="T34">
        <f t="shared" si="16"/>
        <v>604.61742599999991</v>
      </c>
      <c r="U34">
        <f t="shared" si="17"/>
        <v>1099.3044109090906</v>
      </c>
      <c r="V34">
        <v>441.09126150000003</v>
      </c>
      <c r="W34">
        <f t="shared" ref="W34:W47" si="19">(V34-AVERAGE($V$43,(5.1/2)))*F33</f>
        <v>217.63174012500002</v>
      </c>
      <c r="X34">
        <f t="shared" si="18"/>
        <v>395.6940729545455</v>
      </c>
      <c r="Y34">
        <v>2023.7464032246357</v>
      </c>
      <c r="Z34">
        <f t="shared" ref="Z34:Z47" si="20">(Y34-AVERAGE($Y$43,$Y$47))*F34</f>
        <v>1304.184346843042</v>
      </c>
      <c r="AA34">
        <f t="shared" si="8"/>
        <v>2371.244266987349</v>
      </c>
      <c r="AD34" t="s">
        <v>31</v>
      </c>
      <c r="AF34" t="s">
        <v>31</v>
      </c>
      <c r="AG34" t="s">
        <v>31</v>
      </c>
      <c r="AJ34">
        <v>8.4700000000000006</v>
      </c>
      <c r="AK34" t="s">
        <v>209</v>
      </c>
      <c r="AL34" t="s">
        <v>209</v>
      </c>
      <c r="AM34">
        <v>11.105963802742538</v>
      </c>
      <c r="AN34">
        <v>349.50187510738766</v>
      </c>
      <c r="AO34">
        <v>154.26224357580398</v>
      </c>
      <c r="AP34">
        <v>6.5129684331604309</v>
      </c>
      <c r="AQ34">
        <v>977.21013500000004</v>
      </c>
      <c r="AR34">
        <v>23667.102175</v>
      </c>
      <c r="AS34">
        <v>0.34913</v>
      </c>
      <c r="AT34">
        <v>7.1194249999999997</v>
      </c>
      <c r="AU34">
        <v>12.855995</v>
      </c>
      <c r="AV34">
        <v>3.6722299999999999</v>
      </c>
      <c r="AW34">
        <v>27.063825000000001</v>
      </c>
      <c r="AX34">
        <v>91.942084999999992</v>
      </c>
      <c r="AY34">
        <v>0.70595999999999992</v>
      </c>
      <c r="AZ34">
        <v>53.014785000000003</v>
      </c>
      <c r="BA34">
        <v>2.2690000000000001</v>
      </c>
      <c r="BB34">
        <v>2.1762986860025899</v>
      </c>
      <c r="BC34">
        <v>1.3647001187228001</v>
      </c>
      <c r="BD34">
        <v>0.29302172826226203</v>
      </c>
      <c r="BE34">
        <v>8.0565156459535603E-2</v>
      </c>
      <c r="BF34">
        <v>2.6752190410289801E-2</v>
      </c>
      <c r="BG34">
        <v>1.6297522855873901E-2</v>
      </c>
      <c r="BH34">
        <v>1.64148813576584</v>
      </c>
      <c r="BI34">
        <v>0.60812421921279103</v>
      </c>
      <c r="BJ34">
        <v>1.5498438311012299</v>
      </c>
      <c r="BK34">
        <v>3.2021905828271602</v>
      </c>
      <c r="BL34">
        <v>0.76202887986883805</v>
      </c>
      <c r="BM34">
        <v>0.169395869358866</v>
      </c>
      <c r="BN34">
        <v>4.17796100161172E-2</v>
      </c>
      <c r="BO34">
        <v>8.2216389132537496E-2</v>
      </c>
      <c r="BP34">
        <v>4.2639602375306E-2</v>
      </c>
      <c r="BQ34">
        <v>1.05139037327278E-2</v>
      </c>
      <c r="BR34">
        <v>9.9945088381935707E-2</v>
      </c>
      <c r="BS34">
        <v>7.7852127541559193E-2</v>
      </c>
      <c r="BT34" t="s">
        <v>31</v>
      </c>
      <c r="BU34">
        <v>6.8658109721587104E-2</v>
      </c>
      <c r="BV34">
        <v>5.8816905793324187E-2</v>
      </c>
      <c r="BW34">
        <v>3.812722718711517E-2</v>
      </c>
      <c r="BX34">
        <v>6.1890640725397655E-2</v>
      </c>
      <c r="BY34">
        <v>9.6477979368313274E-3</v>
      </c>
      <c r="BZ34">
        <v>7.5027487608367392E-3</v>
      </c>
      <c r="CA34">
        <v>6.5927325596186304E-2</v>
      </c>
      <c r="CB34">
        <v>7.5172654191082433E-2</v>
      </c>
      <c r="CC34">
        <v>0.3170853001907738</v>
      </c>
      <c r="CD34">
        <v>18.549237620897941</v>
      </c>
      <c r="CE34">
        <v>12.024280899863852</v>
      </c>
      <c r="CF34">
        <v>19.518609247467879</v>
      </c>
      <c r="CG34">
        <v>3.0426506466956202</v>
      </c>
      <c r="CH34">
        <v>2.3661610160807593</v>
      </c>
      <c r="CI34">
        <v>20.791668852678207</v>
      </c>
      <c r="CJ34">
        <v>23.707391716315747</v>
      </c>
    </row>
    <row r="35" spans="1:88" x14ac:dyDescent="0.35">
      <c r="A35">
        <v>134</v>
      </c>
      <c r="B35" t="s">
        <v>89</v>
      </c>
      <c r="C35" t="s">
        <v>130</v>
      </c>
      <c r="D35" t="s">
        <v>62</v>
      </c>
      <c r="E35" t="s">
        <v>29</v>
      </c>
      <c r="F35">
        <v>6</v>
      </c>
      <c r="G35">
        <v>1</v>
      </c>
      <c r="H35" s="1">
        <v>11.08</v>
      </c>
      <c r="I35" s="1">
        <v>11.38</v>
      </c>
      <c r="J35">
        <v>30</v>
      </c>
      <c r="K35">
        <v>23.3</v>
      </c>
      <c r="L35" t="s">
        <v>31</v>
      </c>
      <c r="M35">
        <v>524</v>
      </c>
      <c r="N35">
        <f t="shared" si="13"/>
        <v>131</v>
      </c>
      <c r="O35" s="2" t="s">
        <v>104</v>
      </c>
      <c r="P35">
        <v>143.26400999999998</v>
      </c>
      <c r="Q35">
        <f t="shared" si="14"/>
        <v>822.33920999999998</v>
      </c>
      <c r="R35">
        <f t="shared" si="15"/>
        <v>1644.67842</v>
      </c>
      <c r="S35">
        <v>627.80075999999985</v>
      </c>
      <c r="T35">
        <f t="shared" si="16"/>
        <v>3614.5083599999989</v>
      </c>
      <c r="U35">
        <f t="shared" si="17"/>
        <v>7229.0167199999978</v>
      </c>
      <c r="V35">
        <v>319.72233900000003</v>
      </c>
      <c r="W35">
        <f t="shared" si="19"/>
        <v>219.72619042500003</v>
      </c>
      <c r="X35">
        <f t="shared" si="18"/>
        <v>439.45238085000005</v>
      </c>
      <c r="Y35">
        <v>1433.5514714053629</v>
      </c>
      <c r="Z35">
        <f t="shared" si="20"/>
        <v>7637.5533820247238</v>
      </c>
      <c r="AA35">
        <f t="shared" si="8"/>
        <v>15275.106764049448</v>
      </c>
      <c r="AB35">
        <v>44.942498649999997</v>
      </c>
      <c r="AC35">
        <v>14.150903189999999</v>
      </c>
      <c r="AD35" t="s">
        <v>31</v>
      </c>
      <c r="AE35">
        <v>3.175945595</v>
      </c>
      <c r="AF35" t="s">
        <v>31</v>
      </c>
      <c r="AG35" t="s">
        <v>31</v>
      </c>
      <c r="AH35">
        <v>-23.480379859999999</v>
      </c>
      <c r="AI35">
        <v>11.50440961</v>
      </c>
      <c r="AJ35">
        <v>8.4700000000000006</v>
      </c>
      <c r="AK35" t="s">
        <v>209</v>
      </c>
      <c r="AL35" t="s">
        <v>209</v>
      </c>
      <c r="AM35">
        <v>11.105963802742538</v>
      </c>
      <c r="AN35">
        <v>349.50187510738766</v>
      </c>
      <c r="AO35">
        <v>154.26224357580398</v>
      </c>
      <c r="AP35">
        <v>6.5129684331604309</v>
      </c>
      <c r="AQ35">
        <v>977.21013500000004</v>
      </c>
      <c r="AR35">
        <v>23667.102175</v>
      </c>
      <c r="AS35">
        <v>0.34913</v>
      </c>
      <c r="AT35">
        <v>7.1194249999999997</v>
      </c>
      <c r="AU35">
        <v>12.855995</v>
      </c>
      <c r="AV35">
        <v>3.6722299999999999</v>
      </c>
      <c r="AW35">
        <v>27.063825000000001</v>
      </c>
      <c r="AX35">
        <v>91.942084999999992</v>
      </c>
      <c r="AY35">
        <v>0.70595999999999992</v>
      </c>
      <c r="AZ35">
        <v>53.014785000000003</v>
      </c>
      <c r="BA35">
        <v>2.2690000000000001</v>
      </c>
      <c r="BB35">
        <v>2.1762986860025899</v>
      </c>
      <c r="BC35">
        <v>1.3647001187228001</v>
      </c>
      <c r="BD35">
        <v>0.29302172826226203</v>
      </c>
      <c r="BE35">
        <v>8.0565156459535603E-2</v>
      </c>
      <c r="BF35">
        <v>2.6752190410289801E-2</v>
      </c>
      <c r="BG35">
        <v>1.6297522855873901E-2</v>
      </c>
      <c r="BH35">
        <v>1.64148813576584</v>
      </c>
      <c r="BI35">
        <v>0.60812421921279103</v>
      </c>
      <c r="BJ35">
        <v>1.5498438311012299</v>
      </c>
      <c r="BK35">
        <v>3.2021905828271602</v>
      </c>
      <c r="BL35">
        <v>0.76202887986883805</v>
      </c>
      <c r="BM35">
        <v>0.169395869358866</v>
      </c>
      <c r="BN35">
        <v>4.17796100161172E-2</v>
      </c>
      <c r="BO35">
        <v>8.2216389132537496E-2</v>
      </c>
      <c r="BP35">
        <v>4.2639602375306E-2</v>
      </c>
      <c r="BQ35">
        <v>1.05139037327278E-2</v>
      </c>
      <c r="BR35">
        <v>9.9945088381935707E-2</v>
      </c>
      <c r="BS35">
        <v>7.7852127541559193E-2</v>
      </c>
      <c r="BT35" t="s">
        <v>31</v>
      </c>
      <c r="BU35">
        <v>6.8658109721587104E-2</v>
      </c>
      <c r="BV35">
        <v>5.8816905793324187E-2</v>
      </c>
      <c r="BW35">
        <v>3.812722718711517E-2</v>
      </c>
      <c r="BX35">
        <v>6.1890640725397655E-2</v>
      </c>
      <c r="BY35">
        <v>9.6477979368313274E-3</v>
      </c>
      <c r="BZ35">
        <v>7.5027487608367392E-3</v>
      </c>
      <c r="CA35">
        <v>6.5927325596186304E-2</v>
      </c>
      <c r="CB35">
        <v>7.5172654191082433E-2</v>
      </c>
      <c r="CC35">
        <v>0.3170853001907738</v>
      </c>
      <c r="CD35">
        <v>18.549237620897941</v>
      </c>
      <c r="CE35">
        <v>12.024280899863852</v>
      </c>
      <c r="CF35">
        <v>19.518609247467879</v>
      </c>
      <c r="CG35">
        <v>3.0426506466956202</v>
      </c>
      <c r="CH35">
        <v>2.3661610160807593</v>
      </c>
      <c r="CI35">
        <v>20.791668852678207</v>
      </c>
      <c r="CJ35">
        <v>23.707391716315747</v>
      </c>
    </row>
    <row r="36" spans="1:88" x14ac:dyDescent="0.35">
      <c r="A36">
        <v>135</v>
      </c>
      <c r="B36" t="s">
        <v>89</v>
      </c>
      <c r="C36" t="s">
        <v>130</v>
      </c>
      <c r="D36" t="s">
        <v>62</v>
      </c>
      <c r="E36" t="s">
        <v>29</v>
      </c>
      <c r="F36">
        <v>6</v>
      </c>
      <c r="G36">
        <v>1</v>
      </c>
      <c r="H36" s="1">
        <v>11.12</v>
      </c>
      <c r="I36" s="1">
        <v>11.46</v>
      </c>
      <c r="J36">
        <v>34</v>
      </c>
      <c r="K36">
        <v>23.3</v>
      </c>
      <c r="L36" t="s">
        <v>31</v>
      </c>
      <c r="M36">
        <v>614</v>
      </c>
      <c r="N36">
        <f t="shared" si="13"/>
        <v>153.5</v>
      </c>
      <c r="O36" s="2" t="s">
        <v>100</v>
      </c>
      <c r="P36">
        <v>316.59906000000001</v>
      </c>
      <c r="Q36">
        <f t="shared" si="14"/>
        <v>1862.34951</v>
      </c>
      <c r="R36">
        <f t="shared" si="15"/>
        <v>3286.4991352941179</v>
      </c>
      <c r="S36">
        <v>508.59251999999992</v>
      </c>
      <c r="T36">
        <f t="shared" si="16"/>
        <v>2899.2589199999993</v>
      </c>
      <c r="U36">
        <f t="shared" si="17"/>
        <v>5116.3392705882343</v>
      </c>
      <c r="V36">
        <v>585.33213899999998</v>
      </c>
      <c r="W36">
        <f t="shared" si="19"/>
        <v>3477.0261464999994</v>
      </c>
      <c r="X36">
        <f t="shared" si="18"/>
        <v>6135.9284938235287</v>
      </c>
      <c r="Y36">
        <v>1992.8131376452836</v>
      </c>
      <c r="Z36">
        <f t="shared" si="20"/>
        <v>10993.123379464249</v>
      </c>
      <c r="AA36">
        <f t="shared" si="8"/>
        <v>19399.629493172204</v>
      </c>
      <c r="AB36">
        <v>43.323799899999997</v>
      </c>
      <c r="AC36">
        <v>12.7768157</v>
      </c>
      <c r="AD36" t="s">
        <v>31</v>
      </c>
      <c r="AE36">
        <v>3.390813557</v>
      </c>
      <c r="AF36" t="s">
        <v>31</v>
      </c>
      <c r="AG36" t="s">
        <v>31</v>
      </c>
      <c r="AH36">
        <v>-24.30874549</v>
      </c>
      <c r="AI36">
        <v>10.85945626</v>
      </c>
      <c r="AJ36">
        <v>8.4700000000000006</v>
      </c>
      <c r="AK36" t="s">
        <v>209</v>
      </c>
      <c r="AL36" t="s">
        <v>209</v>
      </c>
      <c r="AM36">
        <v>11.105963802742538</v>
      </c>
      <c r="AN36">
        <v>349.50187510738766</v>
      </c>
      <c r="AO36">
        <v>154.26224357580398</v>
      </c>
      <c r="AP36">
        <v>6.5129684331604309</v>
      </c>
      <c r="AQ36">
        <v>977.21013500000004</v>
      </c>
      <c r="AR36">
        <v>23667.102175</v>
      </c>
      <c r="AS36">
        <v>0.34913</v>
      </c>
      <c r="AT36">
        <v>7.1194249999999997</v>
      </c>
      <c r="AU36">
        <v>12.855995</v>
      </c>
      <c r="AV36">
        <v>3.6722299999999999</v>
      </c>
      <c r="AW36">
        <v>27.063825000000001</v>
      </c>
      <c r="AX36">
        <v>91.942084999999992</v>
      </c>
      <c r="AY36">
        <v>0.70595999999999992</v>
      </c>
      <c r="AZ36">
        <v>53.014785000000003</v>
      </c>
      <c r="BA36">
        <v>2.2690000000000001</v>
      </c>
      <c r="BB36">
        <v>2.1762986860025899</v>
      </c>
      <c r="BC36">
        <v>1.3647001187228001</v>
      </c>
      <c r="BD36">
        <v>0.29302172826226203</v>
      </c>
      <c r="BE36">
        <v>8.0565156459535603E-2</v>
      </c>
      <c r="BF36">
        <v>2.6752190410289801E-2</v>
      </c>
      <c r="BG36">
        <v>1.6297522855873901E-2</v>
      </c>
      <c r="BH36">
        <v>1.64148813576584</v>
      </c>
      <c r="BI36">
        <v>0.60812421921279103</v>
      </c>
      <c r="BJ36">
        <v>1.5498438311012299</v>
      </c>
      <c r="BK36">
        <v>3.2021905828271602</v>
      </c>
      <c r="BL36">
        <v>0.76202887986883805</v>
      </c>
      <c r="BM36">
        <v>0.169395869358866</v>
      </c>
      <c r="BN36">
        <v>4.17796100161172E-2</v>
      </c>
      <c r="BO36">
        <v>8.2216389132537496E-2</v>
      </c>
      <c r="BP36">
        <v>4.2639602375306E-2</v>
      </c>
      <c r="BQ36">
        <v>1.05139037327278E-2</v>
      </c>
      <c r="BR36">
        <v>9.9945088381935707E-2</v>
      </c>
      <c r="BS36">
        <v>7.7852127541559193E-2</v>
      </c>
      <c r="BT36" t="s">
        <v>31</v>
      </c>
      <c r="BU36">
        <v>6.8658109721587104E-2</v>
      </c>
      <c r="BV36">
        <v>5.8816905793324187E-2</v>
      </c>
      <c r="BW36">
        <v>3.812722718711517E-2</v>
      </c>
      <c r="BX36">
        <v>6.1890640725397655E-2</v>
      </c>
      <c r="BY36">
        <v>9.6477979368313274E-3</v>
      </c>
      <c r="BZ36">
        <v>7.5027487608367392E-3</v>
      </c>
      <c r="CA36">
        <v>6.5927325596186304E-2</v>
      </c>
      <c r="CB36">
        <v>7.5172654191082433E-2</v>
      </c>
      <c r="CC36">
        <v>0.3170853001907738</v>
      </c>
      <c r="CD36">
        <v>18.549237620897941</v>
      </c>
      <c r="CE36">
        <v>12.024280899863852</v>
      </c>
      <c r="CF36">
        <v>19.518609247467879</v>
      </c>
      <c r="CG36">
        <v>3.0426506466956202</v>
      </c>
      <c r="CH36">
        <v>2.3661610160807593</v>
      </c>
      <c r="CI36">
        <v>20.791668852678207</v>
      </c>
      <c r="CJ36">
        <v>23.707391716315747</v>
      </c>
    </row>
    <row r="37" spans="1:88" x14ac:dyDescent="0.35">
      <c r="A37">
        <v>136</v>
      </c>
      <c r="B37" t="s">
        <v>89</v>
      </c>
      <c r="C37" t="s">
        <v>130</v>
      </c>
      <c r="D37" t="s">
        <v>62</v>
      </c>
      <c r="E37" t="s">
        <v>29</v>
      </c>
      <c r="F37">
        <v>5</v>
      </c>
      <c r="G37">
        <v>1</v>
      </c>
      <c r="H37" s="1">
        <v>11.16</v>
      </c>
      <c r="I37" s="1">
        <v>11.49</v>
      </c>
      <c r="J37">
        <v>33</v>
      </c>
      <c r="K37">
        <v>23.3</v>
      </c>
      <c r="L37" t="s">
        <v>31</v>
      </c>
      <c r="M37">
        <v>216</v>
      </c>
      <c r="N37">
        <f t="shared" si="13"/>
        <v>54</v>
      </c>
      <c r="O37" s="2" t="s">
        <v>100</v>
      </c>
      <c r="P37">
        <v>135.08857</v>
      </c>
      <c r="Q37">
        <f t="shared" si="14"/>
        <v>644.40547500000002</v>
      </c>
      <c r="R37">
        <f t="shared" si="15"/>
        <v>1171.6463181818183</v>
      </c>
      <c r="S37">
        <v>338.62967999999995</v>
      </c>
      <c r="T37">
        <f t="shared" si="16"/>
        <v>1566.2348999999997</v>
      </c>
      <c r="U37">
        <f t="shared" si="17"/>
        <v>2847.6998181818176</v>
      </c>
      <c r="V37">
        <v>310.13087400000001</v>
      </c>
      <c r="W37">
        <f t="shared" si="19"/>
        <v>1825.8185565000001</v>
      </c>
      <c r="X37">
        <f t="shared" si="18"/>
        <v>3319.6701027272729</v>
      </c>
      <c r="Y37">
        <v>1171.5462509604463</v>
      </c>
      <c r="Z37">
        <f t="shared" si="20"/>
        <v>5054.6017161293539</v>
      </c>
      <c r="AA37">
        <f t="shared" si="8"/>
        <v>9190.1849384170073</v>
      </c>
      <c r="AB37">
        <v>44.376729159999996</v>
      </c>
      <c r="AC37">
        <v>14.06385596</v>
      </c>
      <c r="AD37" t="s">
        <v>31</v>
      </c>
      <c r="AE37">
        <v>3.1553742640000002</v>
      </c>
      <c r="AF37" t="s">
        <v>31</v>
      </c>
      <c r="AG37" t="s">
        <v>31</v>
      </c>
      <c r="AH37">
        <v>-23.583802439999999</v>
      </c>
      <c r="AI37">
        <v>12.325439190000001</v>
      </c>
      <c r="AJ37">
        <v>8.4700000000000006</v>
      </c>
      <c r="AK37" t="s">
        <v>209</v>
      </c>
      <c r="AL37" t="s">
        <v>209</v>
      </c>
      <c r="AM37">
        <v>11.105963802742538</v>
      </c>
      <c r="AN37">
        <v>349.50187510738766</v>
      </c>
      <c r="AO37">
        <v>154.26224357580398</v>
      </c>
      <c r="AP37">
        <v>6.5129684331604309</v>
      </c>
      <c r="AQ37">
        <v>977.21013500000004</v>
      </c>
      <c r="AR37">
        <v>23667.102175</v>
      </c>
      <c r="AS37">
        <v>0.34913</v>
      </c>
      <c r="AT37">
        <v>7.1194249999999997</v>
      </c>
      <c r="AU37">
        <v>12.855995</v>
      </c>
      <c r="AV37">
        <v>3.6722299999999999</v>
      </c>
      <c r="AW37">
        <v>27.063825000000001</v>
      </c>
      <c r="AX37">
        <v>91.942084999999992</v>
      </c>
      <c r="AY37">
        <v>0.70595999999999992</v>
      </c>
      <c r="AZ37">
        <v>53.014785000000003</v>
      </c>
      <c r="BA37">
        <v>2.2690000000000001</v>
      </c>
      <c r="BB37">
        <v>2.1762986860025899</v>
      </c>
      <c r="BC37">
        <v>1.3647001187228001</v>
      </c>
      <c r="BD37">
        <v>0.29302172826226203</v>
      </c>
      <c r="BE37">
        <v>8.0565156459535603E-2</v>
      </c>
      <c r="BF37">
        <v>2.6752190410289801E-2</v>
      </c>
      <c r="BG37">
        <v>1.6297522855873901E-2</v>
      </c>
      <c r="BH37">
        <v>1.64148813576584</v>
      </c>
      <c r="BI37">
        <v>0.60812421921279103</v>
      </c>
      <c r="BJ37">
        <v>1.5498438311012299</v>
      </c>
      <c r="BK37">
        <v>3.2021905828271602</v>
      </c>
      <c r="BL37">
        <v>0.76202887986883805</v>
      </c>
      <c r="BM37">
        <v>0.169395869358866</v>
      </c>
      <c r="BN37">
        <v>4.17796100161172E-2</v>
      </c>
      <c r="BO37">
        <v>8.2216389132537496E-2</v>
      </c>
      <c r="BP37">
        <v>4.2639602375306E-2</v>
      </c>
      <c r="BQ37">
        <v>1.05139037327278E-2</v>
      </c>
      <c r="BR37">
        <v>9.9945088381935707E-2</v>
      </c>
      <c r="BS37">
        <v>7.7852127541559193E-2</v>
      </c>
      <c r="BT37" t="s">
        <v>31</v>
      </c>
      <c r="BU37">
        <v>6.8658109721587104E-2</v>
      </c>
      <c r="BV37">
        <v>5.8816905793324187E-2</v>
      </c>
      <c r="BW37">
        <v>3.812722718711517E-2</v>
      </c>
      <c r="BX37">
        <v>6.1890640725397655E-2</v>
      </c>
      <c r="BY37">
        <v>9.6477979368313274E-3</v>
      </c>
      <c r="BZ37">
        <v>7.5027487608367392E-3</v>
      </c>
      <c r="CA37">
        <v>6.5927325596186304E-2</v>
      </c>
      <c r="CB37">
        <v>7.5172654191082433E-2</v>
      </c>
      <c r="CC37">
        <v>0.3170853001907738</v>
      </c>
      <c r="CD37">
        <v>18.549237620897941</v>
      </c>
      <c r="CE37">
        <v>12.024280899863852</v>
      </c>
      <c r="CF37">
        <v>19.518609247467879</v>
      </c>
      <c r="CG37">
        <v>3.0426506466956202</v>
      </c>
      <c r="CH37">
        <v>2.3661610160807593</v>
      </c>
      <c r="CI37">
        <v>20.791668852678207</v>
      </c>
      <c r="CJ37">
        <v>23.707391716315747</v>
      </c>
    </row>
    <row r="38" spans="1:88" x14ac:dyDescent="0.35">
      <c r="A38">
        <v>137</v>
      </c>
      <c r="B38" t="s">
        <v>89</v>
      </c>
      <c r="C38" t="s">
        <v>130</v>
      </c>
      <c r="D38" t="s">
        <v>62</v>
      </c>
      <c r="E38" t="s">
        <v>29</v>
      </c>
      <c r="F38">
        <v>4</v>
      </c>
      <c r="G38">
        <v>1</v>
      </c>
      <c r="H38" s="1">
        <v>11.18</v>
      </c>
      <c r="I38" s="1">
        <v>11.5</v>
      </c>
      <c r="J38">
        <v>32</v>
      </c>
      <c r="K38">
        <v>23.3</v>
      </c>
      <c r="L38" t="s">
        <v>31</v>
      </c>
      <c r="M38">
        <v>154</v>
      </c>
      <c r="N38">
        <f t="shared" si="13"/>
        <v>38.5</v>
      </c>
      <c r="O38" s="2" t="s">
        <v>100</v>
      </c>
      <c r="P38">
        <v>168.96947999999998</v>
      </c>
      <c r="Q38">
        <f t="shared" si="14"/>
        <v>651.04801999999995</v>
      </c>
      <c r="R38">
        <f t="shared" si="15"/>
        <v>1220.7150374999999</v>
      </c>
      <c r="S38">
        <v>378.45251999999994</v>
      </c>
      <c r="T38">
        <f t="shared" si="16"/>
        <v>1412.2792799999997</v>
      </c>
      <c r="U38">
        <f t="shared" si="17"/>
        <v>2648.0236499999996</v>
      </c>
      <c r="V38">
        <v>377.27112900000003</v>
      </c>
      <c r="W38">
        <f t="shared" si="19"/>
        <v>1857.2167387500003</v>
      </c>
      <c r="X38">
        <f t="shared" si="18"/>
        <v>3482.2813851562505</v>
      </c>
      <c r="Y38">
        <v>1042.0300181573434</v>
      </c>
      <c r="Z38">
        <f t="shared" si="20"/>
        <v>3525.6164416910715</v>
      </c>
      <c r="AA38">
        <f t="shared" si="8"/>
        <v>6610.5308281707594</v>
      </c>
      <c r="AD38" t="s">
        <v>31</v>
      </c>
      <c r="AF38" t="s">
        <v>31</v>
      </c>
      <c r="AG38" t="s">
        <v>31</v>
      </c>
      <c r="AJ38">
        <v>8.4700000000000006</v>
      </c>
      <c r="AK38" t="s">
        <v>209</v>
      </c>
      <c r="AL38" t="s">
        <v>209</v>
      </c>
      <c r="AM38">
        <v>11.105963802742538</v>
      </c>
      <c r="AN38">
        <v>349.50187510738766</v>
      </c>
      <c r="AO38">
        <v>154.26224357580398</v>
      </c>
      <c r="AP38">
        <v>6.5129684331604309</v>
      </c>
      <c r="AQ38">
        <v>977.21013500000004</v>
      </c>
      <c r="AR38">
        <v>23667.102175</v>
      </c>
      <c r="AS38">
        <v>0.34913</v>
      </c>
      <c r="AT38">
        <v>7.1194249999999997</v>
      </c>
      <c r="AU38">
        <v>12.855995</v>
      </c>
      <c r="AV38">
        <v>3.6722299999999999</v>
      </c>
      <c r="AW38">
        <v>27.063825000000001</v>
      </c>
      <c r="AX38">
        <v>91.942084999999992</v>
      </c>
      <c r="AY38">
        <v>0.70595999999999992</v>
      </c>
      <c r="AZ38">
        <v>53.014785000000003</v>
      </c>
      <c r="BA38">
        <v>2.2690000000000001</v>
      </c>
      <c r="BB38">
        <v>2.1762986860025899</v>
      </c>
      <c r="BC38">
        <v>1.3647001187228001</v>
      </c>
      <c r="BD38">
        <v>0.29302172826226203</v>
      </c>
      <c r="BE38">
        <v>8.0565156459535603E-2</v>
      </c>
      <c r="BF38">
        <v>2.6752190410289801E-2</v>
      </c>
      <c r="BG38">
        <v>1.6297522855873901E-2</v>
      </c>
      <c r="BH38">
        <v>1.64148813576584</v>
      </c>
      <c r="BI38">
        <v>0.60812421921279103</v>
      </c>
      <c r="BJ38">
        <v>1.5498438311012299</v>
      </c>
      <c r="BK38">
        <v>3.2021905828271602</v>
      </c>
      <c r="BL38">
        <v>0.76202887986883805</v>
      </c>
      <c r="BM38">
        <v>0.169395869358866</v>
      </c>
      <c r="BN38">
        <v>4.17796100161172E-2</v>
      </c>
      <c r="BO38">
        <v>8.2216389132537496E-2</v>
      </c>
      <c r="BP38">
        <v>4.2639602375306E-2</v>
      </c>
      <c r="BQ38">
        <v>1.05139037327278E-2</v>
      </c>
      <c r="BR38">
        <v>9.9945088381935707E-2</v>
      </c>
      <c r="BS38">
        <v>7.7852127541559193E-2</v>
      </c>
      <c r="BT38" t="s">
        <v>31</v>
      </c>
      <c r="BU38">
        <v>6.8658109721587104E-2</v>
      </c>
      <c r="BV38">
        <v>5.8816905793324187E-2</v>
      </c>
      <c r="BW38">
        <v>3.812722718711517E-2</v>
      </c>
      <c r="BX38">
        <v>6.1890640725397655E-2</v>
      </c>
      <c r="BY38">
        <v>9.6477979368313274E-3</v>
      </c>
      <c r="BZ38">
        <v>7.5027487608367392E-3</v>
      </c>
      <c r="CA38">
        <v>6.5927325596186304E-2</v>
      </c>
      <c r="CB38">
        <v>7.5172654191082433E-2</v>
      </c>
      <c r="CC38">
        <v>0.3170853001907738</v>
      </c>
      <c r="CD38">
        <v>18.549237620897941</v>
      </c>
      <c r="CE38">
        <v>12.024280899863852</v>
      </c>
      <c r="CF38">
        <v>19.518609247467879</v>
      </c>
      <c r="CG38">
        <v>3.0426506466956202</v>
      </c>
      <c r="CH38">
        <v>2.3661610160807593</v>
      </c>
      <c r="CI38">
        <v>20.791668852678207</v>
      </c>
      <c r="CJ38">
        <v>23.707391716315747</v>
      </c>
    </row>
    <row r="39" spans="1:88" x14ac:dyDescent="0.35">
      <c r="A39">
        <v>138</v>
      </c>
      <c r="B39" t="s">
        <v>89</v>
      </c>
      <c r="C39" t="s">
        <v>130</v>
      </c>
      <c r="D39" t="s">
        <v>20</v>
      </c>
      <c r="E39" t="s">
        <v>65</v>
      </c>
      <c r="F39">
        <v>0.5</v>
      </c>
      <c r="G39">
        <v>1</v>
      </c>
      <c r="H39" s="1">
        <v>11.27</v>
      </c>
      <c r="I39" s="1">
        <v>11.57</v>
      </c>
      <c r="J39">
        <v>30</v>
      </c>
      <c r="K39">
        <v>23.3</v>
      </c>
      <c r="L39" t="s">
        <v>31</v>
      </c>
      <c r="M39">
        <v>41</v>
      </c>
      <c r="N39">
        <f t="shared" si="13"/>
        <v>10.25</v>
      </c>
      <c r="O39" s="2" t="s">
        <v>100</v>
      </c>
      <c r="P39">
        <v>253.63245000000001</v>
      </c>
      <c r="Q39">
        <f t="shared" si="14"/>
        <v>123.71248750000001</v>
      </c>
      <c r="R39">
        <f t="shared" si="15"/>
        <v>247.42497500000002</v>
      </c>
      <c r="S39">
        <v>749.35151999999994</v>
      </c>
      <c r="T39">
        <f t="shared" si="16"/>
        <v>361.98440999999997</v>
      </c>
      <c r="U39">
        <f t="shared" si="17"/>
        <v>723.96881999999994</v>
      </c>
      <c r="V39">
        <v>586.80774900000006</v>
      </c>
      <c r="W39">
        <f t="shared" si="19"/>
        <v>2323.9198710000001</v>
      </c>
      <c r="X39">
        <f t="shared" si="18"/>
        <v>4647.8397420000001</v>
      </c>
      <c r="Y39">
        <v>2859.5351834971993</v>
      </c>
      <c r="Z39">
        <f t="shared" si="20"/>
        <v>1349.454637881312</v>
      </c>
      <c r="AA39">
        <f t="shared" si="8"/>
        <v>2698.909275762624</v>
      </c>
      <c r="AB39">
        <v>46.958182299999997</v>
      </c>
      <c r="AC39">
        <v>14.26518907</v>
      </c>
      <c r="AD39" t="s">
        <v>31</v>
      </c>
      <c r="AE39">
        <v>3.2918023079999998</v>
      </c>
      <c r="AF39" t="s">
        <v>31</v>
      </c>
      <c r="AG39" t="s">
        <v>31</v>
      </c>
      <c r="AH39">
        <v>-23.199938060000001</v>
      </c>
      <c r="AI39">
        <v>13.32790164</v>
      </c>
      <c r="AJ39">
        <v>8.4700000000000006</v>
      </c>
      <c r="AK39" t="s">
        <v>209</v>
      </c>
      <c r="AL39" t="s">
        <v>209</v>
      </c>
      <c r="AM39">
        <v>11.105963802742538</v>
      </c>
      <c r="AN39">
        <v>349.50187510738766</v>
      </c>
      <c r="AO39">
        <v>154.26224357580398</v>
      </c>
      <c r="AP39">
        <v>6.5129684331604309</v>
      </c>
      <c r="AQ39">
        <v>977.21013500000004</v>
      </c>
      <c r="AR39">
        <v>23667.102175</v>
      </c>
      <c r="AS39">
        <v>0.34913</v>
      </c>
      <c r="AT39">
        <v>7.1194249999999997</v>
      </c>
      <c r="AU39">
        <v>12.855995</v>
      </c>
      <c r="AV39">
        <v>3.6722299999999999</v>
      </c>
      <c r="AW39">
        <v>27.063825000000001</v>
      </c>
      <c r="AX39">
        <v>91.942084999999992</v>
      </c>
      <c r="AY39">
        <v>0.70595999999999992</v>
      </c>
      <c r="AZ39">
        <v>53.014785000000003</v>
      </c>
      <c r="BA39">
        <v>2.2690000000000001</v>
      </c>
      <c r="BB39">
        <v>2.1762986860025899</v>
      </c>
      <c r="BC39">
        <v>1.3647001187228001</v>
      </c>
      <c r="BD39">
        <v>0.29302172826226203</v>
      </c>
      <c r="BE39">
        <v>8.0565156459535603E-2</v>
      </c>
      <c r="BF39">
        <v>2.6752190410289801E-2</v>
      </c>
      <c r="BG39">
        <v>1.6297522855873901E-2</v>
      </c>
      <c r="BH39">
        <v>1.64148813576584</v>
      </c>
      <c r="BI39">
        <v>0.60812421921279103</v>
      </c>
      <c r="BJ39">
        <v>1.5498438311012299</v>
      </c>
      <c r="BK39">
        <v>3.2021905828271602</v>
      </c>
      <c r="BL39">
        <v>0.76202887986883805</v>
      </c>
      <c r="BM39">
        <v>0.169395869358866</v>
      </c>
      <c r="BN39">
        <v>4.17796100161172E-2</v>
      </c>
      <c r="BO39">
        <v>8.2216389132537496E-2</v>
      </c>
      <c r="BP39">
        <v>4.2639602375306E-2</v>
      </c>
      <c r="BQ39">
        <v>1.05139037327278E-2</v>
      </c>
      <c r="BR39">
        <v>9.9945088381935707E-2</v>
      </c>
      <c r="BS39">
        <v>7.7852127541559193E-2</v>
      </c>
      <c r="BT39" t="s">
        <v>31</v>
      </c>
      <c r="BU39">
        <v>6.8658109721587104E-2</v>
      </c>
      <c r="BV39">
        <v>5.8816905793324187E-2</v>
      </c>
      <c r="BW39">
        <v>3.812722718711517E-2</v>
      </c>
      <c r="BX39">
        <v>6.1890640725397655E-2</v>
      </c>
      <c r="BY39">
        <v>9.6477979368313274E-3</v>
      </c>
      <c r="BZ39">
        <v>7.5027487608367392E-3</v>
      </c>
      <c r="CA39">
        <v>6.5927325596186304E-2</v>
      </c>
      <c r="CB39">
        <v>7.5172654191082433E-2</v>
      </c>
      <c r="CC39">
        <v>0.3170853001907738</v>
      </c>
      <c r="CD39">
        <v>18.549237620897941</v>
      </c>
      <c r="CE39">
        <v>12.024280899863852</v>
      </c>
      <c r="CF39">
        <v>19.518609247467879</v>
      </c>
      <c r="CG39">
        <v>3.0426506466956202</v>
      </c>
      <c r="CH39">
        <v>2.3661610160807593</v>
      </c>
      <c r="CI39">
        <v>20.791668852678207</v>
      </c>
      <c r="CJ39">
        <v>23.707391716315747</v>
      </c>
    </row>
    <row r="40" spans="1:88" x14ac:dyDescent="0.35">
      <c r="A40">
        <v>139</v>
      </c>
      <c r="B40" t="s">
        <v>89</v>
      </c>
      <c r="C40" t="s">
        <v>130</v>
      </c>
      <c r="D40" t="s">
        <v>20</v>
      </c>
      <c r="E40" t="s">
        <v>29</v>
      </c>
      <c r="F40">
        <v>3</v>
      </c>
      <c r="G40">
        <v>2</v>
      </c>
      <c r="H40" s="1">
        <v>11.21</v>
      </c>
      <c r="I40" s="1">
        <v>11.51</v>
      </c>
      <c r="J40">
        <v>30</v>
      </c>
      <c r="K40">
        <v>23.3</v>
      </c>
      <c r="L40" t="s">
        <v>31</v>
      </c>
      <c r="M40">
        <v>149</v>
      </c>
      <c r="N40">
        <f t="shared" si="13"/>
        <v>37.25</v>
      </c>
      <c r="O40" s="2" t="s">
        <v>104</v>
      </c>
      <c r="P40">
        <v>109.93337</v>
      </c>
      <c r="Q40">
        <f t="shared" si="14"/>
        <v>311.177685</v>
      </c>
      <c r="R40">
        <f t="shared" si="15"/>
        <v>311.177685</v>
      </c>
      <c r="S40">
        <v>580.69007999999985</v>
      </c>
      <c r="T40">
        <f t="shared" si="16"/>
        <v>1665.9221399999997</v>
      </c>
      <c r="U40">
        <f t="shared" si="17"/>
        <v>1665.9221399999997</v>
      </c>
      <c r="V40">
        <v>279.88086899999996</v>
      </c>
      <c r="W40">
        <f t="shared" si="19"/>
        <v>137.02654387499999</v>
      </c>
      <c r="X40">
        <f t="shared" si="18"/>
        <v>137.02654387499999</v>
      </c>
      <c r="Y40">
        <v>1200.4667485811306</v>
      </c>
      <c r="Z40">
        <f t="shared" si="20"/>
        <v>3119.5225225396653</v>
      </c>
      <c r="AA40">
        <f t="shared" si="8"/>
        <v>3119.5225225396653</v>
      </c>
      <c r="AB40">
        <v>47.341653639999997</v>
      </c>
      <c r="AC40">
        <v>13.628827510000001</v>
      </c>
      <c r="AD40" t="s">
        <v>31</v>
      </c>
      <c r="AE40">
        <v>3.4736409730000002</v>
      </c>
      <c r="AF40" t="s">
        <v>31</v>
      </c>
      <c r="AG40" t="s">
        <v>31</v>
      </c>
      <c r="AH40">
        <v>-23.750301650000001</v>
      </c>
      <c r="AI40">
        <v>12.46836497</v>
      </c>
      <c r="AJ40">
        <v>8.4700000000000006</v>
      </c>
      <c r="AK40" t="s">
        <v>209</v>
      </c>
      <c r="AL40" t="s">
        <v>209</v>
      </c>
      <c r="AM40">
        <v>11.105963802742538</v>
      </c>
      <c r="AN40">
        <v>349.50187510738766</v>
      </c>
      <c r="AO40">
        <v>154.26224357580398</v>
      </c>
      <c r="AP40">
        <v>6.5129684331604309</v>
      </c>
      <c r="AQ40">
        <v>977.21013500000004</v>
      </c>
      <c r="AR40">
        <v>23667.102175</v>
      </c>
      <c r="AS40">
        <v>0.34913</v>
      </c>
      <c r="AT40">
        <v>7.1194249999999997</v>
      </c>
      <c r="AU40">
        <v>12.855995</v>
      </c>
      <c r="AV40">
        <v>3.6722299999999999</v>
      </c>
      <c r="AW40">
        <v>27.063825000000001</v>
      </c>
      <c r="AX40">
        <v>91.942084999999992</v>
      </c>
      <c r="AY40">
        <v>0.70595999999999992</v>
      </c>
      <c r="AZ40">
        <v>53.014785000000003</v>
      </c>
      <c r="BA40">
        <v>2.2690000000000001</v>
      </c>
      <c r="BB40">
        <v>2.1762986860025899</v>
      </c>
      <c r="BC40">
        <v>1.3647001187228001</v>
      </c>
      <c r="BD40">
        <v>0.29302172826226203</v>
      </c>
      <c r="BE40">
        <v>8.0565156459535603E-2</v>
      </c>
      <c r="BF40">
        <v>2.6752190410289801E-2</v>
      </c>
      <c r="BG40">
        <v>1.6297522855873901E-2</v>
      </c>
      <c r="BH40">
        <v>1.64148813576584</v>
      </c>
      <c r="BI40">
        <v>0.60812421921279103</v>
      </c>
      <c r="BJ40">
        <v>1.5498438311012299</v>
      </c>
      <c r="BK40">
        <v>3.2021905828271602</v>
      </c>
      <c r="BL40">
        <v>0.76202887986883805</v>
      </c>
      <c r="BM40">
        <v>0.169395869358866</v>
      </c>
      <c r="BN40">
        <v>4.17796100161172E-2</v>
      </c>
      <c r="BO40">
        <v>8.2216389132537496E-2</v>
      </c>
      <c r="BP40">
        <v>4.2639602375306E-2</v>
      </c>
      <c r="BQ40">
        <v>1.05139037327278E-2</v>
      </c>
      <c r="BR40">
        <v>9.9945088381935707E-2</v>
      </c>
      <c r="BS40">
        <v>7.7852127541559193E-2</v>
      </c>
      <c r="BT40" t="s">
        <v>31</v>
      </c>
      <c r="BU40">
        <v>6.8658109721587104E-2</v>
      </c>
      <c r="BV40">
        <v>5.8816905793324187E-2</v>
      </c>
      <c r="BW40">
        <v>3.812722718711517E-2</v>
      </c>
      <c r="BX40">
        <v>6.1890640725397655E-2</v>
      </c>
      <c r="BY40">
        <v>9.6477979368313274E-3</v>
      </c>
      <c r="BZ40">
        <v>7.5027487608367392E-3</v>
      </c>
      <c r="CA40">
        <v>6.5927325596186304E-2</v>
      </c>
      <c r="CB40">
        <v>7.5172654191082433E-2</v>
      </c>
      <c r="CC40">
        <v>0.3170853001907738</v>
      </c>
      <c r="CD40">
        <v>18.549237620897941</v>
      </c>
      <c r="CE40">
        <v>12.024280899863852</v>
      </c>
      <c r="CF40">
        <v>19.518609247467879</v>
      </c>
      <c r="CG40">
        <v>3.0426506466956202</v>
      </c>
      <c r="CH40">
        <v>2.3661610160807593</v>
      </c>
      <c r="CI40">
        <v>20.791668852678207</v>
      </c>
      <c r="CJ40">
        <v>23.707391716315747</v>
      </c>
    </row>
    <row r="41" spans="1:88" x14ac:dyDescent="0.35">
      <c r="A41">
        <v>140</v>
      </c>
      <c r="B41" t="s">
        <v>89</v>
      </c>
      <c r="C41" t="s">
        <v>130</v>
      </c>
      <c r="D41" t="s">
        <v>24</v>
      </c>
      <c r="E41" t="s">
        <v>29</v>
      </c>
      <c r="F41">
        <v>2</v>
      </c>
      <c r="G41">
        <v>2</v>
      </c>
      <c r="H41" s="1">
        <v>11.23</v>
      </c>
      <c r="I41" s="1">
        <v>11.54</v>
      </c>
      <c r="J41">
        <v>31</v>
      </c>
      <c r="K41">
        <v>23.3</v>
      </c>
      <c r="L41" t="s">
        <v>31</v>
      </c>
      <c r="M41">
        <v>50</v>
      </c>
      <c r="N41">
        <f t="shared" si="13"/>
        <v>12.5</v>
      </c>
      <c r="O41" s="2" t="s">
        <v>100</v>
      </c>
      <c r="P41">
        <v>53.255560000000003</v>
      </c>
      <c r="Q41">
        <f t="shared" si="14"/>
        <v>94.096170000000001</v>
      </c>
      <c r="R41">
        <f t="shared" si="15"/>
        <v>91.060809677419357</v>
      </c>
      <c r="S41">
        <v>184.54392000000001</v>
      </c>
      <c r="T41">
        <f t="shared" si="16"/>
        <v>318.32244000000003</v>
      </c>
      <c r="U41">
        <f t="shared" si="17"/>
        <v>308.05397419354841</v>
      </c>
      <c r="V41">
        <v>64.321693499999995</v>
      </c>
      <c r="W41">
        <f t="shared" si="19"/>
        <v>175.48173674999998</v>
      </c>
      <c r="X41">
        <f t="shared" si="18"/>
        <v>169.82103556451611</v>
      </c>
      <c r="Y41">
        <v>203.46911832551359</v>
      </c>
      <c r="Z41">
        <f t="shared" si="20"/>
        <v>85.686421181876085</v>
      </c>
      <c r="AA41">
        <f t="shared" si="8"/>
        <v>82.922343079234921</v>
      </c>
      <c r="AD41" t="s">
        <v>31</v>
      </c>
      <c r="AE41">
        <v>4.8402058343818286</v>
      </c>
      <c r="AF41" t="s">
        <v>31</v>
      </c>
      <c r="AG41" t="s">
        <v>31</v>
      </c>
      <c r="AJ41">
        <v>8.4700000000000006</v>
      </c>
      <c r="AK41" t="s">
        <v>209</v>
      </c>
      <c r="AL41" t="s">
        <v>209</v>
      </c>
      <c r="AM41">
        <v>11.105963802742538</v>
      </c>
      <c r="AN41">
        <v>349.50187510738766</v>
      </c>
      <c r="AO41">
        <v>154.26224357580398</v>
      </c>
      <c r="AP41">
        <v>6.5129684331604309</v>
      </c>
      <c r="AQ41">
        <v>977.21013500000004</v>
      </c>
      <c r="AR41">
        <v>23667.102175</v>
      </c>
      <c r="AS41">
        <v>0.34913</v>
      </c>
      <c r="AT41">
        <v>7.1194249999999997</v>
      </c>
      <c r="AU41">
        <v>12.855995</v>
      </c>
      <c r="AV41">
        <v>3.6722299999999999</v>
      </c>
      <c r="AW41">
        <v>27.063825000000001</v>
      </c>
      <c r="AX41">
        <v>91.942084999999992</v>
      </c>
      <c r="AY41">
        <v>0.70595999999999992</v>
      </c>
      <c r="AZ41">
        <v>53.014785000000003</v>
      </c>
      <c r="BA41">
        <v>2.2690000000000001</v>
      </c>
      <c r="BB41">
        <v>2.1762986860025899</v>
      </c>
      <c r="BC41">
        <v>1.3647001187228001</v>
      </c>
      <c r="BD41">
        <v>0.29302172826226203</v>
      </c>
      <c r="BE41">
        <v>8.0565156459535603E-2</v>
      </c>
      <c r="BF41">
        <v>2.6752190410289801E-2</v>
      </c>
      <c r="BG41">
        <v>1.6297522855873901E-2</v>
      </c>
      <c r="BH41">
        <v>1.64148813576584</v>
      </c>
      <c r="BI41">
        <v>0.60812421921279103</v>
      </c>
      <c r="BJ41">
        <v>1.5498438311012299</v>
      </c>
      <c r="BK41">
        <v>3.2021905828271602</v>
      </c>
      <c r="BL41">
        <v>0.76202887986883805</v>
      </c>
      <c r="BM41">
        <v>0.169395869358866</v>
      </c>
      <c r="BN41">
        <v>4.17796100161172E-2</v>
      </c>
      <c r="BO41">
        <v>8.2216389132537496E-2</v>
      </c>
      <c r="BP41">
        <v>4.2639602375306E-2</v>
      </c>
      <c r="BQ41">
        <v>1.05139037327278E-2</v>
      </c>
      <c r="BR41">
        <v>9.9945088381935707E-2</v>
      </c>
      <c r="BS41">
        <v>7.7852127541559193E-2</v>
      </c>
      <c r="BT41" t="s">
        <v>31</v>
      </c>
      <c r="BU41">
        <v>6.8658109721587104E-2</v>
      </c>
      <c r="BV41">
        <v>5.8816905793324187E-2</v>
      </c>
      <c r="BW41">
        <v>3.812722718711517E-2</v>
      </c>
      <c r="BX41">
        <v>6.1890640725397655E-2</v>
      </c>
      <c r="BY41">
        <v>9.6477979368313274E-3</v>
      </c>
      <c r="BZ41">
        <v>7.5027487608367392E-3</v>
      </c>
      <c r="CA41">
        <v>6.5927325596186304E-2</v>
      </c>
      <c r="CB41">
        <v>7.5172654191082433E-2</v>
      </c>
      <c r="CC41">
        <v>0.3170853001907738</v>
      </c>
      <c r="CD41">
        <v>18.549237620897941</v>
      </c>
      <c r="CE41">
        <v>12.024280899863852</v>
      </c>
      <c r="CF41">
        <v>19.518609247467879</v>
      </c>
      <c r="CG41">
        <v>3.0426506466956202</v>
      </c>
      <c r="CH41">
        <v>2.3661610160807593</v>
      </c>
      <c r="CI41">
        <v>20.791668852678207</v>
      </c>
      <c r="CJ41">
        <v>23.707391716315747</v>
      </c>
    </row>
    <row r="42" spans="1:88" x14ac:dyDescent="0.35">
      <c r="A42">
        <v>141</v>
      </c>
      <c r="B42" t="s">
        <v>89</v>
      </c>
      <c r="C42" t="s">
        <v>130</v>
      </c>
      <c r="D42" t="s">
        <v>25</v>
      </c>
      <c r="E42" t="s">
        <v>30</v>
      </c>
      <c r="F42">
        <v>0.2</v>
      </c>
      <c r="G42">
        <v>6</v>
      </c>
      <c r="H42" s="1">
        <v>11.42</v>
      </c>
      <c r="I42" s="1">
        <v>13.4</v>
      </c>
      <c r="J42">
        <v>118</v>
      </c>
      <c r="K42">
        <v>23.3</v>
      </c>
      <c r="L42">
        <v>7.46E-2</v>
      </c>
      <c r="M42">
        <f>L42/G42</f>
        <v>1.2433333333333333E-2</v>
      </c>
      <c r="N42">
        <f>M42</f>
        <v>1.2433333333333333E-2</v>
      </c>
      <c r="O42" s="2" t="s">
        <v>105</v>
      </c>
      <c r="P42">
        <v>11.356430000000001</v>
      </c>
      <c r="Q42">
        <f t="shared" si="14"/>
        <v>1.0297910000000001</v>
      </c>
      <c r="R42">
        <f t="shared" si="15"/>
        <v>8.7270423728813565E-2</v>
      </c>
      <c r="S42">
        <v>93.706199999999995</v>
      </c>
      <c r="T42">
        <f t="shared" si="16"/>
        <v>13.6647</v>
      </c>
      <c r="U42">
        <f t="shared" si="17"/>
        <v>1.1580254237288135</v>
      </c>
      <c r="V42">
        <v>0.80128950000000021</v>
      </c>
      <c r="W42">
        <f t="shared" si="19"/>
        <v>-10.052983500000002</v>
      </c>
      <c r="X42">
        <f t="shared" si="18"/>
        <v>-0.8519477542372883</v>
      </c>
      <c r="Y42">
        <v>211.89561638731988</v>
      </c>
      <c r="Z42">
        <f t="shared" si="20"/>
        <v>10.253941730548867</v>
      </c>
      <c r="AA42">
        <f t="shared" si="8"/>
        <v>0.86897811275837855</v>
      </c>
      <c r="AB42">
        <v>46.456594322914263</v>
      </c>
      <c r="AC42">
        <v>10.5067899672907</v>
      </c>
      <c r="AD42">
        <v>1.422656205454786</v>
      </c>
      <c r="AE42">
        <v>5.1585058411596094</v>
      </c>
      <c r="AF42">
        <v>84.358306811843946</v>
      </c>
      <c r="AG42">
        <v>16.353237583591071</v>
      </c>
      <c r="AH42">
        <v>-24.119556736943444</v>
      </c>
      <c r="AI42">
        <v>7.0727305032105603</v>
      </c>
      <c r="AJ42">
        <v>8.4700000000000006</v>
      </c>
      <c r="AK42" t="s">
        <v>209</v>
      </c>
      <c r="AL42" t="s">
        <v>209</v>
      </c>
      <c r="AM42">
        <v>11.105963802742538</v>
      </c>
      <c r="AN42">
        <v>349.50187510738766</v>
      </c>
      <c r="AO42">
        <v>154.26224357580398</v>
      </c>
      <c r="AP42">
        <v>6.5129684331604309</v>
      </c>
      <c r="AQ42">
        <v>977.21013500000004</v>
      </c>
      <c r="AR42">
        <v>23667.102175</v>
      </c>
      <c r="AS42">
        <v>0.34913</v>
      </c>
      <c r="AT42">
        <v>7.1194249999999997</v>
      </c>
      <c r="AU42">
        <v>12.855995</v>
      </c>
      <c r="AV42">
        <v>3.6722299999999999</v>
      </c>
      <c r="AW42">
        <v>27.063825000000001</v>
      </c>
      <c r="AX42">
        <v>91.942084999999992</v>
      </c>
      <c r="AY42">
        <v>0.70595999999999992</v>
      </c>
      <c r="AZ42">
        <v>53.014785000000003</v>
      </c>
      <c r="BA42">
        <v>2.2690000000000001</v>
      </c>
      <c r="BB42">
        <v>2.1762986860025899</v>
      </c>
      <c r="BC42">
        <v>1.3647001187228001</v>
      </c>
      <c r="BD42">
        <v>0.29302172826226203</v>
      </c>
      <c r="BE42">
        <v>8.0565156459535603E-2</v>
      </c>
      <c r="BF42">
        <v>2.6752190410289801E-2</v>
      </c>
      <c r="BG42">
        <v>1.6297522855873901E-2</v>
      </c>
      <c r="BH42">
        <v>1.64148813576584</v>
      </c>
      <c r="BI42">
        <v>0.60812421921279103</v>
      </c>
      <c r="BJ42">
        <v>1.5498438311012299</v>
      </c>
      <c r="BK42">
        <v>3.2021905828271602</v>
      </c>
      <c r="BL42">
        <v>0.76202887986883805</v>
      </c>
      <c r="BM42">
        <v>0.169395869358866</v>
      </c>
      <c r="BN42">
        <v>4.17796100161172E-2</v>
      </c>
      <c r="BO42">
        <v>8.2216389132537496E-2</v>
      </c>
      <c r="BP42">
        <v>4.2639602375306E-2</v>
      </c>
      <c r="BQ42">
        <v>1.05139037327278E-2</v>
      </c>
      <c r="BR42">
        <v>9.9945088381935707E-2</v>
      </c>
      <c r="BS42">
        <v>7.7852127541559193E-2</v>
      </c>
      <c r="BT42" t="s">
        <v>31</v>
      </c>
      <c r="BU42">
        <v>6.8658109721587104E-2</v>
      </c>
      <c r="BV42">
        <v>5.8816905793324187E-2</v>
      </c>
      <c r="BW42">
        <v>3.812722718711517E-2</v>
      </c>
      <c r="BX42">
        <v>6.1890640725397655E-2</v>
      </c>
      <c r="BY42">
        <v>9.6477979368313274E-3</v>
      </c>
      <c r="BZ42">
        <v>7.5027487608367392E-3</v>
      </c>
      <c r="CA42">
        <v>6.5927325596186304E-2</v>
      </c>
      <c r="CB42">
        <v>7.5172654191082433E-2</v>
      </c>
      <c r="CC42">
        <v>0.3170853001907738</v>
      </c>
      <c r="CD42">
        <v>18.549237620897941</v>
      </c>
      <c r="CE42">
        <v>12.024280899863852</v>
      </c>
      <c r="CF42">
        <v>19.518609247467879</v>
      </c>
      <c r="CG42">
        <v>3.0426506466956202</v>
      </c>
      <c r="CH42">
        <v>2.3661610160807593</v>
      </c>
      <c r="CI42">
        <v>20.791668852678207</v>
      </c>
      <c r="CJ42">
        <v>23.707391716315747</v>
      </c>
    </row>
    <row r="43" spans="1:88" x14ac:dyDescent="0.35">
      <c r="A43">
        <v>142</v>
      </c>
      <c r="B43" t="s">
        <v>89</v>
      </c>
      <c r="C43" t="s">
        <v>130</v>
      </c>
      <c r="D43" t="s">
        <v>63</v>
      </c>
      <c r="E43" t="s">
        <v>30</v>
      </c>
      <c r="F43">
        <v>0.2</v>
      </c>
      <c r="G43">
        <v>0</v>
      </c>
      <c r="H43" s="1">
        <v>11.54</v>
      </c>
      <c r="I43" s="1">
        <v>13.25</v>
      </c>
      <c r="J43">
        <v>91</v>
      </c>
      <c r="K43">
        <v>23.3</v>
      </c>
      <c r="L43" t="s">
        <v>31</v>
      </c>
      <c r="M43" t="s">
        <v>31</v>
      </c>
      <c r="N43" t="s">
        <v>31</v>
      </c>
      <c r="O43" s="2" t="s">
        <v>100</v>
      </c>
      <c r="P43">
        <v>6.6398299999999999</v>
      </c>
      <c r="Q43">
        <f t="shared" si="14"/>
        <v>8.6470999999999881E-2</v>
      </c>
      <c r="R43" t="s">
        <v>31</v>
      </c>
      <c r="S43">
        <v>22.910039999999999</v>
      </c>
      <c r="T43">
        <f t="shared" si="16"/>
        <v>-0.49453200000000025</v>
      </c>
      <c r="U43" t="s">
        <v>31</v>
      </c>
      <c r="V43">
        <v>9.1055625000000013</v>
      </c>
      <c r="W43">
        <f t="shared" si="19"/>
        <v>0.65555625000000006</v>
      </c>
      <c r="X43" t="s">
        <v>31</v>
      </c>
      <c r="Y43">
        <v>162.29395922284152</v>
      </c>
      <c r="Z43">
        <f t="shared" si="20"/>
        <v>0.33361029765319472</v>
      </c>
      <c r="AA43" t="s">
        <v>31</v>
      </c>
      <c r="AD43" t="s">
        <v>31</v>
      </c>
      <c r="AF43" t="s">
        <v>31</v>
      </c>
      <c r="AG43" t="s">
        <v>31</v>
      </c>
      <c r="AJ43">
        <v>8.4700000000000006</v>
      </c>
      <c r="AK43" t="s">
        <v>209</v>
      </c>
      <c r="AL43" t="s">
        <v>209</v>
      </c>
      <c r="AM43">
        <v>11.105963802742538</v>
      </c>
      <c r="AN43">
        <v>349.50187510738766</v>
      </c>
      <c r="AO43">
        <v>154.26224357580398</v>
      </c>
      <c r="AP43">
        <v>6.5129684331604309</v>
      </c>
      <c r="AQ43">
        <v>977.21013500000004</v>
      </c>
      <c r="AR43">
        <v>23667.102175</v>
      </c>
      <c r="AS43">
        <v>0.34913</v>
      </c>
      <c r="AT43">
        <v>7.1194249999999997</v>
      </c>
      <c r="AU43">
        <v>12.855995</v>
      </c>
      <c r="AV43">
        <v>3.6722299999999999</v>
      </c>
      <c r="AW43">
        <v>27.063825000000001</v>
      </c>
      <c r="AX43">
        <v>91.942084999999992</v>
      </c>
      <c r="AY43">
        <v>0.70595999999999992</v>
      </c>
      <c r="AZ43">
        <v>53.014785000000003</v>
      </c>
      <c r="BA43">
        <v>2.2690000000000001</v>
      </c>
      <c r="BB43">
        <v>2.1762986860025899</v>
      </c>
      <c r="BC43">
        <v>1.3647001187228001</v>
      </c>
      <c r="BD43">
        <v>0.29302172826226203</v>
      </c>
      <c r="BE43">
        <v>8.0565156459535603E-2</v>
      </c>
      <c r="BF43">
        <v>2.6752190410289801E-2</v>
      </c>
      <c r="BG43">
        <v>1.6297522855873901E-2</v>
      </c>
      <c r="BH43">
        <v>1.64148813576584</v>
      </c>
      <c r="BI43">
        <v>0.60812421921279103</v>
      </c>
      <c r="BJ43">
        <v>1.5498438311012299</v>
      </c>
      <c r="BK43">
        <v>3.2021905828271602</v>
      </c>
      <c r="BL43">
        <v>0.76202887986883805</v>
      </c>
      <c r="BM43">
        <v>0.169395869358866</v>
      </c>
      <c r="BN43">
        <v>4.17796100161172E-2</v>
      </c>
      <c r="BO43">
        <v>8.2216389132537496E-2</v>
      </c>
      <c r="BP43">
        <v>4.2639602375306E-2</v>
      </c>
      <c r="BQ43">
        <v>1.05139037327278E-2</v>
      </c>
      <c r="BR43">
        <v>9.9945088381935707E-2</v>
      </c>
      <c r="BS43">
        <v>7.7852127541559193E-2</v>
      </c>
      <c r="BT43" t="s">
        <v>31</v>
      </c>
      <c r="BU43">
        <v>6.8658109721587104E-2</v>
      </c>
      <c r="BV43">
        <v>5.8816905793324187E-2</v>
      </c>
      <c r="BW43">
        <v>3.812722718711517E-2</v>
      </c>
      <c r="BX43">
        <v>6.1890640725397655E-2</v>
      </c>
      <c r="BY43">
        <v>9.6477979368313274E-3</v>
      </c>
      <c r="BZ43">
        <v>7.5027487608367392E-3</v>
      </c>
      <c r="CA43">
        <v>6.5927325596186304E-2</v>
      </c>
      <c r="CB43">
        <v>7.5172654191082433E-2</v>
      </c>
      <c r="CC43">
        <v>0.3170853001907738</v>
      </c>
      <c r="CD43">
        <v>18.549237620897941</v>
      </c>
      <c r="CE43">
        <v>12.024280899863852</v>
      </c>
      <c r="CF43">
        <v>19.518609247467879</v>
      </c>
      <c r="CG43">
        <v>3.0426506466956202</v>
      </c>
      <c r="CH43">
        <v>2.3661610160807593</v>
      </c>
      <c r="CI43">
        <v>20.791668852678207</v>
      </c>
      <c r="CJ43">
        <v>23.707391716315747</v>
      </c>
    </row>
    <row r="44" spans="1:88" x14ac:dyDescent="0.35">
      <c r="A44">
        <v>143</v>
      </c>
      <c r="B44" t="s">
        <v>89</v>
      </c>
      <c r="C44" t="s">
        <v>130</v>
      </c>
      <c r="D44" t="s">
        <v>25</v>
      </c>
      <c r="E44" t="s">
        <v>30</v>
      </c>
      <c r="F44">
        <v>0.2</v>
      </c>
      <c r="G44">
        <v>5</v>
      </c>
      <c r="H44" s="1">
        <v>11.55</v>
      </c>
      <c r="I44" s="1">
        <v>13.34</v>
      </c>
      <c r="J44">
        <v>99</v>
      </c>
      <c r="K44">
        <v>23.3</v>
      </c>
      <c r="L44">
        <v>4.7699999999999999E-2</v>
      </c>
      <c r="M44">
        <f>L44/G44</f>
        <v>9.5399999999999999E-3</v>
      </c>
      <c r="N44">
        <f>M44</f>
        <v>9.5399999999999999E-3</v>
      </c>
      <c r="O44" s="2" t="s">
        <v>105</v>
      </c>
      <c r="P44">
        <v>12.063920000000001</v>
      </c>
      <c r="Q44">
        <f t="shared" si="14"/>
        <v>1.1712890000000002</v>
      </c>
      <c r="R44">
        <f>(Q44/J44*60)/G44</f>
        <v>0.14197442424242429</v>
      </c>
      <c r="S44">
        <v>88.760879999999986</v>
      </c>
      <c r="T44">
        <f t="shared" si="16"/>
        <v>12.675635999999997</v>
      </c>
      <c r="U44">
        <f>(T44/J44*60)/G44</f>
        <v>1.536440727272727</v>
      </c>
      <c r="V44">
        <v>8.3771175000000007</v>
      </c>
      <c r="W44">
        <f t="shared" si="19"/>
        <v>0.50986724999999999</v>
      </c>
      <c r="X44">
        <f>(W44/J44*60)/G44</f>
        <v>6.1802090909090911E-2</v>
      </c>
      <c r="Y44">
        <v>310.65203117922567</v>
      </c>
      <c r="Z44">
        <f t="shared" si="20"/>
        <v>30.005224688930028</v>
      </c>
      <c r="AA44">
        <f t="shared" si="8"/>
        <v>3.6369969319915185</v>
      </c>
      <c r="AB44">
        <v>45.642309034012264</v>
      </c>
      <c r="AC44">
        <v>11.001706147676558</v>
      </c>
      <c r="AD44">
        <v>1.1525255462158601</v>
      </c>
      <c r="AE44">
        <v>4.8402058343818286</v>
      </c>
      <c r="AF44">
        <v>102.30514952575412</v>
      </c>
      <c r="AG44">
        <v>21.136989835544078</v>
      </c>
      <c r="AH44">
        <v>-23.65066719377004</v>
      </c>
      <c r="AI44">
        <v>6.6874224034449208</v>
      </c>
      <c r="AJ44">
        <v>8.4700000000000006</v>
      </c>
      <c r="AK44" t="s">
        <v>209</v>
      </c>
      <c r="AL44" t="s">
        <v>209</v>
      </c>
      <c r="AM44">
        <v>11.105963802742538</v>
      </c>
      <c r="AN44">
        <v>349.50187510738766</v>
      </c>
      <c r="AO44">
        <v>154.26224357580398</v>
      </c>
      <c r="AP44">
        <v>6.5129684331604309</v>
      </c>
      <c r="AQ44">
        <v>977.21013500000004</v>
      </c>
      <c r="AR44">
        <v>23667.102175</v>
      </c>
      <c r="AS44">
        <v>0.34913</v>
      </c>
      <c r="AT44">
        <v>7.1194249999999997</v>
      </c>
      <c r="AU44">
        <v>12.855995</v>
      </c>
      <c r="AV44">
        <v>3.6722299999999999</v>
      </c>
      <c r="AW44">
        <v>27.063825000000001</v>
      </c>
      <c r="AX44">
        <v>91.942084999999992</v>
      </c>
      <c r="AY44">
        <v>0.70595999999999992</v>
      </c>
      <c r="AZ44">
        <v>53.014785000000003</v>
      </c>
      <c r="BA44">
        <v>2.2690000000000001</v>
      </c>
      <c r="BB44">
        <v>2.1762986860025899</v>
      </c>
      <c r="BC44">
        <v>1.3647001187228001</v>
      </c>
      <c r="BD44">
        <v>0.29302172826226203</v>
      </c>
      <c r="BE44">
        <v>8.0565156459535603E-2</v>
      </c>
      <c r="BF44">
        <v>2.6752190410289801E-2</v>
      </c>
      <c r="BG44">
        <v>1.6297522855873901E-2</v>
      </c>
      <c r="BH44">
        <v>1.64148813576584</v>
      </c>
      <c r="BI44">
        <v>0.60812421921279103</v>
      </c>
      <c r="BJ44">
        <v>1.5498438311012299</v>
      </c>
      <c r="BK44">
        <v>3.2021905828271602</v>
      </c>
      <c r="BL44">
        <v>0.76202887986883805</v>
      </c>
      <c r="BM44">
        <v>0.169395869358866</v>
      </c>
      <c r="BN44">
        <v>4.17796100161172E-2</v>
      </c>
      <c r="BO44">
        <v>8.2216389132537496E-2</v>
      </c>
      <c r="BP44">
        <v>4.2639602375306E-2</v>
      </c>
      <c r="BQ44">
        <v>1.05139037327278E-2</v>
      </c>
      <c r="BR44">
        <v>9.9945088381935707E-2</v>
      </c>
      <c r="BS44">
        <v>7.7852127541559193E-2</v>
      </c>
      <c r="BT44" t="s">
        <v>31</v>
      </c>
      <c r="BU44">
        <v>6.8658109721587104E-2</v>
      </c>
      <c r="BV44">
        <v>5.8816905793324187E-2</v>
      </c>
      <c r="BW44">
        <v>3.812722718711517E-2</v>
      </c>
      <c r="BX44">
        <v>6.1890640725397655E-2</v>
      </c>
      <c r="BY44">
        <v>9.6477979368313274E-3</v>
      </c>
      <c r="BZ44">
        <v>7.5027487608367392E-3</v>
      </c>
      <c r="CA44">
        <v>6.5927325596186304E-2</v>
      </c>
      <c r="CB44">
        <v>7.5172654191082433E-2</v>
      </c>
      <c r="CC44">
        <v>0.3170853001907738</v>
      </c>
      <c r="CD44">
        <v>18.549237620897941</v>
      </c>
      <c r="CE44">
        <v>12.024280899863852</v>
      </c>
      <c r="CF44">
        <v>19.518609247467879</v>
      </c>
      <c r="CG44">
        <v>3.0426506466956202</v>
      </c>
      <c r="CH44">
        <v>2.3661610160807593</v>
      </c>
      <c r="CI44">
        <v>20.791668852678207</v>
      </c>
      <c r="CJ44">
        <v>23.707391716315747</v>
      </c>
    </row>
    <row r="45" spans="1:88" x14ac:dyDescent="0.35">
      <c r="A45">
        <v>144</v>
      </c>
      <c r="B45" t="s">
        <v>89</v>
      </c>
      <c r="C45" t="s">
        <v>130</v>
      </c>
      <c r="D45" t="s">
        <v>25</v>
      </c>
      <c r="E45" t="s">
        <v>30</v>
      </c>
      <c r="F45">
        <v>0.2</v>
      </c>
      <c r="G45">
        <v>5</v>
      </c>
      <c r="H45" s="1">
        <v>11.58</v>
      </c>
      <c r="I45" s="1">
        <v>13.3</v>
      </c>
      <c r="J45">
        <v>92</v>
      </c>
      <c r="K45">
        <v>23.3</v>
      </c>
      <c r="L45">
        <v>7.7399999999999997E-2</v>
      </c>
      <c r="M45">
        <f>L45/G45</f>
        <v>1.5479999999999999E-2</v>
      </c>
      <c r="N45">
        <f>M45</f>
        <v>1.5479999999999999E-2</v>
      </c>
      <c r="O45" s="2" t="s">
        <v>105</v>
      </c>
      <c r="P45">
        <v>13.63612</v>
      </c>
      <c r="Q45">
        <f t="shared" si="14"/>
        <v>1.4857290000000001</v>
      </c>
      <c r="R45">
        <f>(Q45/J45*60)/G45</f>
        <v>0.19379073913043482</v>
      </c>
      <c r="S45">
        <v>70.801559999999995</v>
      </c>
      <c r="T45">
        <f t="shared" si="16"/>
        <v>9.0837719999999997</v>
      </c>
      <c r="U45">
        <f>(T45/J45*60)/G45</f>
        <v>1.1848398260869566</v>
      </c>
      <c r="V45">
        <v>25.131352500000002</v>
      </c>
      <c r="W45">
        <f t="shared" si="19"/>
        <v>3.8607142500000005</v>
      </c>
      <c r="X45">
        <f>(W45/J45*60)/G45</f>
        <v>0.50357142391304355</v>
      </c>
      <c r="Y45">
        <v>615.98988503400756</v>
      </c>
      <c r="Z45">
        <f t="shared" si="20"/>
        <v>91.072795459886407</v>
      </c>
      <c r="AA45">
        <f t="shared" si="8"/>
        <v>11.879060277376487</v>
      </c>
      <c r="AB45">
        <v>46.274520654457682</v>
      </c>
      <c r="AC45">
        <v>10.89603680342548</v>
      </c>
      <c r="AD45">
        <v>1.4162833266498689</v>
      </c>
      <c r="AE45">
        <v>4.9547660021985802</v>
      </c>
      <c r="AF45">
        <v>84.405789040426541</v>
      </c>
      <c r="AG45">
        <v>17.035389870208533</v>
      </c>
      <c r="AH45">
        <v>-24.374442422778813</v>
      </c>
      <c r="AI45">
        <v>6.9799337880837573</v>
      </c>
      <c r="AJ45">
        <v>8.4700000000000006</v>
      </c>
      <c r="AK45" t="s">
        <v>209</v>
      </c>
      <c r="AL45" t="s">
        <v>209</v>
      </c>
      <c r="AM45">
        <v>11.105963802742538</v>
      </c>
      <c r="AN45">
        <v>349.50187510738766</v>
      </c>
      <c r="AO45">
        <v>154.26224357580398</v>
      </c>
      <c r="AP45">
        <v>6.5129684331604309</v>
      </c>
      <c r="AQ45">
        <v>977.21013500000004</v>
      </c>
      <c r="AR45">
        <v>23667.102175</v>
      </c>
      <c r="AS45">
        <v>0.34913</v>
      </c>
      <c r="AT45">
        <v>7.1194249999999997</v>
      </c>
      <c r="AU45">
        <v>12.855995</v>
      </c>
      <c r="AV45">
        <v>3.6722299999999999</v>
      </c>
      <c r="AW45">
        <v>27.063825000000001</v>
      </c>
      <c r="AX45">
        <v>91.942084999999992</v>
      </c>
      <c r="AY45">
        <v>0.70595999999999992</v>
      </c>
      <c r="AZ45">
        <v>53.014785000000003</v>
      </c>
      <c r="BA45">
        <v>2.2690000000000001</v>
      </c>
      <c r="BB45">
        <v>2.1762986860025899</v>
      </c>
      <c r="BC45">
        <v>1.3647001187228001</v>
      </c>
      <c r="BD45">
        <v>0.29302172826226203</v>
      </c>
      <c r="BE45">
        <v>8.0565156459535603E-2</v>
      </c>
      <c r="BF45">
        <v>2.6752190410289801E-2</v>
      </c>
      <c r="BG45">
        <v>1.6297522855873901E-2</v>
      </c>
      <c r="BH45">
        <v>1.64148813576584</v>
      </c>
      <c r="BI45">
        <v>0.60812421921279103</v>
      </c>
      <c r="BJ45">
        <v>1.5498438311012299</v>
      </c>
      <c r="BK45">
        <v>3.2021905828271602</v>
      </c>
      <c r="BL45">
        <v>0.76202887986883805</v>
      </c>
      <c r="BM45">
        <v>0.169395869358866</v>
      </c>
      <c r="BN45">
        <v>4.17796100161172E-2</v>
      </c>
      <c r="BO45">
        <v>8.2216389132537496E-2</v>
      </c>
      <c r="BP45">
        <v>4.2639602375306E-2</v>
      </c>
      <c r="BQ45">
        <v>1.05139037327278E-2</v>
      </c>
      <c r="BR45">
        <v>9.9945088381935707E-2</v>
      </c>
      <c r="BS45">
        <v>7.7852127541559193E-2</v>
      </c>
      <c r="BT45" t="s">
        <v>31</v>
      </c>
      <c r="BU45">
        <v>6.8658109721587104E-2</v>
      </c>
      <c r="BV45">
        <v>5.8816905793324187E-2</v>
      </c>
      <c r="BW45">
        <v>3.812722718711517E-2</v>
      </c>
      <c r="BX45">
        <v>6.1890640725397655E-2</v>
      </c>
      <c r="BY45">
        <v>9.6477979368313274E-3</v>
      </c>
      <c r="BZ45">
        <v>7.5027487608367392E-3</v>
      </c>
      <c r="CA45">
        <v>6.5927325596186304E-2</v>
      </c>
      <c r="CB45">
        <v>7.5172654191082433E-2</v>
      </c>
      <c r="CC45">
        <v>0.3170853001907738</v>
      </c>
      <c r="CD45">
        <v>18.549237620897941</v>
      </c>
      <c r="CE45">
        <v>12.024280899863852</v>
      </c>
      <c r="CF45">
        <v>19.518609247467879</v>
      </c>
      <c r="CG45">
        <v>3.0426506466956202</v>
      </c>
      <c r="CH45">
        <v>2.3661610160807593</v>
      </c>
      <c r="CI45">
        <v>20.791668852678207</v>
      </c>
      <c r="CJ45">
        <v>23.707391716315747</v>
      </c>
    </row>
    <row r="46" spans="1:88" x14ac:dyDescent="0.35">
      <c r="A46">
        <v>145</v>
      </c>
      <c r="B46" t="s">
        <v>89</v>
      </c>
      <c r="C46" t="s">
        <v>130</v>
      </c>
      <c r="D46" t="s">
        <v>25</v>
      </c>
      <c r="E46" t="s">
        <v>30</v>
      </c>
      <c r="F46">
        <v>0.2</v>
      </c>
      <c r="G46">
        <v>9</v>
      </c>
      <c r="H46" s="1">
        <v>12.04</v>
      </c>
      <c r="I46" s="1">
        <v>13.34</v>
      </c>
      <c r="J46">
        <v>90</v>
      </c>
      <c r="K46">
        <v>23.3</v>
      </c>
      <c r="L46">
        <v>5.6899999999999999E-2</v>
      </c>
      <c r="M46">
        <f>L46/G46</f>
        <v>6.3222222222222221E-3</v>
      </c>
      <c r="N46">
        <f>M46</f>
        <v>6.3222222222222221E-3</v>
      </c>
      <c r="O46" s="2" t="s">
        <v>105</v>
      </c>
      <c r="P46">
        <v>10.020060000000001</v>
      </c>
      <c r="Q46">
        <f t="shared" si="14"/>
        <v>0.76251700000000011</v>
      </c>
      <c r="R46">
        <f>(Q46/J46*60)/G46</f>
        <v>5.648274074074075E-2</v>
      </c>
      <c r="S46">
        <v>77.30856</v>
      </c>
      <c r="T46">
        <f t="shared" si="16"/>
        <v>10.385172000000001</v>
      </c>
      <c r="U46">
        <f>(T46/J46*60)/G46</f>
        <v>0.76927200000000007</v>
      </c>
      <c r="V46">
        <v>12.383564999999997</v>
      </c>
      <c r="W46">
        <f t="shared" si="19"/>
        <v>1.3111567499999994</v>
      </c>
      <c r="X46">
        <f>(W46/J46*60)/G46</f>
        <v>9.712272222222218E-2</v>
      </c>
      <c r="Y46">
        <v>316.25727755743844</v>
      </c>
      <c r="Z46">
        <f t="shared" si="20"/>
        <v>31.126273964572579</v>
      </c>
      <c r="AA46">
        <f t="shared" si="8"/>
        <v>2.3056499233016727</v>
      </c>
      <c r="AB46">
        <v>45.416770124778239</v>
      </c>
      <c r="AC46">
        <v>11.155228490028621</v>
      </c>
      <c r="AD46">
        <v>1.0982607475444324</v>
      </c>
      <c r="AE46">
        <v>4.7499695394714312</v>
      </c>
      <c r="AF46">
        <v>106.82950876465738</v>
      </c>
      <c r="AG46">
        <v>22.490891293612453</v>
      </c>
      <c r="AH46">
        <v>-23.811691538667667</v>
      </c>
      <c r="AI46">
        <v>7.2199948554770081</v>
      </c>
      <c r="AJ46">
        <v>8.4700000000000006</v>
      </c>
      <c r="AK46" t="s">
        <v>209</v>
      </c>
      <c r="AL46" t="s">
        <v>209</v>
      </c>
      <c r="AM46">
        <v>11.105963802742538</v>
      </c>
      <c r="AN46">
        <v>349.50187510738766</v>
      </c>
      <c r="AO46">
        <v>154.26224357580398</v>
      </c>
      <c r="AP46">
        <v>6.5129684331604309</v>
      </c>
      <c r="AQ46">
        <v>977.21013500000004</v>
      </c>
      <c r="AR46">
        <v>23667.102175</v>
      </c>
      <c r="AS46">
        <v>0.34913</v>
      </c>
      <c r="AT46">
        <v>7.1194249999999997</v>
      </c>
      <c r="AU46">
        <v>12.855995</v>
      </c>
      <c r="AV46">
        <v>3.6722299999999999</v>
      </c>
      <c r="AW46">
        <v>27.063825000000001</v>
      </c>
      <c r="AX46">
        <v>91.942084999999992</v>
      </c>
      <c r="AY46">
        <v>0.70595999999999992</v>
      </c>
      <c r="AZ46">
        <v>53.014785000000003</v>
      </c>
      <c r="BA46">
        <v>2.2690000000000001</v>
      </c>
      <c r="BB46">
        <v>2.1762986860025899</v>
      </c>
      <c r="BC46">
        <v>1.3647001187228001</v>
      </c>
      <c r="BD46">
        <v>0.29302172826226203</v>
      </c>
      <c r="BE46">
        <v>8.0565156459535603E-2</v>
      </c>
      <c r="BF46">
        <v>2.6752190410289801E-2</v>
      </c>
      <c r="BG46">
        <v>1.6297522855873901E-2</v>
      </c>
      <c r="BH46">
        <v>1.64148813576584</v>
      </c>
      <c r="BI46">
        <v>0.60812421921279103</v>
      </c>
      <c r="BJ46">
        <v>1.5498438311012299</v>
      </c>
      <c r="BK46">
        <v>3.2021905828271602</v>
      </c>
      <c r="BL46">
        <v>0.76202887986883805</v>
      </c>
      <c r="BM46">
        <v>0.169395869358866</v>
      </c>
      <c r="BN46">
        <v>4.17796100161172E-2</v>
      </c>
      <c r="BO46">
        <v>8.2216389132537496E-2</v>
      </c>
      <c r="BP46">
        <v>4.2639602375306E-2</v>
      </c>
      <c r="BQ46">
        <v>1.05139037327278E-2</v>
      </c>
      <c r="BR46">
        <v>9.9945088381935707E-2</v>
      </c>
      <c r="BS46">
        <v>7.7852127541559193E-2</v>
      </c>
      <c r="BT46" t="s">
        <v>31</v>
      </c>
      <c r="BU46">
        <v>6.8658109721587104E-2</v>
      </c>
      <c r="BV46">
        <v>5.8816905793324187E-2</v>
      </c>
      <c r="BW46">
        <v>3.812722718711517E-2</v>
      </c>
      <c r="BX46">
        <v>6.1890640725397655E-2</v>
      </c>
      <c r="BY46">
        <v>9.6477979368313274E-3</v>
      </c>
      <c r="BZ46">
        <v>7.5027487608367392E-3</v>
      </c>
      <c r="CA46">
        <v>6.5927325596186304E-2</v>
      </c>
      <c r="CB46">
        <v>7.5172654191082433E-2</v>
      </c>
      <c r="CC46">
        <v>0.3170853001907738</v>
      </c>
      <c r="CD46">
        <v>18.549237620897941</v>
      </c>
      <c r="CE46">
        <v>12.024280899863852</v>
      </c>
      <c r="CF46">
        <v>19.518609247467879</v>
      </c>
      <c r="CG46">
        <v>3.0426506466956202</v>
      </c>
      <c r="CH46">
        <v>2.3661610160807593</v>
      </c>
      <c r="CI46">
        <v>20.791668852678207</v>
      </c>
      <c r="CJ46">
        <v>23.707391716315747</v>
      </c>
    </row>
    <row r="47" spans="1:88" x14ac:dyDescent="0.35">
      <c r="A47">
        <v>146</v>
      </c>
      <c r="B47" t="s">
        <v>89</v>
      </c>
      <c r="C47" t="s">
        <v>130</v>
      </c>
      <c r="D47" t="s">
        <v>64</v>
      </c>
      <c r="E47" t="s">
        <v>29</v>
      </c>
      <c r="F47">
        <v>6</v>
      </c>
      <c r="G47">
        <v>0</v>
      </c>
      <c r="H47" s="1">
        <v>12.07</v>
      </c>
      <c r="I47" s="1">
        <v>13.25</v>
      </c>
      <c r="J47">
        <v>88</v>
      </c>
      <c r="K47">
        <v>23.3</v>
      </c>
      <c r="L47" t="s">
        <v>31</v>
      </c>
      <c r="M47" t="s">
        <v>31</v>
      </c>
      <c r="N47" t="s">
        <v>31</v>
      </c>
      <c r="O47" s="2" t="s">
        <v>100</v>
      </c>
      <c r="P47">
        <v>5.7751200000000003</v>
      </c>
      <c r="Q47">
        <f t="shared" si="14"/>
        <v>-2.5941300000000016</v>
      </c>
      <c r="R47" t="s">
        <v>31</v>
      </c>
      <c r="S47">
        <v>27.855359999999997</v>
      </c>
      <c r="T47">
        <f t="shared" si="16"/>
        <v>14.835959999999986</v>
      </c>
      <c r="U47" t="s">
        <v>31</v>
      </c>
      <c r="V47">
        <v>-5.7547154999999997</v>
      </c>
      <c r="W47">
        <f t="shared" si="19"/>
        <v>-2.3164993500000004</v>
      </c>
      <c r="X47" t="s">
        <v>31</v>
      </c>
      <c r="Y47">
        <v>158.95785624630955</v>
      </c>
      <c r="Z47">
        <f t="shared" si="20"/>
        <v>-10.008308929596012</v>
      </c>
      <c r="AA47" t="s">
        <v>31</v>
      </c>
      <c r="AD47" t="s">
        <v>31</v>
      </c>
      <c r="AF47" t="s">
        <v>31</v>
      </c>
      <c r="AG47" t="s">
        <v>31</v>
      </c>
      <c r="AJ47">
        <v>8.4700000000000006</v>
      </c>
      <c r="AK47" t="s">
        <v>209</v>
      </c>
      <c r="AL47" t="s">
        <v>209</v>
      </c>
      <c r="AM47">
        <v>11.105963802742538</v>
      </c>
      <c r="AN47">
        <v>349.50187510738766</v>
      </c>
      <c r="AO47">
        <v>154.26224357580398</v>
      </c>
      <c r="AP47">
        <v>6.5129684331604309</v>
      </c>
      <c r="AQ47">
        <v>977.21013500000004</v>
      </c>
      <c r="AR47">
        <v>23667.102175</v>
      </c>
      <c r="AS47">
        <v>0.34913</v>
      </c>
      <c r="AT47">
        <v>7.1194249999999997</v>
      </c>
      <c r="AU47">
        <v>12.855995</v>
      </c>
      <c r="AV47">
        <v>3.6722299999999999</v>
      </c>
      <c r="AW47">
        <v>27.063825000000001</v>
      </c>
      <c r="AX47">
        <v>91.942084999999992</v>
      </c>
      <c r="AY47">
        <v>0.70595999999999992</v>
      </c>
      <c r="AZ47">
        <v>53.014785000000003</v>
      </c>
      <c r="BA47">
        <v>2.2690000000000001</v>
      </c>
      <c r="BB47">
        <v>2.1762986860025899</v>
      </c>
      <c r="BC47">
        <v>1.3647001187228001</v>
      </c>
      <c r="BD47">
        <v>0.29302172826226203</v>
      </c>
      <c r="BE47">
        <v>8.0565156459535603E-2</v>
      </c>
      <c r="BF47">
        <v>2.6752190410289801E-2</v>
      </c>
      <c r="BG47">
        <v>1.6297522855873901E-2</v>
      </c>
      <c r="BH47">
        <v>1.64148813576584</v>
      </c>
      <c r="BI47">
        <v>0.60812421921279103</v>
      </c>
      <c r="BJ47">
        <v>1.5498438311012299</v>
      </c>
      <c r="BK47">
        <v>3.2021905828271602</v>
      </c>
      <c r="BL47">
        <v>0.76202887986883805</v>
      </c>
      <c r="BM47">
        <v>0.169395869358866</v>
      </c>
      <c r="BN47">
        <v>4.17796100161172E-2</v>
      </c>
      <c r="BO47">
        <v>8.2216389132537496E-2</v>
      </c>
      <c r="BP47">
        <v>4.2639602375306E-2</v>
      </c>
      <c r="BQ47">
        <v>1.05139037327278E-2</v>
      </c>
      <c r="BR47">
        <v>9.9945088381935707E-2</v>
      </c>
      <c r="BS47">
        <v>7.7852127541559193E-2</v>
      </c>
      <c r="BT47" t="s">
        <v>31</v>
      </c>
      <c r="BU47">
        <v>6.8658109721587104E-2</v>
      </c>
      <c r="BV47">
        <v>5.8816905793324187E-2</v>
      </c>
      <c r="BW47">
        <v>3.812722718711517E-2</v>
      </c>
      <c r="BX47">
        <v>6.1890640725397655E-2</v>
      </c>
      <c r="BY47">
        <v>9.6477979368313274E-3</v>
      </c>
      <c r="BZ47">
        <v>7.5027487608367392E-3</v>
      </c>
      <c r="CA47">
        <v>6.5927325596186304E-2</v>
      </c>
      <c r="CB47">
        <v>7.5172654191082433E-2</v>
      </c>
      <c r="CC47">
        <v>0.3170853001907738</v>
      </c>
      <c r="CD47">
        <v>18.549237620897941</v>
      </c>
      <c r="CE47">
        <v>12.024280899863852</v>
      </c>
      <c r="CF47">
        <v>19.518609247467879</v>
      </c>
      <c r="CG47">
        <v>3.0426506466956202</v>
      </c>
      <c r="CH47">
        <v>2.3661610160807593</v>
      </c>
      <c r="CI47">
        <v>20.791668852678207</v>
      </c>
      <c r="CJ47">
        <v>23.707391716315747</v>
      </c>
    </row>
    <row r="48" spans="1:88" x14ac:dyDescent="0.35">
      <c r="A48">
        <v>200</v>
      </c>
      <c r="B48" t="s">
        <v>106</v>
      </c>
      <c r="C48" t="s">
        <v>131</v>
      </c>
      <c r="D48" t="s">
        <v>107</v>
      </c>
      <c r="E48" t="s">
        <v>65</v>
      </c>
      <c r="F48">
        <v>0.3</v>
      </c>
      <c r="G48">
        <v>1</v>
      </c>
      <c r="H48" s="1">
        <v>17.32</v>
      </c>
      <c r="I48" s="1">
        <v>18.13</v>
      </c>
      <c r="J48">
        <f>28+13</f>
        <v>41</v>
      </c>
      <c r="K48">
        <v>16.2</v>
      </c>
      <c r="L48">
        <v>3</v>
      </c>
      <c r="M48">
        <v>3</v>
      </c>
      <c r="N48">
        <f t="shared" ref="N48:N92" si="21">M48*0.25</f>
        <v>0.75</v>
      </c>
      <c r="O48" s="2" t="s">
        <v>121</v>
      </c>
      <c r="P48">
        <v>35.455256999999996</v>
      </c>
      <c r="Q48">
        <f t="shared" ref="Q48:Q80" si="22">(P48-AVERAGE($P$93,$P$94))*F48</f>
        <v>7.332511274999999</v>
      </c>
      <c r="R48">
        <f t="shared" ref="R48:R80" si="23">(Q48/J48*60)/G48</f>
        <v>10.730504304878048</v>
      </c>
      <c r="S48">
        <v>111.78209000000001</v>
      </c>
      <c r="T48">
        <f t="shared" ref="T48:T94" si="24">(S48-AVERAGE($S$93,$S$94))*F48</f>
        <v>28.407078000000002</v>
      </c>
      <c r="U48">
        <f t="shared" ref="U48:U92" si="25">(T48/J48*60)/G48</f>
        <v>41.571333658536588</v>
      </c>
      <c r="V48">
        <v>30.952946323827376</v>
      </c>
      <c r="W48">
        <f>(V48-AVERAGE($V$93,$V$94))*F48</f>
        <v>5.0942745237481892</v>
      </c>
      <c r="X48">
        <f>(W48/J48*60)/G48</f>
        <v>7.4550358884119836</v>
      </c>
      <c r="Y48">
        <v>656.87230738030394</v>
      </c>
      <c r="Z48">
        <f>(Y48-AVERAGE($Y$93,$Y$94))*F48</f>
        <v>28.79579541627545</v>
      </c>
      <c r="AA48">
        <f t="shared" si="8"/>
        <v>42.140188414061633</v>
      </c>
      <c r="AB48" s="4">
        <v>41.268769832931916</v>
      </c>
      <c r="AC48" s="4">
        <v>11.657486598331682</v>
      </c>
      <c r="AD48" t="s">
        <v>31</v>
      </c>
      <c r="AE48">
        <v>3.5401087090966885</v>
      </c>
      <c r="AF48" t="s">
        <v>31</v>
      </c>
      <c r="AG48" t="s">
        <v>31</v>
      </c>
      <c r="AH48" s="4">
        <v>-19.862049406277322</v>
      </c>
      <c r="AI48" s="4">
        <v>8.3847586859687198</v>
      </c>
    </row>
    <row r="49" spans="1:35" x14ac:dyDescent="0.35">
      <c r="A49">
        <v>201</v>
      </c>
      <c r="B49" t="s">
        <v>106</v>
      </c>
      <c r="C49" t="s">
        <v>131</v>
      </c>
      <c r="D49" t="s">
        <v>107</v>
      </c>
      <c r="E49" t="s">
        <v>65</v>
      </c>
      <c r="F49">
        <v>0.3</v>
      </c>
      <c r="G49">
        <v>1</v>
      </c>
      <c r="H49" s="1">
        <v>17.34</v>
      </c>
      <c r="I49" s="1">
        <v>18.149999999999999</v>
      </c>
      <c r="J49">
        <f>26+15</f>
        <v>41</v>
      </c>
      <c r="K49">
        <v>16.2</v>
      </c>
      <c r="L49">
        <v>2</v>
      </c>
      <c r="M49">
        <v>2</v>
      </c>
      <c r="N49">
        <f t="shared" si="21"/>
        <v>0.5</v>
      </c>
      <c r="O49" s="2" t="s">
        <v>120</v>
      </c>
      <c r="P49">
        <v>25.404004499999999</v>
      </c>
      <c r="Q49">
        <f t="shared" si="22"/>
        <v>4.3171355250000003</v>
      </c>
      <c r="R49">
        <f t="shared" si="23"/>
        <v>6.3177593048780496</v>
      </c>
      <c r="S49">
        <v>148.56292000000002</v>
      </c>
      <c r="T49">
        <f t="shared" si="24"/>
        <v>39.441327000000001</v>
      </c>
      <c r="U49">
        <f t="shared" si="25"/>
        <v>57.719015121951223</v>
      </c>
      <c r="V49">
        <v>20.930643997385719</v>
      </c>
      <c r="W49">
        <f t="shared" ref="W49:W94" si="26">(V49-AVERAGE($V$93,$V$94))*F49</f>
        <v>2.0875838258156922</v>
      </c>
      <c r="X49">
        <f t="shared" ref="X49:X112" si="27">(W49/J49*60)/G49</f>
        <v>3.0550007207058911</v>
      </c>
      <c r="Y49">
        <v>805.24412594465775</v>
      </c>
      <c r="Z49">
        <f t="shared" ref="Z49:Z94" si="28">(Y49-AVERAGE($Y$93,$Y$94))*F49</f>
        <v>73.30734098558159</v>
      </c>
      <c r="AA49">
        <f t="shared" si="8"/>
        <v>107.27903558865599</v>
      </c>
      <c r="AB49" s="4">
        <v>48.023862040266181</v>
      </c>
      <c r="AC49" s="4">
        <v>13.571514530090662</v>
      </c>
      <c r="AD49" t="s">
        <v>31</v>
      </c>
      <c r="AE49">
        <v>3.5385779482303192</v>
      </c>
      <c r="AF49" t="s">
        <v>31</v>
      </c>
      <c r="AG49" t="s">
        <v>31</v>
      </c>
      <c r="AH49" s="4">
        <v>-18.679240911920768</v>
      </c>
      <c r="AI49" s="4">
        <v>8.7270334952932984</v>
      </c>
    </row>
    <row r="50" spans="1:35" x14ac:dyDescent="0.35">
      <c r="A50">
        <v>202</v>
      </c>
      <c r="B50" t="s">
        <v>106</v>
      </c>
      <c r="C50" t="s">
        <v>131</v>
      </c>
      <c r="D50" t="s">
        <v>107</v>
      </c>
      <c r="E50" t="s">
        <v>65</v>
      </c>
      <c r="F50">
        <v>0.3</v>
      </c>
      <c r="G50">
        <v>1</v>
      </c>
      <c r="H50" s="1">
        <v>17.36</v>
      </c>
      <c r="I50" s="1">
        <v>18.170000000000002</v>
      </c>
      <c r="J50">
        <f>24+17</f>
        <v>41</v>
      </c>
      <c r="K50">
        <v>16.2</v>
      </c>
      <c r="L50">
        <v>3</v>
      </c>
      <c r="M50">
        <v>3</v>
      </c>
      <c r="N50">
        <f t="shared" si="21"/>
        <v>0.75</v>
      </c>
      <c r="O50" s="2" t="s">
        <v>120</v>
      </c>
      <c r="P50">
        <v>18.833917500000002</v>
      </c>
      <c r="Q50">
        <f t="shared" si="22"/>
        <v>2.3461094250000007</v>
      </c>
      <c r="R50">
        <f t="shared" si="23"/>
        <v>3.4333308658536597</v>
      </c>
      <c r="S50">
        <v>104.35124000000002</v>
      </c>
      <c r="T50">
        <f t="shared" si="24"/>
        <v>26.177823000000004</v>
      </c>
      <c r="U50">
        <f t="shared" si="25"/>
        <v>38.309009268292691</v>
      </c>
      <c r="V50">
        <v>19.600670228947958</v>
      </c>
      <c r="W50">
        <f t="shared" si="26"/>
        <v>1.688591695284364</v>
      </c>
      <c r="X50">
        <f t="shared" si="27"/>
        <v>2.4711097979771179</v>
      </c>
      <c r="Y50">
        <v>487.61378086572387</v>
      </c>
      <c r="Z50">
        <f t="shared" si="28"/>
        <v>-21.981762538098568</v>
      </c>
      <c r="AA50">
        <f t="shared" si="8"/>
        <v>-32.168432982583269</v>
      </c>
      <c r="AB50" s="4">
        <v>50.463596319797603</v>
      </c>
      <c r="AC50" s="4">
        <v>13.483840144439847</v>
      </c>
      <c r="AD50" t="s">
        <v>31</v>
      </c>
      <c r="AE50">
        <v>3.7425240717205184</v>
      </c>
      <c r="AF50" t="s">
        <v>31</v>
      </c>
      <c r="AG50" t="s">
        <v>31</v>
      </c>
      <c r="AH50" s="4">
        <v>-20.053856189145954</v>
      </c>
      <c r="AI50" s="4">
        <v>9.1981531322659187</v>
      </c>
    </row>
    <row r="51" spans="1:35" x14ac:dyDescent="0.35">
      <c r="A51">
        <v>203</v>
      </c>
      <c r="B51" t="s">
        <v>106</v>
      </c>
      <c r="C51" t="s">
        <v>131</v>
      </c>
      <c r="D51" t="s">
        <v>107</v>
      </c>
      <c r="E51" t="s">
        <v>65</v>
      </c>
      <c r="F51">
        <v>0.3</v>
      </c>
      <c r="G51">
        <v>1</v>
      </c>
      <c r="H51" s="1">
        <v>17.37</v>
      </c>
      <c r="I51" s="1">
        <v>18.18</v>
      </c>
      <c r="J51">
        <f>23+18</f>
        <v>41</v>
      </c>
      <c r="K51">
        <v>16.2</v>
      </c>
      <c r="L51">
        <v>4</v>
      </c>
      <c r="M51">
        <v>4</v>
      </c>
      <c r="N51">
        <f t="shared" si="21"/>
        <v>1</v>
      </c>
      <c r="O51" s="2" t="s">
        <v>120</v>
      </c>
      <c r="P51">
        <v>16.382392500000002</v>
      </c>
      <c r="Q51">
        <f t="shared" si="22"/>
        <v>1.6106519250000009</v>
      </c>
      <c r="R51">
        <f t="shared" si="23"/>
        <v>2.3570515975609769</v>
      </c>
      <c r="S51">
        <v>192.6722</v>
      </c>
      <c r="T51">
        <f t="shared" si="24"/>
        <v>52.674111000000003</v>
      </c>
      <c r="U51">
        <f t="shared" si="25"/>
        <v>77.084064878048778</v>
      </c>
      <c r="V51">
        <v>17.130718944706413</v>
      </c>
      <c r="W51">
        <f t="shared" si="26"/>
        <v>0.94760631001190021</v>
      </c>
      <c r="X51">
        <f t="shared" si="27"/>
        <v>1.3867409414808296</v>
      </c>
      <c r="Y51">
        <v>769.76125755513817</v>
      </c>
      <c r="Z51">
        <f t="shared" si="28"/>
        <v>62.662480468725718</v>
      </c>
      <c r="AA51">
        <f t="shared" si="8"/>
        <v>91.701190929842511</v>
      </c>
      <c r="AB51" s="4">
        <v>44.829084275094807</v>
      </c>
      <c r="AC51" s="4">
        <v>13.217583694498243</v>
      </c>
      <c r="AD51" t="s">
        <v>31</v>
      </c>
      <c r="AE51">
        <v>3.3916247713078378</v>
      </c>
      <c r="AF51" t="s">
        <v>31</v>
      </c>
      <c r="AG51" t="s">
        <v>31</v>
      </c>
      <c r="AH51" s="4">
        <v>-17.393536070504485</v>
      </c>
      <c r="AI51" s="4">
        <v>7.8831490516137386</v>
      </c>
    </row>
    <row r="52" spans="1:35" x14ac:dyDescent="0.35">
      <c r="A52">
        <v>204</v>
      </c>
      <c r="B52" t="s">
        <v>106</v>
      </c>
      <c r="C52" t="s">
        <v>131</v>
      </c>
      <c r="D52" t="s">
        <v>107</v>
      </c>
      <c r="E52" t="s">
        <v>65</v>
      </c>
      <c r="F52">
        <v>0.3</v>
      </c>
      <c r="G52">
        <v>1</v>
      </c>
      <c r="H52" s="1">
        <v>17.38</v>
      </c>
      <c r="I52" s="1">
        <v>18.190000000000001</v>
      </c>
      <c r="J52">
        <f>22+19</f>
        <v>41</v>
      </c>
      <c r="K52">
        <v>16.2</v>
      </c>
      <c r="L52">
        <v>3</v>
      </c>
      <c r="M52">
        <v>3</v>
      </c>
      <c r="N52">
        <f t="shared" si="21"/>
        <v>0.75</v>
      </c>
      <c r="O52" s="2" t="s">
        <v>120</v>
      </c>
      <c r="P52">
        <v>13.342501499999999</v>
      </c>
      <c r="Q52">
        <f t="shared" si="22"/>
        <v>0.69868462500000006</v>
      </c>
      <c r="R52">
        <f t="shared" si="23"/>
        <v>1.022465304878049</v>
      </c>
      <c r="S52">
        <v>106.68665</v>
      </c>
      <c r="T52">
        <f t="shared" si="24"/>
        <v>26.878446</v>
      </c>
      <c r="U52">
        <f t="shared" si="25"/>
        <v>39.334311219512195</v>
      </c>
      <c r="V52">
        <v>16.60822924996301</v>
      </c>
      <c r="W52">
        <f t="shared" si="26"/>
        <v>0.79085940158887946</v>
      </c>
      <c r="X52">
        <f t="shared" si="27"/>
        <v>1.1573552218373846</v>
      </c>
      <c r="Y52">
        <v>418.41397050929788</v>
      </c>
      <c r="Z52">
        <f t="shared" si="28"/>
        <v>-42.741705645026364</v>
      </c>
      <c r="AA52">
        <f t="shared" si="8"/>
        <v>-62.54883752930688</v>
      </c>
      <c r="AB52" s="4">
        <v>48.105372156855218</v>
      </c>
      <c r="AC52" s="4">
        <v>11.913260402967483</v>
      </c>
      <c r="AD52" t="s">
        <v>31</v>
      </c>
      <c r="AE52">
        <v>4.0379686609446237</v>
      </c>
      <c r="AF52" t="s">
        <v>31</v>
      </c>
      <c r="AG52" t="s">
        <v>31</v>
      </c>
      <c r="AH52" s="4">
        <v>-19.45645798000303</v>
      </c>
      <c r="AI52" s="4">
        <v>7.8546261508366904</v>
      </c>
    </row>
    <row r="53" spans="1:35" x14ac:dyDescent="0.35">
      <c r="A53">
        <v>205</v>
      </c>
      <c r="B53" t="s">
        <v>106</v>
      </c>
      <c r="C53" t="s">
        <v>131</v>
      </c>
      <c r="D53" t="s">
        <v>107</v>
      </c>
      <c r="E53" t="s">
        <v>65</v>
      </c>
      <c r="F53">
        <v>0.3</v>
      </c>
      <c r="G53">
        <v>1</v>
      </c>
      <c r="H53" s="1">
        <v>17.399999999999999</v>
      </c>
      <c r="I53" s="1">
        <v>18.2</v>
      </c>
      <c r="J53">
        <v>40</v>
      </c>
      <c r="K53">
        <v>16.2</v>
      </c>
      <c r="L53">
        <v>3</v>
      </c>
      <c r="M53">
        <v>3</v>
      </c>
      <c r="N53">
        <f t="shared" si="21"/>
        <v>0.75</v>
      </c>
      <c r="O53" s="2" t="s">
        <v>120</v>
      </c>
      <c r="P53">
        <v>27.561346499999999</v>
      </c>
      <c r="Q53">
        <f t="shared" si="22"/>
        <v>4.9643381250000003</v>
      </c>
      <c r="R53">
        <f t="shared" si="23"/>
        <v>7.4465071875</v>
      </c>
      <c r="S53">
        <v>209.47904</v>
      </c>
      <c r="T53">
        <f t="shared" si="24"/>
        <v>57.716162999999995</v>
      </c>
      <c r="U53">
        <f t="shared" si="25"/>
        <v>86.574244499999992</v>
      </c>
      <c r="V53">
        <v>12.048319186747847</v>
      </c>
      <c r="W53">
        <f t="shared" si="26"/>
        <v>-0.57711361737566946</v>
      </c>
      <c r="X53" t="s">
        <v>31</v>
      </c>
      <c r="Y53">
        <v>799.31898223529549</v>
      </c>
      <c r="Z53">
        <f t="shared" si="28"/>
        <v>71.529797872772917</v>
      </c>
      <c r="AA53">
        <f t="shared" si="8"/>
        <v>107.29469680915938</v>
      </c>
      <c r="AB53" s="4">
        <v>47.845184510930856</v>
      </c>
      <c r="AC53" s="4">
        <v>13.707852722485121</v>
      </c>
      <c r="AD53" t="s">
        <v>31</v>
      </c>
      <c r="AE53">
        <v>3.4903485964982646</v>
      </c>
      <c r="AF53" t="s">
        <v>31</v>
      </c>
      <c r="AG53" t="s">
        <v>31</v>
      </c>
      <c r="AH53" s="4">
        <v>-20.02688336030505</v>
      </c>
      <c r="AI53" s="4">
        <v>7.8438071195074652</v>
      </c>
    </row>
    <row r="54" spans="1:35" x14ac:dyDescent="0.35">
      <c r="A54">
        <v>206</v>
      </c>
      <c r="B54" t="s">
        <v>106</v>
      </c>
      <c r="C54" t="s">
        <v>131</v>
      </c>
      <c r="D54" t="s">
        <v>108</v>
      </c>
      <c r="E54" t="s">
        <v>65</v>
      </c>
      <c r="F54">
        <v>0.3</v>
      </c>
      <c r="G54">
        <v>1</v>
      </c>
      <c r="H54" s="1">
        <v>17.440000000000001</v>
      </c>
      <c r="I54" s="1">
        <v>18.21</v>
      </c>
      <c r="J54">
        <v>37</v>
      </c>
      <c r="K54">
        <v>16.2</v>
      </c>
      <c r="L54">
        <v>3</v>
      </c>
      <c r="M54">
        <v>3</v>
      </c>
      <c r="N54">
        <f t="shared" si="21"/>
        <v>0.75</v>
      </c>
      <c r="O54" t="s">
        <v>122</v>
      </c>
      <c r="P54">
        <v>19.863558000000001</v>
      </c>
      <c r="Q54">
        <f t="shared" si="22"/>
        <v>2.6550015750000004</v>
      </c>
      <c r="R54">
        <f t="shared" si="23"/>
        <v>4.3054079594594601</v>
      </c>
      <c r="S54">
        <v>63.534300000000002</v>
      </c>
      <c r="T54">
        <f t="shared" si="24"/>
        <v>13.932741</v>
      </c>
      <c r="U54">
        <f t="shared" si="25"/>
        <v>22.593634054054053</v>
      </c>
      <c r="V54">
        <v>18.935683344729082</v>
      </c>
      <c r="W54">
        <f t="shared" si="26"/>
        <v>1.489095630018701</v>
      </c>
      <c r="X54">
        <f t="shared" si="27"/>
        <v>2.4147496703005964</v>
      </c>
      <c r="Y54">
        <v>494.29039783671521</v>
      </c>
      <c r="Z54">
        <f t="shared" si="28"/>
        <v>-19.978777446801164</v>
      </c>
      <c r="AA54">
        <f t="shared" si="8"/>
        <v>-32.398017481299185</v>
      </c>
      <c r="AB54" s="4">
        <v>48.77149830380344</v>
      </c>
      <c r="AC54" s="4">
        <v>14.145544654748724</v>
      </c>
      <c r="AD54" t="s">
        <v>31</v>
      </c>
      <c r="AE54">
        <v>3.4478346005171758</v>
      </c>
      <c r="AF54" t="s">
        <v>31</v>
      </c>
      <c r="AG54" t="s">
        <v>31</v>
      </c>
      <c r="AH54" s="4">
        <v>-19.302612956243816</v>
      </c>
      <c r="AI54" s="4">
        <v>9.9633537117329318</v>
      </c>
    </row>
    <row r="55" spans="1:35" x14ac:dyDescent="0.35">
      <c r="A55">
        <v>207</v>
      </c>
      <c r="B55" t="s">
        <v>106</v>
      </c>
      <c r="C55" t="s">
        <v>131</v>
      </c>
      <c r="D55" t="s">
        <v>108</v>
      </c>
      <c r="E55" t="s">
        <v>65</v>
      </c>
      <c r="F55">
        <v>0.3</v>
      </c>
      <c r="G55">
        <v>1</v>
      </c>
      <c r="H55" s="1">
        <v>17.440000000000001</v>
      </c>
      <c r="I55" s="1">
        <v>18.22</v>
      </c>
      <c r="J55">
        <f>16+22</f>
        <v>38</v>
      </c>
      <c r="K55">
        <v>16.2</v>
      </c>
      <c r="L55">
        <v>3</v>
      </c>
      <c r="M55">
        <v>3</v>
      </c>
      <c r="N55">
        <f t="shared" si="21"/>
        <v>0.75</v>
      </c>
      <c r="O55" t="s">
        <v>122</v>
      </c>
      <c r="P55">
        <v>25.747218</v>
      </c>
      <c r="Q55">
        <f t="shared" si="22"/>
        <v>4.4200995750000001</v>
      </c>
      <c r="R55">
        <f t="shared" si="23"/>
        <v>6.979104592105263</v>
      </c>
      <c r="S55">
        <v>116.23076</v>
      </c>
      <c r="T55">
        <f t="shared" si="24"/>
        <v>29.741678999999998</v>
      </c>
      <c r="U55">
        <f t="shared" si="25"/>
        <v>46.960545789473677</v>
      </c>
      <c r="V55">
        <v>22.973103713200842</v>
      </c>
      <c r="W55">
        <f t="shared" si="26"/>
        <v>2.7003217405602293</v>
      </c>
      <c r="X55">
        <f t="shared" si="27"/>
        <v>4.2636659061477307</v>
      </c>
      <c r="Y55">
        <v>715.21535293542297</v>
      </c>
      <c r="Z55">
        <f t="shared" si="28"/>
        <v>46.298709082811158</v>
      </c>
      <c r="AA55">
        <f t="shared" si="8"/>
        <v>73.103224867596566</v>
      </c>
      <c r="AB55" s="4">
        <v>45.101389328059625</v>
      </c>
      <c r="AC55" s="4">
        <v>13.727274392063153</v>
      </c>
      <c r="AD55" t="s">
        <v>31</v>
      </c>
      <c r="AE55">
        <v>3.2855312744485086</v>
      </c>
      <c r="AF55" t="s">
        <v>31</v>
      </c>
      <c r="AG55" t="s">
        <v>31</v>
      </c>
      <c r="AH55" s="4">
        <v>-16.767167045199113</v>
      </c>
      <c r="AI55" s="4">
        <v>7.7965968009799376</v>
      </c>
    </row>
    <row r="56" spans="1:35" x14ac:dyDescent="0.35">
      <c r="A56">
        <v>208</v>
      </c>
      <c r="B56" t="s">
        <v>106</v>
      </c>
      <c r="C56" t="s">
        <v>131</v>
      </c>
      <c r="D56" t="s">
        <v>108</v>
      </c>
      <c r="E56" t="s">
        <v>65</v>
      </c>
      <c r="F56">
        <v>0.3</v>
      </c>
      <c r="G56">
        <v>1</v>
      </c>
      <c r="H56" s="1">
        <v>17.46</v>
      </c>
      <c r="I56" s="1">
        <v>18.23</v>
      </c>
      <c r="J56">
        <f>14+23</f>
        <v>37</v>
      </c>
      <c r="K56">
        <v>16.2</v>
      </c>
      <c r="L56">
        <v>2</v>
      </c>
      <c r="M56">
        <v>2</v>
      </c>
      <c r="N56">
        <f t="shared" si="21"/>
        <v>0.5</v>
      </c>
      <c r="O56" t="s">
        <v>122</v>
      </c>
      <c r="P56">
        <v>31.336694999999999</v>
      </c>
      <c r="Q56">
        <f t="shared" si="22"/>
        <v>6.0969426750000002</v>
      </c>
      <c r="R56">
        <f t="shared" si="23"/>
        <v>9.8869340675675677</v>
      </c>
      <c r="S56">
        <v>63.674919999999986</v>
      </c>
      <c r="T56">
        <f t="shared" si="24"/>
        <v>13.974926999999996</v>
      </c>
      <c r="U56">
        <f t="shared" si="25"/>
        <v>22.662043783783776</v>
      </c>
      <c r="V56">
        <v>26.393036260612213</v>
      </c>
      <c r="W56">
        <f t="shared" si="26"/>
        <v>3.7263015047836401</v>
      </c>
      <c r="X56">
        <f t="shared" si="27"/>
        <v>6.0426510888383351</v>
      </c>
      <c r="Y56">
        <v>360.45538022612857</v>
      </c>
      <c r="Z56">
        <f t="shared" si="28"/>
        <v>-60.129282729977156</v>
      </c>
      <c r="AA56">
        <f t="shared" si="8"/>
        <v>-97.506944967530515</v>
      </c>
      <c r="AB56" s="4">
        <v>40.054321441921495</v>
      </c>
      <c r="AC56" s="4">
        <v>11.864405784167309</v>
      </c>
      <c r="AD56" t="s">
        <v>31</v>
      </c>
      <c r="AE56">
        <v>3.3760073762288862</v>
      </c>
      <c r="AF56" t="s">
        <v>31</v>
      </c>
      <c r="AG56" t="s">
        <v>31</v>
      </c>
      <c r="AH56" s="4">
        <v>-17.117813820130827</v>
      </c>
      <c r="AI56" s="4">
        <v>8.0729738740265073</v>
      </c>
    </row>
    <row r="57" spans="1:35" x14ac:dyDescent="0.35">
      <c r="A57">
        <v>209</v>
      </c>
      <c r="B57" t="s">
        <v>106</v>
      </c>
      <c r="C57" t="s">
        <v>131</v>
      </c>
      <c r="D57" t="s">
        <v>108</v>
      </c>
      <c r="E57" t="s">
        <v>65</v>
      </c>
      <c r="F57">
        <v>0.3</v>
      </c>
      <c r="G57">
        <v>1</v>
      </c>
      <c r="H57" s="1">
        <v>17.46</v>
      </c>
      <c r="I57" s="1">
        <v>18.239999999999998</v>
      </c>
      <c r="J57">
        <f>14+24</f>
        <v>38</v>
      </c>
      <c r="K57">
        <v>16.2</v>
      </c>
      <c r="L57">
        <v>2</v>
      </c>
      <c r="M57">
        <v>2</v>
      </c>
      <c r="N57">
        <f t="shared" si="21"/>
        <v>0.5</v>
      </c>
      <c r="O57" t="s">
        <v>122</v>
      </c>
      <c r="P57">
        <v>38.4461175</v>
      </c>
      <c r="Q57">
        <f t="shared" si="22"/>
        <v>8.2297694250000006</v>
      </c>
      <c r="R57">
        <f t="shared" si="23"/>
        <v>12.994372776315791</v>
      </c>
      <c r="S57">
        <v>114.21851999999998</v>
      </c>
      <c r="T57">
        <f t="shared" si="24"/>
        <v>29.138006999999995</v>
      </c>
      <c r="U57">
        <f t="shared" si="25"/>
        <v>46.007379473684203</v>
      </c>
      <c r="V57">
        <v>39.122785187087871</v>
      </c>
      <c r="W57">
        <f t="shared" si="26"/>
        <v>7.5452261827263376</v>
      </c>
      <c r="X57">
        <f t="shared" si="27"/>
        <v>11.913515025357375</v>
      </c>
      <c r="Y57">
        <v>739.22563603237779</v>
      </c>
      <c r="Z57">
        <f t="shared" si="28"/>
        <v>53.501794011897609</v>
      </c>
      <c r="AA57">
        <f t="shared" si="8"/>
        <v>84.476516860890968</v>
      </c>
      <c r="AB57" s="4">
        <v>46.622035665190204</v>
      </c>
      <c r="AC57" s="4">
        <v>13.9946723121618</v>
      </c>
      <c r="AD57" t="s">
        <v>31</v>
      </c>
      <c r="AE57">
        <v>3.3314131710446855</v>
      </c>
      <c r="AF57" t="s">
        <v>31</v>
      </c>
      <c r="AG57" t="s">
        <v>31</v>
      </c>
      <c r="AH57" s="4">
        <v>-18.102821569654104</v>
      </c>
      <c r="AI57" s="4">
        <v>8.5932709261319697</v>
      </c>
    </row>
    <row r="58" spans="1:35" x14ac:dyDescent="0.35">
      <c r="A58">
        <v>210</v>
      </c>
      <c r="B58" t="s">
        <v>106</v>
      </c>
      <c r="C58" t="s">
        <v>131</v>
      </c>
      <c r="D58" t="s">
        <v>107</v>
      </c>
      <c r="E58" t="s">
        <v>65</v>
      </c>
      <c r="F58">
        <v>0.3</v>
      </c>
      <c r="G58">
        <v>1</v>
      </c>
      <c r="H58" s="1">
        <v>17.47</v>
      </c>
      <c r="I58" s="1">
        <v>18.25</v>
      </c>
      <c r="J58">
        <f>13+25</f>
        <v>38</v>
      </c>
      <c r="K58">
        <v>16.2</v>
      </c>
      <c r="L58">
        <v>3</v>
      </c>
      <c r="M58">
        <v>3</v>
      </c>
      <c r="N58">
        <f t="shared" si="21"/>
        <v>0.75</v>
      </c>
      <c r="O58" t="s">
        <v>122</v>
      </c>
      <c r="P58">
        <v>13.587654000000001</v>
      </c>
      <c r="Q58">
        <f t="shared" si="22"/>
        <v>0.77223037500000047</v>
      </c>
      <c r="R58">
        <f t="shared" si="23"/>
        <v>1.2193111184210532</v>
      </c>
      <c r="S58">
        <v>70.577699999999993</v>
      </c>
      <c r="T58">
        <f t="shared" si="24"/>
        <v>16.045760999999995</v>
      </c>
      <c r="U58">
        <f t="shared" si="25"/>
        <v>25.335412105263153</v>
      </c>
      <c r="V58">
        <v>31.475436018570782</v>
      </c>
      <c r="W58">
        <f t="shared" si="26"/>
        <v>5.2510214321712114</v>
      </c>
      <c r="X58">
        <f t="shared" si="27"/>
        <v>8.2910864718492796</v>
      </c>
      <c r="Y58">
        <v>344.97485292106433</v>
      </c>
      <c r="Z58">
        <f t="shared" si="28"/>
        <v>-64.77344092149643</v>
      </c>
      <c r="AA58">
        <f t="shared" si="8"/>
        <v>-102.27385408657331</v>
      </c>
      <c r="AB58" s="4">
        <v>45.399814637054185</v>
      </c>
      <c r="AC58" s="4">
        <v>12.493075857076738</v>
      </c>
      <c r="AD58" t="s">
        <v>31</v>
      </c>
      <c r="AE58">
        <v>3.6339981567739645</v>
      </c>
      <c r="AF58" t="s">
        <v>31</v>
      </c>
      <c r="AG58" t="s">
        <v>31</v>
      </c>
      <c r="AH58" s="4">
        <v>-20.224684105138326</v>
      </c>
      <c r="AI58" s="4">
        <v>10.514140761220755</v>
      </c>
    </row>
    <row r="59" spans="1:35" x14ac:dyDescent="0.35">
      <c r="A59">
        <v>211</v>
      </c>
      <c r="B59" t="s">
        <v>106</v>
      </c>
      <c r="C59" t="s">
        <v>131</v>
      </c>
      <c r="D59" t="s">
        <v>108</v>
      </c>
      <c r="E59" t="s">
        <v>65</v>
      </c>
      <c r="F59">
        <v>0.3</v>
      </c>
      <c r="G59">
        <v>1</v>
      </c>
      <c r="H59" s="1">
        <v>17.48</v>
      </c>
      <c r="I59" s="1">
        <v>18.27</v>
      </c>
      <c r="J59">
        <v>39</v>
      </c>
      <c r="K59">
        <v>16.2</v>
      </c>
      <c r="L59">
        <v>4</v>
      </c>
      <c r="M59">
        <v>4</v>
      </c>
      <c r="N59">
        <f t="shared" si="21"/>
        <v>1</v>
      </c>
      <c r="O59" t="s">
        <v>122</v>
      </c>
      <c r="P59">
        <v>45.016204500000008</v>
      </c>
      <c r="Q59">
        <f t="shared" si="22"/>
        <v>10.200795525000004</v>
      </c>
      <c r="R59">
        <f t="shared" si="23"/>
        <v>15.693531576923084</v>
      </c>
      <c r="S59">
        <v>89.192400000000006</v>
      </c>
      <c r="T59">
        <f t="shared" si="24"/>
        <v>21.630171000000001</v>
      </c>
      <c r="U59">
        <f t="shared" si="25"/>
        <v>33.277186153846159</v>
      </c>
      <c r="V59">
        <v>34.467876997555734</v>
      </c>
      <c r="W59">
        <f t="shared" si="26"/>
        <v>6.1487537258666967</v>
      </c>
      <c r="X59">
        <f t="shared" si="27"/>
        <v>9.4596211167179955</v>
      </c>
      <c r="Y59">
        <v>480.12490159504068</v>
      </c>
      <c r="Z59">
        <f t="shared" si="28"/>
        <v>-24.228426319303527</v>
      </c>
      <c r="AA59">
        <f t="shared" si="8"/>
        <v>-37.274502029697729</v>
      </c>
      <c r="AB59" s="4">
        <v>46.441976239614213</v>
      </c>
      <c r="AC59" s="4">
        <v>13.763615704001237</v>
      </c>
      <c r="AD59" t="s">
        <v>31</v>
      </c>
      <c r="AE59">
        <v>3.3742569713068211</v>
      </c>
      <c r="AF59" t="s">
        <v>31</v>
      </c>
      <c r="AG59" t="s">
        <v>31</v>
      </c>
      <c r="AH59" s="4">
        <v>-17.008923511106449</v>
      </c>
      <c r="AI59" s="4">
        <v>8.3454167538624482</v>
      </c>
    </row>
    <row r="60" spans="1:35" x14ac:dyDescent="0.35">
      <c r="A60">
        <v>212</v>
      </c>
      <c r="B60" t="s">
        <v>106</v>
      </c>
      <c r="C60" t="s">
        <v>131</v>
      </c>
      <c r="D60" t="s">
        <v>108</v>
      </c>
      <c r="E60" t="s">
        <v>65</v>
      </c>
      <c r="F60">
        <v>0.3</v>
      </c>
      <c r="G60">
        <v>1</v>
      </c>
      <c r="H60" s="1">
        <v>17.53</v>
      </c>
      <c r="I60" s="1">
        <v>18.28</v>
      </c>
      <c r="J60">
        <v>35</v>
      </c>
      <c r="K60">
        <v>16.2</v>
      </c>
      <c r="L60">
        <v>2</v>
      </c>
      <c r="M60">
        <v>2</v>
      </c>
      <c r="N60">
        <f t="shared" si="21"/>
        <v>0.5</v>
      </c>
      <c r="O60" t="s">
        <v>122</v>
      </c>
      <c r="P60">
        <v>29.375474999999998</v>
      </c>
      <c r="Q60">
        <f t="shared" si="22"/>
        <v>5.5085766749999996</v>
      </c>
      <c r="R60">
        <f t="shared" si="23"/>
        <v>9.4432742999999988</v>
      </c>
      <c r="S60">
        <v>76.620659999999987</v>
      </c>
      <c r="T60">
        <f t="shared" si="24"/>
        <v>17.858648999999996</v>
      </c>
      <c r="U60">
        <f t="shared" si="25"/>
        <v>30.614826857142855</v>
      </c>
      <c r="V60">
        <v>27.62801190273299</v>
      </c>
      <c r="W60">
        <f t="shared" si="26"/>
        <v>4.0967941974198734</v>
      </c>
      <c r="X60">
        <f t="shared" si="27"/>
        <v>7.0230757670054969</v>
      </c>
      <c r="Y60">
        <v>688.53829883378557</v>
      </c>
      <c r="Z60">
        <f t="shared" si="28"/>
        <v>38.295592852319942</v>
      </c>
      <c r="AA60">
        <f t="shared" si="8"/>
        <v>65.649587746834186</v>
      </c>
      <c r="AB60" s="4">
        <v>45.506955377509499</v>
      </c>
      <c r="AC60" s="4">
        <v>12.921571127034527</v>
      </c>
      <c r="AD60" t="s">
        <v>31</v>
      </c>
      <c r="AE60">
        <v>3.5217819048567391</v>
      </c>
      <c r="AF60" t="s">
        <v>31</v>
      </c>
      <c r="AG60" t="s">
        <v>31</v>
      </c>
      <c r="AH60" s="4">
        <v>-19.060856490336484</v>
      </c>
      <c r="AI60" s="4">
        <v>7.365802644416247</v>
      </c>
    </row>
    <row r="61" spans="1:35" x14ac:dyDescent="0.35">
      <c r="A61">
        <v>213</v>
      </c>
      <c r="B61" t="s">
        <v>106</v>
      </c>
      <c r="C61" t="s">
        <v>131</v>
      </c>
      <c r="D61" t="s">
        <v>108</v>
      </c>
      <c r="E61" t="s">
        <v>65</v>
      </c>
      <c r="F61">
        <v>0.3</v>
      </c>
      <c r="G61">
        <v>1</v>
      </c>
      <c r="H61" s="1">
        <v>17.54</v>
      </c>
      <c r="I61" s="1">
        <v>18.29</v>
      </c>
      <c r="J61">
        <v>35</v>
      </c>
      <c r="K61">
        <v>16.2</v>
      </c>
      <c r="L61">
        <v>3</v>
      </c>
      <c r="M61">
        <v>3</v>
      </c>
      <c r="N61">
        <f t="shared" si="21"/>
        <v>0.75</v>
      </c>
      <c r="O61" t="s">
        <v>122</v>
      </c>
      <c r="P61">
        <v>31.336694999999999</v>
      </c>
      <c r="Q61">
        <f t="shared" si="22"/>
        <v>6.0969426750000002</v>
      </c>
      <c r="R61">
        <f t="shared" si="23"/>
        <v>10.451901728571428</v>
      </c>
      <c r="S61">
        <v>103.09180000000001</v>
      </c>
      <c r="T61">
        <f t="shared" si="24"/>
        <v>25.799991000000002</v>
      </c>
      <c r="U61">
        <f t="shared" si="25"/>
        <v>44.228556000000005</v>
      </c>
      <c r="V61">
        <v>26.345537197453719</v>
      </c>
      <c r="W61">
        <f t="shared" si="26"/>
        <v>3.712051785836092</v>
      </c>
      <c r="X61">
        <f t="shared" si="27"/>
        <v>6.3635173471475861</v>
      </c>
      <c r="Y61">
        <v>671.11267238388632</v>
      </c>
      <c r="Z61">
        <f t="shared" si="28"/>
        <v>33.067904917350162</v>
      </c>
      <c r="AA61">
        <f t="shared" si="8"/>
        <v>56.687837001171708</v>
      </c>
      <c r="AB61">
        <v>43.226796733858045</v>
      </c>
      <c r="AC61">
        <v>12.927991861589712</v>
      </c>
      <c r="AD61" t="s">
        <v>31</v>
      </c>
      <c r="AE61">
        <v>3.344076243367573</v>
      </c>
      <c r="AF61" t="s">
        <v>31</v>
      </c>
      <c r="AG61" t="s">
        <v>31</v>
      </c>
      <c r="AH61">
        <v>-17.951307531103364</v>
      </c>
      <c r="AI61">
        <v>8.2818139636239732</v>
      </c>
    </row>
    <row r="62" spans="1:35" x14ac:dyDescent="0.35">
      <c r="A62">
        <v>214</v>
      </c>
      <c r="B62" t="s">
        <v>106</v>
      </c>
      <c r="C62" t="s">
        <v>131</v>
      </c>
      <c r="D62" t="s">
        <v>107</v>
      </c>
      <c r="E62" t="s">
        <v>65</v>
      </c>
      <c r="F62">
        <v>0.3</v>
      </c>
      <c r="G62">
        <v>1</v>
      </c>
      <c r="H62" s="1">
        <v>17.55</v>
      </c>
      <c r="I62" s="1">
        <v>18.309999999999999</v>
      </c>
      <c r="J62">
        <v>36</v>
      </c>
      <c r="K62">
        <v>16.2</v>
      </c>
      <c r="L62">
        <v>4</v>
      </c>
      <c r="M62">
        <v>4</v>
      </c>
      <c r="N62">
        <f t="shared" si="21"/>
        <v>1</v>
      </c>
      <c r="O62" t="s">
        <v>122</v>
      </c>
      <c r="P62">
        <v>19.618405499999998</v>
      </c>
      <c r="Q62">
        <f t="shared" si="22"/>
        <v>2.5814558249999995</v>
      </c>
      <c r="R62">
        <f t="shared" si="23"/>
        <v>4.3024263749999996</v>
      </c>
      <c r="S62">
        <v>205.66004999999998</v>
      </c>
      <c r="T62">
        <f t="shared" si="24"/>
        <v>56.570465999999996</v>
      </c>
      <c r="U62">
        <f t="shared" si="25"/>
        <v>94.284109999999998</v>
      </c>
      <c r="V62">
        <v>19.648169292106452</v>
      </c>
      <c r="W62">
        <f t="shared" si="26"/>
        <v>1.7028414142319122</v>
      </c>
      <c r="X62">
        <f t="shared" si="27"/>
        <v>2.8380690237198536</v>
      </c>
      <c r="Y62">
        <v>705.93936744767348</v>
      </c>
      <c r="Z62">
        <f t="shared" si="28"/>
        <v>43.515913436486308</v>
      </c>
      <c r="AA62">
        <f t="shared" si="8"/>
        <v>72.526522394143839</v>
      </c>
      <c r="AB62">
        <v>45.855573752930248</v>
      </c>
      <c r="AC62">
        <v>13.107901323778782</v>
      </c>
      <c r="AD62" t="s">
        <v>31</v>
      </c>
      <c r="AE62">
        <v>3.4983154526609512</v>
      </c>
      <c r="AF62" t="s">
        <v>31</v>
      </c>
      <c r="AG62" t="s">
        <v>31</v>
      </c>
      <c r="AH62">
        <v>-15.374569882079996</v>
      </c>
      <c r="AI62">
        <v>7.7415180960311538</v>
      </c>
    </row>
    <row r="63" spans="1:35" x14ac:dyDescent="0.35">
      <c r="A63">
        <v>215</v>
      </c>
      <c r="B63" t="s">
        <v>106</v>
      </c>
      <c r="C63" t="s">
        <v>131</v>
      </c>
      <c r="D63" t="s">
        <v>107</v>
      </c>
      <c r="E63" t="s">
        <v>65</v>
      </c>
      <c r="F63">
        <v>0.3</v>
      </c>
      <c r="G63">
        <v>1</v>
      </c>
      <c r="H63" s="1">
        <v>17.55</v>
      </c>
      <c r="I63" s="1">
        <v>18.32</v>
      </c>
      <c r="J63">
        <v>37</v>
      </c>
      <c r="K63">
        <v>16.2</v>
      </c>
      <c r="L63">
        <v>2</v>
      </c>
      <c r="M63">
        <v>2</v>
      </c>
      <c r="N63">
        <f t="shared" si="21"/>
        <v>0.5</v>
      </c>
      <c r="O63" t="s">
        <v>122</v>
      </c>
      <c r="P63">
        <v>16.725606000000003</v>
      </c>
      <c r="Q63">
        <f t="shared" si="22"/>
        <v>1.7136159750000011</v>
      </c>
      <c r="R63">
        <f t="shared" si="23"/>
        <v>2.778836716216218</v>
      </c>
      <c r="S63">
        <v>88.437749999999994</v>
      </c>
      <c r="T63">
        <f t="shared" si="24"/>
        <v>21.403775999999997</v>
      </c>
      <c r="U63">
        <f t="shared" si="25"/>
        <v>34.708825945945939</v>
      </c>
      <c r="V63">
        <v>16.038240492061114</v>
      </c>
      <c r="W63">
        <f t="shared" si="26"/>
        <v>0.6198627742183106</v>
      </c>
      <c r="X63">
        <f t="shared" si="27"/>
        <v>1.005182877110774</v>
      </c>
      <c r="Y63">
        <v>455.22338421730319</v>
      </c>
      <c r="Z63">
        <f t="shared" si="28"/>
        <v>-31.698881532624771</v>
      </c>
      <c r="AA63">
        <f t="shared" si="8"/>
        <v>-51.403591674526652</v>
      </c>
      <c r="AB63">
        <v>45.151981351258598</v>
      </c>
      <c r="AC63">
        <v>12.851598659115895</v>
      </c>
      <c r="AD63" t="s">
        <v>31</v>
      </c>
      <c r="AE63">
        <v>3.5133357762640212</v>
      </c>
      <c r="AF63" t="s">
        <v>31</v>
      </c>
      <c r="AG63" t="s">
        <v>31</v>
      </c>
      <c r="AH63">
        <v>-20.312595547286449</v>
      </c>
      <c r="AI63">
        <v>9.8787685577044435</v>
      </c>
    </row>
    <row r="64" spans="1:35" x14ac:dyDescent="0.35">
      <c r="A64">
        <v>216</v>
      </c>
      <c r="B64" t="s">
        <v>106</v>
      </c>
      <c r="C64" t="s">
        <v>131</v>
      </c>
      <c r="D64" t="s">
        <v>107</v>
      </c>
      <c r="E64" t="s">
        <v>65</v>
      </c>
      <c r="F64">
        <v>0.3</v>
      </c>
      <c r="G64">
        <v>1</v>
      </c>
      <c r="H64" s="1">
        <v>17.559999999999999</v>
      </c>
      <c r="I64" s="1">
        <v>18.329999999999998</v>
      </c>
      <c r="J64">
        <v>37</v>
      </c>
      <c r="K64">
        <v>16.2</v>
      </c>
      <c r="L64">
        <v>2</v>
      </c>
      <c r="M64">
        <v>2</v>
      </c>
      <c r="N64">
        <f t="shared" si="21"/>
        <v>0.5</v>
      </c>
      <c r="O64" t="s">
        <v>122</v>
      </c>
      <c r="P64">
        <v>17.559124499999999</v>
      </c>
      <c r="Q64">
        <f t="shared" si="22"/>
        <v>1.9636715250000001</v>
      </c>
      <c r="R64">
        <f t="shared" si="23"/>
        <v>3.184332202702703</v>
      </c>
      <c r="S64">
        <v>88.793519999999987</v>
      </c>
      <c r="T64">
        <f t="shared" si="24"/>
        <v>21.510506999999993</v>
      </c>
      <c r="U64">
        <f t="shared" si="25"/>
        <v>34.881903243243237</v>
      </c>
      <c r="V64">
        <v>15.753246113110166</v>
      </c>
      <c r="W64">
        <f t="shared" si="26"/>
        <v>0.53436446053302611</v>
      </c>
      <c r="X64">
        <f t="shared" si="27"/>
        <v>0.86653696302652883</v>
      </c>
      <c r="Y64">
        <v>613.58599342117748</v>
      </c>
      <c r="Z64">
        <f t="shared" si="28"/>
        <v>15.809901228537512</v>
      </c>
      <c r="AA64">
        <f t="shared" si="8"/>
        <v>25.637677667898668</v>
      </c>
      <c r="AB64">
        <v>48.493961232660318</v>
      </c>
      <c r="AC64">
        <v>13.551373480254691</v>
      </c>
      <c r="AD64" t="s">
        <v>31</v>
      </c>
      <c r="AE64">
        <v>3.5785273945345426</v>
      </c>
      <c r="AF64" t="s">
        <v>31</v>
      </c>
      <c r="AG64" t="s">
        <v>31</v>
      </c>
      <c r="AH64">
        <v>-16.501434731433196</v>
      </c>
      <c r="AI64">
        <v>8.9266938007326342</v>
      </c>
    </row>
    <row r="65" spans="1:35" x14ac:dyDescent="0.35">
      <c r="A65">
        <v>217</v>
      </c>
      <c r="B65" t="s">
        <v>106</v>
      </c>
      <c r="C65" t="s">
        <v>131</v>
      </c>
      <c r="D65" t="s">
        <v>107</v>
      </c>
      <c r="E65" t="s">
        <v>65</v>
      </c>
      <c r="F65">
        <v>0.3</v>
      </c>
      <c r="G65">
        <v>1</v>
      </c>
      <c r="H65" s="1">
        <v>17.57</v>
      </c>
      <c r="I65" s="1">
        <v>18.350000000000001</v>
      </c>
      <c r="J65">
        <v>38</v>
      </c>
      <c r="K65">
        <v>16.2</v>
      </c>
      <c r="L65">
        <v>3</v>
      </c>
      <c r="M65">
        <v>3</v>
      </c>
      <c r="N65">
        <f t="shared" si="21"/>
        <v>0.75</v>
      </c>
      <c r="O65" t="s">
        <v>122</v>
      </c>
      <c r="P65">
        <v>23.589876</v>
      </c>
      <c r="Q65">
        <f t="shared" si="22"/>
        <v>3.7728969750000001</v>
      </c>
      <c r="R65">
        <f t="shared" si="23"/>
        <v>5.95720575</v>
      </c>
      <c r="S65">
        <v>181.00815000000003</v>
      </c>
      <c r="T65">
        <f t="shared" si="24"/>
        <v>49.174896000000011</v>
      </c>
      <c r="U65">
        <f t="shared" si="25"/>
        <v>77.644572631578967</v>
      </c>
      <c r="V65">
        <v>20.028161797374381</v>
      </c>
      <c r="W65">
        <f t="shared" si="26"/>
        <v>1.8168391658122907</v>
      </c>
      <c r="X65">
        <f t="shared" si="27"/>
        <v>2.8686934197036171</v>
      </c>
      <c r="Y65">
        <v>503.96986663291477</v>
      </c>
      <c r="Z65">
        <f t="shared" si="28"/>
        <v>-17.074936807941299</v>
      </c>
      <c r="AA65">
        <f t="shared" si="8"/>
        <v>-26.96042653885468</v>
      </c>
      <c r="AB65">
        <v>46.919444510957248</v>
      </c>
      <c r="AC65">
        <v>11.960143176782946</v>
      </c>
      <c r="AD65" t="s">
        <v>31</v>
      </c>
      <c r="AE65">
        <v>3.9229835142807796</v>
      </c>
      <c r="AF65" t="s">
        <v>31</v>
      </c>
      <c r="AG65" t="s">
        <v>31</v>
      </c>
      <c r="AH65">
        <v>-19.761151046539133</v>
      </c>
      <c r="AI65">
        <v>8.0562535528813406</v>
      </c>
    </row>
    <row r="66" spans="1:35" x14ac:dyDescent="0.35">
      <c r="A66">
        <v>218</v>
      </c>
      <c r="B66" t="s">
        <v>106</v>
      </c>
      <c r="C66" t="s">
        <v>131</v>
      </c>
      <c r="D66" t="s">
        <v>108</v>
      </c>
      <c r="E66" t="s">
        <v>65</v>
      </c>
      <c r="F66">
        <v>0.3</v>
      </c>
      <c r="G66">
        <v>1</v>
      </c>
      <c r="H66" s="1">
        <v>17.57</v>
      </c>
      <c r="I66" s="1">
        <v>18.350000000000001</v>
      </c>
      <c r="J66">
        <v>38</v>
      </c>
      <c r="K66">
        <v>16.2</v>
      </c>
      <c r="L66">
        <v>1</v>
      </c>
      <c r="M66">
        <v>1</v>
      </c>
      <c r="N66">
        <f t="shared" si="21"/>
        <v>0.25</v>
      </c>
      <c r="O66" t="s">
        <v>122</v>
      </c>
      <c r="P66">
        <v>17.215910999999998</v>
      </c>
      <c r="Q66">
        <f t="shared" si="22"/>
        <v>1.8607074749999999</v>
      </c>
      <c r="R66">
        <f t="shared" si="23"/>
        <v>2.9379591710526314</v>
      </c>
      <c r="S66">
        <v>43.661850000000001</v>
      </c>
      <c r="T66">
        <f t="shared" si="24"/>
        <v>7.9710059999999991</v>
      </c>
      <c r="U66">
        <f t="shared" si="25"/>
        <v>12.585798947368419</v>
      </c>
      <c r="V66">
        <v>15.373253607842237</v>
      </c>
      <c r="W66">
        <f t="shared" si="26"/>
        <v>0.42036670895264761</v>
      </c>
      <c r="X66">
        <f t="shared" si="27"/>
        <v>0.66373690887260151</v>
      </c>
      <c r="Y66">
        <v>402.50164599178765</v>
      </c>
      <c r="Z66">
        <f t="shared" si="28"/>
        <v>-47.515403000279434</v>
      </c>
      <c r="AA66">
        <f t="shared" si="8"/>
        <v>-75.024320526756995</v>
      </c>
      <c r="AB66">
        <v>41.291728835214329</v>
      </c>
      <c r="AC66">
        <v>11.071236139224085</v>
      </c>
      <c r="AD66" t="s">
        <v>31</v>
      </c>
      <c r="AE66">
        <v>3.7296403324758467</v>
      </c>
      <c r="AF66" t="s">
        <v>31</v>
      </c>
      <c r="AG66" t="s">
        <v>31</v>
      </c>
      <c r="AH66">
        <v>-17.658269390609625</v>
      </c>
      <c r="AI66">
        <v>7.7621726103869495</v>
      </c>
    </row>
    <row r="67" spans="1:35" x14ac:dyDescent="0.35">
      <c r="A67">
        <v>219</v>
      </c>
      <c r="B67" t="s">
        <v>106</v>
      </c>
      <c r="C67" t="s">
        <v>131</v>
      </c>
      <c r="D67" t="s">
        <v>21</v>
      </c>
      <c r="E67" t="s">
        <v>29</v>
      </c>
      <c r="F67">
        <v>6</v>
      </c>
      <c r="G67">
        <v>1</v>
      </c>
      <c r="H67" s="1">
        <v>18.47</v>
      </c>
      <c r="I67" s="1">
        <v>19.2</v>
      </c>
      <c r="J67">
        <v>33</v>
      </c>
      <c r="K67">
        <v>16.2</v>
      </c>
      <c r="L67">
        <v>665</v>
      </c>
      <c r="M67">
        <v>665</v>
      </c>
      <c r="N67">
        <f t="shared" si="21"/>
        <v>166.25</v>
      </c>
      <c r="P67">
        <v>123.710157</v>
      </c>
      <c r="Q67">
        <f t="shared" si="22"/>
        <v>676.17962549999993</v>
      </c>
      <c r="R67">
        <f t="shared" si="23"/>
        <v>1229.4175009090907</v>
      </c>
      <c r="S67">
        <v>757.84141999999997</v>
      </c>
      <c r="T67">
        <f t="shared" si="24"/>
        <v>4444.4975400000003</v>
      </c>
      <c r="U67">
        <f t="shared" si="25"/>
        <v>8080.9046181818194</v>
      </c>
      <c r="V67">
        <v>121.58115883022876</v>
      </c>
      <c r="W67">
        <f t="shared" si="26"/>
        <v>645.65476551337213</v>
      </c>
      <c r="X67">
        <f t="shared" si="27"/>
        <v>1173.9177554788585</v>
      </c>
      <c r="Y67">
        <v>1914.0868147867391</v>
      </c>
      <c r="Z67">
        <f t="shared" si="28"/>
        <v>8119.2029527641198</v>
      </c>
      <c r="AA67">
        <f t="shared" ref="AA67:AA130" si="29">(Z67/J67*60)/G67</f>
        <v>14762.187186843854</v>
      </c>
      <c r="AB67">
        <v>48.925217850405573</v>
      </c>
      <c r="AC67">
        <v>14.556161387128618</v>
      </c>
      <c r="AD67" t="s">
        <v>31</v>
      </c>
      <c r="AE67">
        <v>3.3611346116063276</v>
      </c>
      <c r="AF67" t="s">
        <v>31</v>
      </c>
      <c r="AG67" t="s">
        <v>31</v>
      </c>
      <c r="AH67" s="4">
        <v>-16.16477386775232</v>
      </c>
      <c r="AI67" s="4">
        <v>7.7366003545178721</v>
      </c>
    </row>
    <row r="68" spans="1:35" x14ac:dyDescent="0.35">
      <c r="A68">
        <v>220</v>
      </c>
      <c r="B68" t="s">
        <v>106</v>
      </c>
      <c r="C68" t="s">
        <v>131</v>
      </c>
      <c r="D68" t="s">
        <v>123</v>
      </c>
      <c r="E68" t="s">
        <v>29</v>
      </c>
      <c r="F68">
        <v>5</v>
      </c>
      <c r="G68">
        <v>1</v>
      </c>
      <c r="H68" s="1">
        <v>18.489999999999998</v>
      </c>
      <c r="I68" s="1">
        <v>19.25</v>
      </c>
      <c r="J68">
        <v>31</v>
      </c>
      <c r="K68">
        <v>16.2</v>
      </c>
      <c r="L68">
        <v>482</v>
      </c>
      <c r="M68">
        <v>482</v>
      </c>
      <c r="N68">
        <f t="shared" si="21"/>
        <v>120.5</v>
      </c>
      <c r="P68">
        <v>58.254439500000004</v>
      </c>
      <c r="Q68">
        <f t="shared" si="22"/>
        <v>236.20443375000002</v>
      </c>
      <c r="R68">
        <f t="shared" si="23"/>
        <v>457.16987177419355</v>
      </c>
      <c r="S68">
        <v>469.95420000000001</v>
      </c>
      <c r="T68">
        <f t="shared" si="24"/>
        <v>2264.31185</v>
      </c>
      <c r="U68">
        <f t="shared" si="25"/>
        <v>4382.5390645161297</v>
      </c>
      <c r="V68">
        <v>54.654978839914527</v>
      </c>
      <c r="W68">
        <f t="shared" si="26"/>
        <v>203.41473797623891</v>
      </c>
      <c r="X68">
        <f t="shared" si="27"/>
        <v>393.7059444701398</v>
      </c>
      <c r="Y68">
        <v>1410.3274306391768</v>
      </c>
      <c r="Z68">
        <f t="shared" si="28"/>
        <v>4247.2055398989551</v>
      </c>
      <c r="AA68">
        <f t="shared" si="29"/>
        <v>8220.3978191592669</v>
      </c>
      <c r="AB68">
        <v>47.215207275148913</v>
      </c>
      <c r="AC68">
        <v>13.937784692137903</v>
      </c>
      <c r="AD68" t="s">
        <v>31</v>
      </c>
      <c r="AE68">
        <v>3.3875689945032876</v>
      </c>
      <c r="AF68" t="s">
        <v>31</v>
      </c>
      <c r="AG68" t="s">
        <v>31</v>
      </c>
      <c r="AH68" s="4">
        <v>-17.541387132299054</v>
      </c>
      <c r="AI68" s="4">
        <v>9.6033750329605319</v>
      </c>
    </row>
    <row r="69" spans="1:35" x14ac:dyDescent="0.35">
      <c r="A69">
        <v>221</v>
      </c>
      <c r="B69" t="s">
        <v>106</v>
      </c>
      <c r="C69" t="s">
        <v>131</v>
      </c>
      <c r="D69" t="s">
        <v>123</v>
      </c>
      <c r="E69" t="s">
        <v>29</v>
      </c>
      <c r="F69">
        <v>5</v>
      </c>
      <c r="G69">
        <v>1</v>
      </c>
      <c r="H69" s="1">
        <v>18.54</v>
      </c>
      <c r="I69" s="1">
        <v>19.32</v>
      </c>
      <c r="J69">
        <v>38</v>
      </c>
      <c r="K69">
        <v>16.2</v>
      </c>
      <c r="L69">
        <v>395</v>
      </c>
      <c r="M69">
        <v>395</v>
      </c>
      <c r="N69">
        <f t="shared" si="21"/>
        <v>98.75</v>
      </c>
      <c r="P69">
        <v>74.385473999999988</v>
      </c>
      <c r="Q69">
        <f t="shared" si="22"/>
        <v>316.85960624999996</v>
      </c>
      <c r="R69">
        <f t="shared" si="23"/>
        <v>500.3046414473684</v>
      </c>
      <c r="S69">
        <v>290.51519999999999</v>
      </c>
      <c r="T69">
        <f t="shared" si="24"/>
        <v>1367.1168499999999</v>
      </c>
      <c r="U69">
        <f t="shared" si="25"/>
        <v>2158.6055526315786</v>
      </c>
      <c r="V69">
        <v>48.860093134578591</v>
      </c>
      <c r="W69">
        <f t="shared" si="26"/>
        <v>174.44030944955924</v>
      </c>
      <c r="X69">
        <f t="shared" si="27"/>
        <v>275.43206755193569</v>
      </c>
      <c r="Y69">
        <v>659.93161788449129</v>
      </c>
      <c r="Z69">
        <f t="shared" si="28"/>
        <v>495.2264761255276</v>
      </c>
      <c r="AA69">
        <f t="shared" si="29"/>
        <v>781.9365412508331</v>
      </c>
      <c r="AD69" t="s">
        <v>31</v>
      </c>
      <c r="AF69" t="s">
        <v>31</v>
      </c>
      <c r="AG69" t="s">
        <v>31</v>
      </c>
    </row>
    <row r="70" spans="1:35" x14ac:dyDescent="0.35">
      <c r="A70">
        <v>222</v>
      </c>
      <c r="B70" t="s">
        <v>106</v>
      </c>
      <c r="C70" t="s">
        <v>131</v>
      </c>
      <c r="D70" t="s">
        <v>123</v>
      </c>
      <c r="E70" t="s">
        <v>29</v>
      </c>
      <c r="F70">
        <v>5</v>
      </c>
      <c r="G70">
        <v>1</v>
      </c>
      <c r="H70" s="1">
        <v>18.559999999999999</v>
      </c>
      <c r="I70" s="1">
        <v>19.34</v>
      </c>
      <c r="J70">
        <v>38</v>
      </c>
      <c r="K70">
        <v>16.2</v>
      </c>
      <c r="L70">
        <v>422</v>
      </c>
      <c r="M70">
        <v>422</v>
      </c>
      <c r="N70">
        <f t="shared" si="21"/>
        <v>105.5</v>
      </c>
      <c r="P70">
        <v>51.439200000000007</v>
      </c>
      <c r="Q70">
        <f t="shared" si="22"/>
        <v>202.12823625000004</v>
      </c>
      <c r="R70">
        <f t="shared" si="23"/>
        <v>319.14984671052639</v>
      </c>
      <c r="S70">
        <v>287.99938999999995</v>
      </c>
      <c r="T70">
        <f t="shared" si="24"/>
        <v>1354.5377999999996</v>
      </c>
      <c r="U70">
        <f t="shared" si="25"/>
        <v>2138.7438947368414</v>
      </c>
      <c r="V70">
        <v>39.882770197623742</v>
      </c>
      <c r="W70">
        <f t="shared" si="26"/>
        <v>129.55369476478498</v>
      </c>
      <c r="X70">
        <f t="shared" si="27"/>
        <v>204.55846541808154</v>
      </c>
      <c r="Y70">
        <v>648.96827612759148</v>
      </c>
      <c r="Z70">
        <f t="shared" si="28"/>
        <v>440.40976734102856</v>
      </c>
      <c r="AA70">
        <f t="shared" si="29"/>
        <v>695.38384317004511</v>
      </c>
      <c r="AD70" t="s">
        <v>31</v>
      </c>
      <c r="AF70" t="s">
        <v>31</v>
      </c>
      <c r="AG70" t="s">
        <v>31</v>
      </c>
    </row>
    <row r="71" spans="1:35" x14ac:dyDescent="0.35">
      <c r="A71">
        <v>223</v>
      </c>
      <c r="B71" t="s">
        <v>106</v>
      </c>
      <c r="C71" t="s">
        <v>131</v>
      </c>
      <c r="D71" t="s">
        <v>123</v>
      </c>
      <c r="E71" t="s">
        <v>29</v>
      </c>
      <c r="F71">
        <v>5</v>
      </c>
      <c r="G71">
        <v>1</v>
      </c>
      <c r="H71" s="1">
        <v>18.579999999999998</v>
      </c>
      <c r="I71" s="1">
        <v>19.350000000000001</v>
      </c>
      <c r="J71">
        <v>37</v>
      </c>
      <c r="K71">
        <v>16.2</v>
      </c>
      <c r="L71">
        <v>421</v>
      </c>
      <c r="M71">
        <v>421</v>
      </c>
      <c r="N71">
        <f t="shared" si="21"/>
        <v>105.25</v>
      </c>
      <c r="P71">
        <v>24.570486000000002</v>
      </c>
      <c r="Q71">
        <f t="shared" si="22"/>
        <v>67.784666250000015</v>
      </c>
      <c r="R71">
        <f t="shared" si="23"/>
        <v>109.92108040540542</v>
      </c>
      <c r="S71">
        <v>384.38813000000005</v>
      </c>
      <c r="T71">
        <f t="shared" si="24"/>
        <v>1836.4815000000001</v>
      </c>
      <c r="U71">
        <f t="shared" si="25"/>
        <v>2978.0781081081082</v>
      </c>
      <c r="V71">
        <v>23.353096218468771</v>
      </c>
      <c r="W71">
        <f t="shared" si="26"/>
        <v>46.90532486901013</v>
      </c>
      <c r="X71">
        <f t="shared" si="27"/>
        <v>76.062688976773188</v>
      </c>
      <c r="Y71">
        <v>1111.5299302016351</v>
      </c>
      <c r="Z71">
        <f t="shared" si="28"/>
        <v>2753.2180377112468</v>
      </c>
      <c r="AA71">
        <f t="shared" si="29"/>
        <v>4464.6778989912109</v>
      </c>
      <c r="AD71" t="s">
        <v>31</v>
      </c>
      <c r="AF71" t="s">
        <v>31</v>
      </c>
      <c r="AG71" t="s">
        <v>31</v>
      </c>
    </row>
    <row r="72" spans="1:35" x14ac:dyDescent="0.35">
      <c r="A72">
        <v>224</v>
      </c>
      <c r="B72" t="s">
        <v>106</v>
      </c>
      <c r="C72" t="s">
        <v>131</v>
      </c>
      <c r="D72" t="s">
        <v>123</v>
      </c>
      <c r="E72" t="s">
        <v>29</v>
      </c>
      <c r="F72">
        <v>5</v>
      </c>
      <c r="G72">
        <v>1</v>
      </c>
      <c r="H72" s="1">
        <v>19.010000000000002</v>
      </c>
      <c r="I72" s="1">
        <v>19.36</v>
      </c>
      <c r="J72">
        <v>35</v>
      </c>
      <c r="K72">
        <v>16.2</v>
      </c>
      <c r="L72">
        <v>338</v>
      </c>
      <c r="M72">
        <v>338</v>
      </c>
      <c r="N72">
        <f t="shared" si="21"/>
        <v>84.5</v>
      </c>
      <c r="P72">
        <v>61.392391500000002</v>
      </c>
      <c r="Q72">
        <f t="shared" si="22"/>
        <v>251.89419375</v>
      </c>
      <c r="R72">
        <f t="shared" si="23"/>
        <v>431.8186178571429</v>
      </c>
      <c r="S72">
        <v>252.68067999999997</v>
      </c>
      <c r="T72">
        <f t="shared" si="24"/>
        <v>1177.94425</v>
      </c>
      <c r="U72">
        <f t="shared" si="25"/>
        <v>2019.3329999999999</v>
      </c>
      <c r="V72">
        <v>43.682695250303041</v>
      </c>
      <c r="W72">
        <f t="shared" si="26"/>
        <v>148.55332002818147</v>
      </c>
      <c r="X72">
        <f t="shared" si="27"/>
        <v>254.66283433402535</v>
      </c>
      <c r="Y72">
        <v>693.18394768615826</v>
      </c>
      <c r="Z72">
        <f t="shared" si="28"/>
        <v>661.48812513386247</v>
      </c>
      <c r="AA72">
        <f t="shared" si="29"/>
        <v>1133.9796430866215</v>
      </c>
      <c r="AD72" t="s">
        <v>31</v>
      </c>
      <c r="AF72" t="s">
        <v>31</v>
      </c>
      <c r="AG72" t="s">
        <v>31</v>
      </c>
    </row>
    <row r="73" spans="1:35" x14ac:dyDescent="0.35">
      <c r="A73">
        <v>225</v>
      </c>
      <c r="B73" t="s">
        <v>106</v>
      </c>
      <c r="C73" t="s">
        <v>131</v>
      </c>
      <c r="D73" t="s">
        <v>123</v>
      </c>
      <c r="E73" t="s">
        <v>29</v>
      </c>
      <c r="F73">
        <v>5</v>
      </c>
      <c r="G73">
        <v>1</v>
      </c>
      <c r="H73" s="1">
        <v>19.02</v>
      </c>
      <c r="I73" s="1">
        <v>19.36</v>
      </c>
      <c r="J73">
        <v>34</v>
      </c>
      <c r="K73">
        <v>16.2</v>
      </c>
      <c r="L73">
        <v>394</v>
      </c>
      <c r="M73">
        <v>394</v>
      </c>
      <c r="N73">
        <f t="shared" si="21"/>
        <v>98.5</v>
      </c>
      <c r="P73">
        <v>63.647794500000003</v>
      </c>
      <c r="Q73">
        <f t="shared" si="22"/>
        <v>263.17120875000001</v>
      </c>
      <c r="R73">
        <f t="shared" si="23"/>
        <v>464.41978014705887</v>
      </c>
      <c r="S73">
        <v>254.7123</v>
      </c>
      <c r="T73">
        <f t="shared" si="24"/>
        <v>1188.1023500000001</v>
      </c>
      <c r="U73">
        <f t="shared" si="25"/>
        <v>2096.6512058823528</v>
      </c>
      <c r="V73">
        <v>41.735233660804894</v>
      </c>
      <c r="W73">
        <f t="shared" si="26"/>
        <v>138.81601208069074</v>
      </c>
      <c r="X73">
        <f t="shared" si="27"/>
        <v>244.96943308357191</v>
      </c>
      <c r="Y73">
        <v>455.82329280912285</v>
      </c>
      <c r="Z73">
        <f t="shared" si="28"/>
        <v>-525.31514925131455</v>
      </c>
      <c r="AA73">
        <f t="shared" si="29"/>
        <v>-927.026733972908</v>
      </c>
      <c r="AC73" t="s">
        <v>155</v>
      </c>
      <c r="AD73" t="s">
        <v>31</v>
      </c>
      <c r="AF73" t="s">
        <v>31</v>
      </c>
      <c r="AG73" t="s">
        <v>31</v>
      </c>
    </row>
    <row r="74" spans="1:35" x14ac:dyDescent="0.35">
      <c r="A74">
        <v>226</v>
      </c>
      <c r="B74" t="s">
        <v>106</v>
      </c>
      <c r="C74" t="s">
        <v>131</v>
      </c>
      <c r="D74" t="s">
        <v>123</v>
      </c>
      <c r="E74" t="s">
        <v>29</v>
      </c>
      <c r="F74">
        <v>5</v>
      </c>
      <c r="G74">
        <v>1</v>
      </c>
      <c r="H74" s="1">
        <v>19.059999999999999</v>
      </c>
      <c r="I74" s="1">
        <v>19.37</v>
      </c>
      <c r="J74">
        <v>31</v>
      </c>
      <c r="K74">
        <v>16.2</v>
      </c>
      <c r="L74">
        <v>485</v>
      </c>
      <c r="M74">
        <v>485</v>
      </c>
      <c r="N74">
        <f t="shared" si="21"/>
        <v>121.25</v>
      </c>
      <c r="P74">
        <v>26.2865535</v>
      </c>
      <c r="Q74">
        <f t="shared" si="22"/>
        <v>76.36500375</v>
      </c>
      <c r="R74">
        <f t="shared" si="23"/>
        <v>147.80323306451612</v>
      </c>
      <c r="S74">
        <v>403.35567999999995</v>
      </c>
      <c r="T74">
        <f t="shared" si="24"/>
        <v>1931.3192499999996</v>
      </c>
      <c r="U74">
        <f t="shared" si="25"/>
        <v>3738.0372580645153</v>
      </c>
      <c r="V74">
        <v>22.783107460566878</v>
      </c>
      <c r="W74">
        <f t="shared" si="26"/>
        <v>44.055381079500663</v>
      </c>
      <c r="X74">
        <f t="shared" si="27"/>
        <v>85.268479508710968</v>
      </c>
      <c r="Y74">
        <v>876.14341635816845</v>
      </c>
      <c r="Z74">
        <f t="shared" si="28"/>
        <v>1576.2854684939134</v>
      </c>
      <c r="AA74">
        <f t="shared" si="29"/>
        <v>3050.8751003108005</v>
      </c>
      <c r="AD74" t="s">
        <v>31</v>
      </c>
      <c r="AF74" t="s">
        <v>31</v>
      </c>
      <c r="AG74" t="s">
        <v>31</v>
      </c>
    </row>
    <row r="75" spans="1:35" x14ac:dyDescent="0.35">
      <c r="A75">
        <v>227</v>
      </c>
      <c r="B75" t="s">
        <v>106</v>
      </c>
      <c r="C75" t="s">
        <v>131</v>
      </c>
      <c r="D75" t="s">
        <v>123</v>
      </c>
      <c r="E75" t="s">
        <v>29</v>
      </c>
      <c r="F75">
        <v>5</v>
      </c>
      <c r="G75">
        <v>1</v>
      </c>
      <c r="H75" s="1">
        <v>19.079999999999998</v>
      </c>
      <c r="I75" s="1">
        <v>19.38</v>
      </c>
      <c r="J75">
        <v>30</v>
      </c>
      <c r="K75">
        <v>16.2</v>
      </c>
      <c r="L75">
        <v>400</v>
      </c>
      <c r="M75">
        <v>400</v>
      </c>
      <c r="N75">
        <f t="shared" si="21"/>
        <v>100</v>
      </c>
      <c r="P75">
        <v>32.709549000000003</v>
      </c>
      <c r="Q75">
        <f t="shared" si="22"/>
        <v>108.47998125000002</v>
      </c>
      <c r="R75">
        <f t="shared" si="23"/>
        <v>216.95996250000005</v>
      </c>
      <c r="S75">
        <v>151.01036000000002</v>
      </c>
      <c r="T75">
        <f t="shared" si="24"/>
        <v>669.59265000000016</v>
      </c>
      <c r="U75">
        <f t="shared" si="25"/>
        <v>1339.1853000000003</v>
      </c>
      <c r="V75">
        <v>25.728049376393336</v>
      </c>
      <c r="W75">
        <f t="shared" si="26"/>
        <v>58.780090658632957</v>
      </c>
      <c r="X75">
        <f t="shared" si="27"/>
        <v>117.56018131726591</v>
      </c>
      <c r="Y75">
        <v>673.29263406001314</v>
      </c>
      <c r="Z75">
        <f t="shared" si="28"/>
        <v>562.03155700313687</v>
      </c>
      <c r="AA75">
        <f t="shared" si="29"/>
        <v>1124.0631140062737</v>
      </c>
      <c r="AD75" t="s">
        <v>31</v>
      </c>
      <c r="AF75" t="s">
        <v>31</v>
      </c>
      <c r="AG75" t="s">
        <v>31</v>
      </c>
    </row>
    <row r="76" spans="1:35" x14ac:dyDescent="0.35">
      <c r="A76">
        <v>228</v>
      </c>
      <c r="B76" t="s">
        <v>106</v>
      </c>
      <c r="C76" t="s">
        <v>131</v>
      </c>
      <c r="D76" t="s">
        <v>123</v>
      </c>
      <c r="E76" t="s">
        <v>29</v>
      </c>
      <c r="F76">
        <v>5</v>
      </c>
      <c r="G76">
        <v>1</v>
      </c>
      <c r="H76" s="1">
        <v>19.11</v>
      </c>
      <c r="I76" s="1">
        <v>19.399999999999999</v>
      </c>
      <c r="J76">
        <v>29</v>
      </c>
      <c r="K76">
        <v>16.2</v>
      </c>
      <c r="L76">
        <v>417</v>
      </c>
      <c r="M76">
        <v>417</v>
      </c>
      <c r="N76">
        <f t="shared" si="21"/>
        <v>104.25</v>
      </c>
      <c r="P76">
        <v>44.623960500000003</v>
      </c>
      <c r="Q76">
        <f t="shared" si="22"/>
        <v>168.05203875000004</v>
      </c>
      <c r="R76">
        <f t="shared" si="23"/>
        <v>347.69387327586219</v>
      </c>
      <c r="S76">
        <v>208.01025999999999</v>
      </c>
      <c r="T76">
        <f t="shared" si="24"/>
        <v>954.59214999999995</v>
      </c>
      <c r="U76">
        <f t="shared" si="25"/>
        <v>1975.0182413793104</v>
      </c>
      <c r="V76">
        <v>40.1202655134162</v>
      </c>
      <c r="W76">
        <f t="shared" si="26"/>
        <v>130.74117134374728</v>
      </c>
      <c r="X76">
        <f t="shared" si="27"/>
        <v>270.49897519395989</v>
      </c>
      <c r="Y76">
        <v>955.61276283568918</v>
      </c>
      <c r="Z76">
        <f t="shared" si="28"/>
        <v>1973.6322008815171</v>
      </c>
      <c r="AA76">
        <f t="shared" si="29"/>
        <v>4083.3769673410698</v>
      </c>
      <c r="AD76" t="s">
        <v>31</v>
      </c>
      <c r="AF76" t="s">
        <v>31</v>
      </c>
      <c r="AG76" t="s">
        <v>31</v>
      </c>
    </row>
    <row r="77" spans="1:35" x14ac:dyDescent="0.35">
      <c r="A77">
        <v>229</v>
      </c>
      <c r="B77" t="s">
        <v>106</v>
      </c>
      <c r="C77" t="s">
        <v>131</v>
      </c>
      <c r="D77" t="s">
        <v>123</v>
      </c>
      <c r="E77" t="s">
        <v>29</v>
      </c>
      <c r="F77">
        <v>5</v>
      </c>
      <c r="G77">
        <v>1</v>
      </c>
      <c r="H77" s="1">
        <v>19.14</v>
      </c>
      <c r="I77" s="1">
        <v>19.41</v>
      </c>
      <c r="J77">
        <f>41-14</f>
        <v>27</v>
      </c>
      <c r="K77">
        <v>16.2</v>
      </c>
      <c r="L77">
        <v>199</v>
      </c>
      <c r="M77">
        <v>199</v>
      </c>
      <c r="N77">
        <f t="shared" si="21"/>
        <v>49.75</v>
      </c>
      <c r="P77">
        <v>43.054984500000003</v>
      </c>
      <c r="Q77">
        <f t="shared" si="22"/>
        <v>160.20715875000002</v>
      </c>
      <c r="R77">
        <f t="shared" si="23"/>
        <v>356.01590833333336</v>
      </c>
      <c r="S77">
        <v>319.86375000000004</v>
      </c>
      <c r="T77">
        <f t="shared" si="24"/>
        <v>1513.8596000000002</v>
      </c>
      <c r="U77">
        <f t="shared" si="25"/>
        <v>3364.1324444444449</v>
      </c>
      <c r="V77">
        <v>36.557835776529352</v>
      </c>
      <c r="W77">
        <f t="shared" si="26"/>
        <v>112.92902265931303</v>
      </c>
      <c r="X77">
        <f t="shared" si="27"/>
        <v>250.9533836873623</v>
      </c>
      <c r="Y77">
        <v>964.51329765604601</v>
      </c>
      <c r="Z77">
        <f t="shared" si="28"/>
        <v>2018.1348749833012</v>
      </c>
      <c r="AA77">
        <f t="shared" si="29"/>
        <v>4484.744166629559</v>
      </c>
      <c r="AD77" t="s">
        <v>31</v>
      </c>
      <c r="AF77" t="s">
        <v>31</v>
      </c>
      <c r="AG77" t="s">
        <v>31</v>
      </c>
    </row>
    <row r="78" spans="1:35" x14ac:dyDescent="0.35">
      <c r="A78">
        <v>230</v>
      </c>
      <c r="B78" t="s">
        <v>106</v>
      </c>
      <c r="C78" t="s">
        <v>131</v>
      </c>
      <c r="D78" t="s">
        <v>26</v>
      </c>
      <c r="E78" t="s">
        <v>29</v>
      </c>
      <c r="F78">
        <v>4</v>
      </c>
      <c r="G78">
        <v>1</v>
      </c>
      <c r="H78" s="1">
        <v>19.170000000000002</v>
      </c>
      <c r="I78" s="1">
        <v>19.420000000000002</v>
      </c>
      <c r="J78">
        <v>28</v>
      </c>
      <c r="K78">
        <v>16.2</v>
      </c>
      <c r="L78">
        <v>208</v>
      </c>
      <c r="M78">
        <v>208</v>
      </c>
      <c r="N78">
        <f t="shared" si="21"/>
        <v>52</v>
      </c>
      <c r="P78">
        <v>23.8350285</v>
      </c>
      <c r="Q78">
        <f t="shared" si="22"/>
        <v>51.285903000000005</v>
      </c>
      <c r="R78">
        <f t="shared" si="23"/>
        <v>109.89836357142859</v>
      </c>
      <c r="S78">
        <v>261.00105000000008</v>
      </c>
      <c r="T78">
        <f t="shared" si="24"/>
        <v>975.63688000000025</v>
      </c>
      <c r="U78">
        <f t="shared" si="25"/>
        <v>2090.6504571428577</v>
      </c>
      <c r="V78">
        <v>28.245499723793372</v>
      </c>
      <c r="W78">
        <f t="shared" si="26"/>
        <v>57.09387391650651</v>
      </c>
      <c r="X78">
        <f t="shared" si="27"/>
        <v>122.3440155353711</v>
      </c>
      <c r="Y78">
        <v>988.65062515449813</v>
      </c>
      <c r="Z78">
        <f t="shared" si="28"/>
        <v>1711.0572099804494</v>
      </c>
      <c r="AA78">
        <f t="shared" si="29"/>
        <v>3666.5511642438205</v>
      </c>
      <c r="AD78" t="s">
        <v>31</v>
      </c>
      <c r="AF78" t="s">
        <v>31</v>
      </c>
      <c r="AG78" t="s">
        <v>31</v>
      </c>
    </row>
    <row r="79" spans="1:35" x14ac:dyDescent="0.35">
      <c r="A79">
        <v>231</v>
      </c>
      <c r="B79" t="s">
        <v>106</v>
      </c>
      <c r="C79" t="s">
        <v>131</v>
      </c>
      <c r="D79" t="s">
        <v>26</v>
      </c>
      <c r="E79" t="s">
        <v>29</v>
      </c>
      <c r="F79">
        <v>2.5</v>
      </c>
      <c r="G79">
        <v>1</v>
      </c>
      <c r="H79" s="1">
        <v>19.45</v>
      </c>
      <c r="I79" s="1">
        <v>20.18</v>
      </c>
      <c r="J79">
        <v>33</v>
      </c>
      <c r="K79">
        <v>16.2</v>
      </c>
      <c r="L79">
        <v>168</v>
      </c>
      <c r="M79">
        <v>168</v>
      </c>
      <c r="N79">
        <f t="shared" si="21"/>
        <v>42</v>
      </c>
      <c r="P79">
        <v>19.716466499999999</v>
      </c>
      <c r="Q79">
        <f t="shared" si="22"/>
        <v>21.757284375000001</v>
      </c>
      <c r="R79">
        <f t="shared" si="23"/>
        <v>39.558698863636366</v>
      </c>
      <c r="S79">
        <v>358.24451999999997</v>
      </c>
      <c r="T79">
        <f t="shared" si="24"/>
        <v>852.88172499999985</v>
      </c>
      <c r="U79">
        <f t="shared" si="25"/>
        <v>1550.6940454545452</v>
      </c>
      <c r="V79">
        <v>28.577993165902811</v>
      </c>
      <c r="W79">
        <f t="shared" si="26"/>
        <v>36.514904803090161</v>
      </c>
      <c r="X79">
        <f t="shared" si="27"/>
        <v>66.390736005618479</v>
      </c>
      <c r="Y79">
        <v>1032.6286063680375</v>
      </c>
      <c r="Z79">
        <f t="shared" si="28"/>
        <v>1179.3557092716292</v>
      </c>
      <c r="AA79">
        <f t="shared" si="29"/>
        <v>2144.2831077665983</v>
      </c>
      <c r="AB79" s="4">
        <v>52.430476865432681</v>
      </c>
      <c r="AC79" s="4">
        <v>16.328197300791</v>
      </c>
      <c r="AD79" t="s">
        <v>31</v>
      </c>
      <c r="AE79" s="4">
        <v>3.2110389101491776</v>
      </c>
      <c r="AF79" t="s">
        <v>31</v>
      </c>
      <c r="AG79" t="s">
        <v>31</v>
      </c>
      <c r="AH79" s="4">
        <v>-16.232705436684963</v>
      </c>
      <c r="AI79" s="4">
        <v>11.011816202365111</v>
      </c>
    </row>
    <row r="80" spans="1:35" x14ac:dyDescent="0.35">
      <c r="A80">
        <v>232</v>
      </c>
      <c r="B80" t="s">
        <v>106</v>
      </c>
      <c r="C80" t="s">
        <v>131</v>
      </c>
      <c r="D80" t="s">
        <v>26</v>
      </c>
      <c r="E80" t="s">
        <v>29</v>
      </c>
      <c r="F80">
        <v>2.5</v>
      </c>
      <c r="G80">
        <v>1</v>
      </c>
      <c r="H80" s="1">
        <v>19.48</v>
      </c>
      <c r="I80" s="1">
        <v>20.21</v>
      </c>
      <c r="J80">
        <v>33</v>
      </c>
      <c r="K80">
        <v>16.2</v>
      </c>
      <c r="L80">
        <v>149</v>
      </c>
      <c r="M80">
        <v>149</v>
      </c>
      <c r="N80">
        <f t="shared" si="21"/>
        <v>37.25</v>
      </c>
      <c r="P80">
        <v>21.873808499999999</v>
      </c>
      <c r="Q80">
        <f t="shared" si="22"/>
        <v>27.150639375000001</v>
      </c>
      <c r="R80">
        <f t="shared" si="23"/>
        <v>49.364798863636366</v>
      </c>
      <c r="S80">
        <v>174.62585000000001</v>
      </c>
      <c r="T80">
        <f t="shared" si="24"/>
        <v>393.83505000000002</v>
      </c>
      <c r="U80">
        <f t="shared" si="25"/>
        <v>716.06372727272731</v>
      </c>
      <c r="V80">
        <v>21.928124323714034</v>
      </c>
      <c r="W80">
        <f t="shared" si="26"/>
        <v>19.890232697618224</v>
      </c>
      <c r="X80">
        <f t="shared" si="27"/>
        <v>36.16405945021495</v>
      </c>
      <c r="Y80">
        <v>494.31542244092168</v>
      </c>
      <c r="Z80">
        <f t="shared" si="28"/>
        <v>-166.42725054616022</v>
      </c>
      <c r="AA80">
        <f t="shared" si="29"/>
        <v>-302.59500099301863</v>
      </c>
      <c r="AD80" t="s">
        <v>31</v>
      </c>
      <c r="AF80" t="s">
        <v>31</v>
      </c>
      <c r="AG80" t="s">
        <v>31</v>
      </c>
    </row>
    <row r="81" spans="1:33" x14ac:dyDescent="0.35">
      <c r="A81">
        <v>233</v>
      </c>
      <c r="B81" t="s">
        <v>106</v>
      </c>
      <c r="C81" t="s">
        <v>131</v>
      </c>
      <c r="D81" t="s">
        <v>26</v>
      </c>
      <c r="E81" t="s">
        <v>29</v>
      </c>
      <c r="F81">
        <v>2.5</v>
      </c>
      <c r="G81">
        <v>1</v>
      </c>
      <c r="H81" s="1">
        <v>19.489999999999998</v>
      </c>
      <c r="I81" s="1">
        <v>20.22</v>
      </c>
      <c r="J81">
        <v>33</v>
      </c>
      <c r="K81">
        <v>16.2</v>
      </c>
      <c r="L81">
        <v>127</v>
      </c>
      <c r="M81">
        <v>127</v>
      </c>
      <c r="N81">
        <f t="shared" si="21"/>
        <v>31.75</v>
      </c>
      <c r="P81" t="s">
        <v>31</v>
      </c>
      <c r="Q81" t="s">
        <v>31</v>
      </c>
      <c r="R81" t="s">
        <v>31</v>
      </c>
      <c r="S81">
        <v>205.88484000000003</v>
      </c>
      <c r="T81">
        <f t="shared" si="24"/>
        <v>471.98252500000012</v>
      </c>
      <c r="U81">
        <f t="shared" si="25"/>
        <v>858.15004545454565</v>
      </c>
      <c r="V81">
        <v>16.845724565755468</v>
      </c>
      <c r="W81">
        <f t="shared" si="26"/>
        <v>7.1842333027218075</v>
      </c>
      <c r="X81">
        <f t="shared" si="27"/>
        <v>13.062242368585105</v>
      </c>
      <c r="Y81">
        <v>500.46241290376338</v>
      </c>
      <c r="Z81">
        <f t="shared" si="28"/>
        <v>-151.05977438905597</v>
      </c>
      <c r="AA81">
        <f t="shared" si="29"/>
        <v>-274.65413525282906</v>
      </c>
      <c r="AD81" t="s">
        <v>31</v>
      </c>
      <c r="AF81" t="s">
        <v>31</v>
      </c>
      <c r="AG81" t="s">
        <v>31</v>
      </c>
    </row>
    <row r="82" spans="1:33" x14ac:dyDescent="0.35">
      <c r="A82">
        <v>234</v>
      </c>
      <c r="B82" t="s">
        <v>106</v>
      </c>
      <c r="C82" t="s">
        <v>131</v>
      </c>
      <c r="D82" t="s">
        <v>26</v>
      </c>
      <c r="E82" t="s">
        <v>29</v>
      </c>
      <c r="F82">
        <v>2.5</v>
      </c>
      <c r="G82">
        <v>1</v>
      </c>
      <c r="H82" s="1">
        <v>19.510000000000002</v>
      </c>
      <c r="I82" s="1">
        <v>20.23</v>
      </c>
      <c r="J82">
        <v>32</v>
      </c>
      <c r="K82">
        <v>16.2</v>
      </c>
      <c r="L82">
        <v>110</v>
      </c>
      <c r="M82">
        <v>110</v>
      </c>
      <c r="N82">
        <f t="shared" si="21"/>
        <v>27.5</v>
      </c>
      <c r="P82">
        <v>20.255801999999999</v>
      </c>
      <c r="Q82">
        <f t="shared" ref="Q82:Q94" si="30">(P82-AVERAGE($P$93,$P$94))*F82</f>
        <v>23.105623125000001</v>
      </c>
      <c r="R82">
        <f t="shared" ref="R82:R92" si="31">(Q82/J82*60)/G82</f>
        <v>43.323043359374999</v>
      </c>
      <c r="S82">
        <v>305.19650000000001</v>
      </c>
      <c r="T82">
        <f t="shared" si="24"/>
        <v>720.26167499999997</v>
      </c>
      <c r="U82">
        <f t="shared" si="25"/>
        <v>1350.490640625</v>
      </c>
      <c r="V82">
        <v>28.625492229061301</v>
      </c>
      <c r="W82">
        <f t="shared" si="26"/>
        <v>36.63365246098639</v>
      </c>
      <c r="X82">
        <f t="shared" si="27"/>
        <v>68.688098364349486</v>
      </c>
      <c r="Y82">
        <v>1014.1812647715599</v>
      </c>
      <c r="Z82">
        <f t="shared" si="28"/>
        <v>1133.2373552804352</v>
      </c>
      <c r="AA82">
        <f t="shared" si="29"/>
        <v>2124.820041150816</v>
      </c>
      <c r="AD82" t="s">
        <v>31</v>
      </c>
      <c r="AF82" t="s">
        <v>31</v>
      </c>
      <c r="AG82" t="s">
        <v>31</v>
      </c>
    </row>
    <row r="83" spans="1:33" x14ac:dyDescent="0.35">
      <c r="A83">
        <v>235</v>
      </c>
      <c r="B83" t="s">
        <v>106</v>
      </c>
      <c r="C83" t="s">
        <v>131</v>
      </c>
      <c r="D83" t="s">
        <v>26</v>
      </c>
      <c r="E83" t="s">
        <v>29</v>
      </c>
      <c r="F83">
        <v>2.5</v>
      </c>
      <c r="G83">
        <v>1</v>
      </c>
      <c r="H83" s="1">
        <v>19.52</v>
      </c>
      <c r="I83" s="1">
        <v>20.239999999999998</v>
      </c>
      <c r="J83">
        <v>32</v>
      </c>
      <c r="K83">
        <v>16.2</v>
      </c>
      <c r="L83">
        <v>95</v>
      </c>
      <c r="M83">
        <v>95</v>
      </c>
      <c r="N83">
        <f t="shared" si="21"/>
        <v>23.75</v>
      </c>
      <c r="P83">
        <v>22.511204999999997</v>
      </c>
      <c r="Q83">
        <f t="shared" si="30"/>
        <v>28.744130624999997</v>
      </c>
      <c r="R83">
        <f t="shared" si="31"/>
        <v>53.89524492187499</v>
      </c>
      <c r="S83">
        <v>272.54574000000002</v>
      </c>
      <c r="T83">
        <f t="shared" si="24"/>
        <v>638.63477499999999</v>
      </c>
      <c r="U83">
        <f t="shared" si="25"/>
        <v>1197.4402031249999</v>
      </c>
      <c r="V83">
        <v>25.300557807966914</v>
      </c>
      <c r="W83">
        <f t="shared" si="26"/>
        <v>28.321316408250425</v>
      </c>
      <c r="X83">
        <f t="shared" si="27"/>
        <v>53.102468265469547</v>
      </c>
      <c r="Y83">
        <v>976.96497110681696</v>
      </c>
      <c r="Z83">
        <f t="shared" si="28"/>
        <v>1040.1966211185779</v>
      </c>
      <c r="AA83">
        <f t="shared" si="29"/>
        <v>1950.3686645973337</v>
      </c>
      <c r="AD83" t="s">
        <v>31</v>
      </c>
      <c r="AF83" t="s">
        <v>31</v>
      </c>
      <c r="AG83" t="s">
        <v>31</v>
      </c>
    </row>
    <row r="84" spans="1:33" x14ac:dyDescent="0.35">
      <c r="A84">
        <v>236</v>
      </c>
      <c r="B84" t="s">
        <v>106</v>
      </c>
      <c r="C84" t="s">
        <v>131</v>
      </c>
      <c r="D84" t="s">
        <v>26</v>
      </c>
      <c r="E84" t="s">
        <v>29</v>
      </c>
      <c r="F84">
        <v>2.5</v>
      </c>
      <c r="G84">
        <v>1</v>
      </c>
      <c r="H84" s="1">
        <v>19.53</v>
      </c>
      <c r="I84" s="1">
        <v>20.260000000000002</v>
      </c>
      <c r="J84">
        <v>33</v>
      </c>
      <c r="K84">
        <v>16.2</v>
      </c>
      <c r="L84">
        <v>89</v>
      </c>
      <c r="M84">
        <v>89</v>
      </c>
      <c r="N84">
        <f t="shared" si="21"/>
        <v>22.25</v>
      </c>
      <c r="P84">
        <v>22.952479499999999</v>
      </c>
      <c r="Q84">
        <f t="shared" si="30"/>
        <v>29.847316875000001</v>
      </c>
      <c r="R84">
        <f t="shared" si="31"/>
        <v>54.267848863636367</v>
      </c>
      <c r="S84">
        <v>175.35607999999999</v>
      </c>
      <c r="T84">
        <f t="shared" si="24"/>
        <v>395.66062499999998</v>
      </c>
      <c r="U84">
        <f t="shared" si="25"/>
        <v>719.38295454545448</v>
      </c>
      <c r="V84">
        <v>24.635570923748038</v>
      </c>
      <c r="W84">
        <f t="shared" si="26"/>
        <v>26.658849197703233</v>
      </c>
      <c r="X84">
        <f t="shared" si="27"/>
        <v>48.470634904914967</v>
      </c>
      <c r="Y84">
        <v>380.70812740618612</v>
      </c>
      <c r="Z84">
        <f t="shared" si="28"/>
        <v>-450.44548813299912</v>
      </c>
      <c r="AA84">
        <f t="shared" si="29"/>
        <v>-818.99179660545292</v>
      </c>
      <c r="AD84" t="s">
        <v>31</v>
      </c>
      <c r="AF84" t="s">
        <v>31</v>
      </c>
      <c r="AG84" t="s">
        <v>31</v>
      </c>
    </row>
    <row r="85" spans="1:33" x14ac:dyDescent="0.35">
      <c r="A85">
        <v>237</v>
      </c>
      <c r="B85" t="s">
        <v>106</v>
      </c>
      <c r="C85" t="s">
        <v>131</v>
      </c>
      <c r="D85" t="s">
        <v>26</v>
      </c>
      <c r="E85" t="s">
        <v>29</v>
      </c>
      <c r="F85">
        <v>2.5</v>
      </c>
      <c r="G85">
        <v>1</v>
      </c>
      <c r="H85" s="1">
        <v>19.55</v>
      </c>
      <c r="I85" s="1">
        <v>20.27</v>
      </c>
      <c r="J85">
        <v>32</v>
      </c>
      <c r="K85">
        <v>16.2</v>
      </c>
      <c r="L85">
        <v>98</v>
      </c>
      <c r="M85">
        <v>98</v>
      </c>
      <c r="N85">
        <f t="shared" si="21"/>
        <v>24.5</v>
      </c>
      <c r="P85">
        <v>18.098459999999999</v>
      </c>
      <c r="Q85">
        <f t="shared" si="30"/>
        <v>17.712268125000001</v>
      </c>
      <c r="R85">
        <f t="shared" si="31"/>
        <v>33.210502734375005</v>
      </c>
      <c r="S85">
        <v>236.60069999999999</v>
      </c>
      <c r="T85">
        <f t="shared" si="24"/>
        <v>548.77217500000006</v>
      </c>
      <c r="U85">
        <f t="shared" si="25"/>
        <v>1028.9478281250001</v>
      </c>
      <c r="V85">
        <v>19.315675849997014</v>
      </c>
      <c r="W85">
        <f t="shared" si="26"/>
        <v>13.359111513325672</v>
      </c>
      <c r="X85">
        <f t="shared" si="27"/>
        <v>25.048334087485635</v>
      </c>
      <c r="Y85">
        <v>541.1821244254852</v>
      </c>
      <c r="Z85">
        <f t="shared" si="28"/>
        <v>-49.260495584751425</v>
      </c>
      <c r="AA85">
        <f t="shared" si="29"/>
        <v>-92.363429221408921</v>
      </c>
      <c r="AD85" t="s">
        <v>31</v>
      </c>
      <c r="AF85" t="s">
        <v>31</v>
      </c>
      <c r="AG85" t="s">
        <v>31</v>
      </c>
    </row>
    <row r="86" spans="1:33" x14ac:dyDescent="0.35">
      <c r="A86">
        <v>238</v>
      </c>
      <c r="B86" t="s">
        <v>106</v>
      </c>
      <c r="C86" t="s">
        <v>131</v>
      </c>
      <c r="D86" t="s">
        <v>26</v>
      </c>
      <c r="E86" t="s">
        <v>29</v>
      </c>
      <c r="F86">
        <v>2</v>
      </c>
      <c r="G86">
        <v>1</v>
      </c>
      <c r="H86" s="1">
        <v>19.579999999999998</v>
      </c>
      <c r="I86" s="1">
        <v>20.32</v>
      </c>
      <c r="J86">
        <v>34</v>
      </c>
      <c r="K86">
        <v>16.2</v>
      </c>
      <c r="L86">
        <v>68</v>
      </c>
      <c r="M86">
        <v>68</v>
      </c>
      <c r="N86">
        <f t="shared" si="21"/>
        <v>17</v>
      </c>
      <c r="P86">
        <v>22.707327000000003</v>
      </c>
      <c r="Q86">
        <f t="shared" si="30"/>
        <v>23.387548500000008</v>
      </c>
      <c r="R86">
        <f t="shared" si="31"/>
        <v>41.272144411764714</v>
      </c>
      <c r="S86">
        <v>247.23587000000001</v>
      </c>
      <c r="T86">
        <f t="shared" si="24"/>
        <v>460.28808000000004</v>
      </c>
      <c r="U86">
        <f t="shared" si="25"/>
        <v>812.27308235294117</v>
      </c>
      <c r="V86">
        <v>27.0105240816726</v>
      </c>
      <c r="W86">
        <f t="shared" si="26"/>
        <v>26.076985674011709</v>
      </c>
      <c r="X86">
        <f t="shared" si="27"/>
        <v>46.018210012961845</v>
      </c>
      <c r="Y86">
        <v>800.61587499621771</v>
      </c>
      <c r="Z86">
        <f t="shared" si="28"/>
        <v>479.45910467366389</v>
      </c>
      <c r="AA86">
        <f t="shared" si="29"/>
        <v>846.10430236528919</v>
      </c>
      <c r="AD86" t="s">
        <v>31</v>
      </c>
      <c r="AF86" t="s">
        <v>31</v>
      </c>
      <c r="AG86" t="s">
        <v>31</v>
      </c>
    </row>
    <row r="87" spans="1:33" x14ac:dyDescent="0.35">
      <c r="A87">
        <v>239</v>
      </c>
      <c r="B87" t="s">
        <v>106</v>
      </c>
      <c r="C87" t="s">
        <v>131</v>
      </c>
      <c r="D87" t="s">
        <v>26</v>
      </c>
      <c r="E87" t="s">
        <v>65</v>
      </c>
      <c r="F87">
        <v>0.4</v>
      </c>
      <c r="G87">
        <v>1</v>
      </c>
      <c r="H87" s="1">
        <v>20.010000000000002</v>
      </c>
      <c r="I87" s="1">
        <v>20.34</v>
      </c>
      <c r="J87">
        <v>33</v>
      </c>
      <c r="K87">
        <v>16.2</v>
      </c>
      <c r="L87">
        <v>24</v>
      </c>
      <c r="M87">
        <v>24</v>
      </c>
      <c r="N87">
        <f t="shared" si="21"/>
        <v>6</v>
      </c>
      <c r="P87">
        <v>23.491814999999999</v>
      </c>
      <c r="Q87">
        <f t="shared" si="30"/>
        <v>4.9913049000000003</v>
      </c>
      <c r="R87">
        <f t="shared" si="31"/>
        <v>9.075099818181819</v>
      </c>
      <c r="S87">
        <v>189.65436</v>
      </c>
      <c r="T87">
        <f t="shared" si="24"/>
        <v>69.02501199999999</v>
      </c>
      <c r="U87">
        <f t="shared" si="25"/>
        <v>125.50002181818181</v>
      </c>
      <c r="V87">
        <v>16.228236744695078</v>
      </c>
      <c r="W87">
        <f t="shared" si="26"/>
        <v>0.90248220001133328</v>
      </c>
      <c r="X87">
        <f t="shared" si="27"/>
        <v>1.6408767272933333</v>
      </c>
      <c r="Y87">
        <v>687.34320091068423</v>
      </c>
      <c r="Z87">
        <f t="shared" si="28"/>
        <v>50.582751300519391</v>
      </c>
      <c r="AA87">
        <f t="shared" si="29"/>
        <v>91.968638728217073</v>
      </c>
      <c r="AD87" t="s">
        <v>31</v>
      </c>
      <c r="AF87" t="s">
        <v>31</v>
      </c>
      <c r="AG87" t="s">
        <v>31</v>
      </c>
    </row>
    <row r="88" spans="1:33" x14ac:dyDescent="0.35">
      <c r="A88">
        <v>240</v>
      </c>
      <c r="B88" t="s">
        <v>106</v>
      </c>
      <c r="C88" t="s">
        <v>131</v>
      </c>
      <c r="D88" t="s">
        <v>26</v>
      </c>
      <c r="E88" t="s">
        <v>65</v>
      </c>
      <c r="F88">
        <v>0.4</v>
      </c>
      <c r="G88">
        <v>1</v>
      </c>
      <c r="H88" s="1">
        <v>20.02</v>
      </c>
      <c r="I88" s="1">
        <v>20.350000000000001</v>
      </c>
      <c r="J88">
        <v>33</v>
      </c>
      <c r="K88">
        <v>16.2</v>
      </c>
      <c r="L88">
        <v>24</v>
      </c>
      <c r="M88">
        <v>24</v>
      </c>
      <c r="N88">
        <f t="shared" si="21"/>
        <v>6</v>
      </c>
      <c r="P88">
        <v>19.128100499999999</v>
      </c>
      <c r="Q88">
        <f t="shared" si="30"/>
        <v>3.2458191000000003</v>
      </c>
      <c r="R88">
        <f t="shared" si="31"/>
        <v>5.9014892727272734</v>
      </c>
      <c r="S88">
        <v>294.79776000000004</v>
      </c>
      <c r="T88">
        <f t="shared" si="24"/>
        <v>111.08237200000002</v>
      </c>
      <c r="U88">
        <f t="shared" si="25"/>
        <v>201.96794909090912</v>
      </c>
      <c r="V88">
        <v>21.928124323714034</v>
      </c>
      <c r="W88">
        <f t="shared" si="26"/>
        <v>3.1824372316189158</v>
      </c>
      <c r="X88">
        <f t="shared" si="27"/>
        <v>5.7862495120343924</v>
      </c>
      <c r="Y88">
        <v>902.30484213457646</v>
      </c>
      <c r="Z88">
        <f t="shared" si="28"/>
        <v>136.56740779007629</v>
      </c>
      <c r="AA88">
        <f t="shared" si="29"/>
        <v>248.3043778001387</v>
      </c>
      <c r="AD88" t="s">
        <v>31</v>
      </c>
      <c r="AF88" t="s">
        <v>31</v>
      </c>
      <c r="AG88" t="s">
        <v>31</v>
      </c>
    </row>
    <row r="89" spans="1:33" x14ac:dyDescent="0.35">
      <c r="A89">
        <v>241</v>
      </c>
      <c r="B89" t="s">
        <v>106</v>
      </c>
      <c r="C89" t="s">
        <v>131</v>
      </c>
      <c r="D89" t="s">
        <v>26</v>
      </c>
      <c r="E89" t="s">
        <v>65</v>
      </c>
      <c r="F89">
        <v>0.4</v>
      </c>
      <c r="G89">
        <v>1</v>
      </c>
      <c r="H89" s="1">
        <v>20.03</v>
      </c>
      <c r="I89" s="1">
        <v>20.36</v>
      </c>
      <c r="J89">
        <v>33</v>
      </c>
      <c r="K89">
        <v>16.2</v>
      </c>
      <c r="L89">
        <v>31</v>
      </c>
      <c r="M89">
        <v>31</v>
      </c>
      <c r="N89">
        <f t="shared" si="21"/>
        <v>7.75</v>
      </c>
      <c r="P89">
        <v>33.297915000000003</v>
      </c>
      <c r="Q89">
        <f t="shared" si="30"/>
        <v>8.9137449000000029</v>
      </c>
      <c r="R89">
        <f t="shared" si="31"/>
        <v>16.206808909090913</v>
      </c>
      <c r="S89">
        <v>394.57410000000004</v>
      </c>
      <c r="T89">
        <f t="shared" si="24"/>
        <v>150.99290800000003</v>
      </c>
      <c r="U89">
        <f t="shared" si="25"/>
        <v>274.53256000000005</v>
      </c>
      <c r="V89">
        <v>32.947906976484013</v>
      </c>
      <c r="W89">
        <f t="shared" si="26"/>
        <v>7.5903502927269075</v>
      </c>
      <c r="X89">
        <f t="shared" si="27"/>
        <v>13.800636895867104</v>
      </c>
      <c r="Y89">
        <v>1217.8411791966992</v>
      </c>
      <c r="Z89">
        <f t="shared" si="28"/>
        <v>262.78194261492536</v>
      </c>
      <c r="AA89">
        <f t="shared" si="29"/>
        <v>477.78535020895515</v>
      </c>
      <c r="AD89" t="s">
        <v>31</v>
      </c>
      <c r="AF89" t="s">
        <v>31</v>
      </c>
      <c r="AG89" t="s">
        <v>31</v>
      </c>
    </row>
    <row r="90" spans="1:33" x14ac:dyDescent="0.35">
      <c r="A90">
        <v>242</v>
      </c>
      <c r="B90" t="s">
        <v>106</v>
      </c>
      <c r="C90" t="s">
        <v>131</v>
      </c>
      <c r="D90" t="s">
        <v>26</v>
      </c>
      <c r="E90" t="s">
        <v>29</v>
      </c>
      <c r="F90">
        <v>2</v>
      </c>
      <c r="G90">
        <v>1</v>
      </c>
      <c r="H90" s="1">
        <v>20.04</v>
      </c>
      <c r="I90" s="1">
        <v>20.37</v>
      </c>
      <c r="J90">
        <v>33</v>
      </c>
      <c r="K90">
        <v>16.2</v>
      </c>
      <c r="L90">
        <v>40</v>
      </c>
      <c r="M90">
        <v>40</v>
      </c>
      <c r="N90">
        <f t="shared" si="21"/>
        <v>10</v>
      </c>
      <c r="P90">
        <v>18.392643000000003</v>
      </c>
      <c r="Q90">
        <f t="shared" si="30"/>
        <v>14.758180500000009</v>
      </c>
      <c r="R90">
        <f t="shared" si="31"/>
        <v>26.833055454545473</v>
      </c>
      <c r="S90">
        <v>148.11205999999999</v>
      </c>
      <c r="T90">
        <f t="shared" si="24"/>
        <v>262.04045999999994</v>
      </c>
      <c r="U90">
        <f t="shared" si="25"/>
        <v>476.4371999999999</v>
      </c>
      <c r="V90">
        <v>18.983182407887572</v>
      </c>
      <c r="W90">
        <f t="shared" si="26"/>
        <v>10.022302326441654</v>
      </c>
      <c r="X90">
        <f t="shared" si="27"/>
        <v>18.222367866257553</v>
      </c>
      <c r="Y90">
        <v>781.43857807181962</v>
      </c>
      <c r="Z90">
        <f t="shared" si="28"/>
        <v>441.1045108248677</v>
      </c>
      <c r="AA90">
        <f t="shared" si="29"/>
        <v>802.00820149975948</v>
      </c>
      <c r="AD90" t="s">
        <v>31</v>
      </c>
      <c r="AF90" t="s">
        <v>31</v>
      </c>
      <c r="AG90" t="s">
        <v>31</v>
      </c>
    </row>
    <row r="91" spans="1:33" x14ac:dyDescent="0.35">
      <c r="A91">
        <v>243</v>
      </c>
      <c r="B91" t="s">
        <v>106</v>
      </c>
      <c r="C91" t="s">
        <v>131</v>
      </c>
      <c r="D91" t="s">
        <v>26</v>
      </c>
      <c r="E91" t="s">
        <v>29</v>
      </c>
      <c r="F91">
        <v>2</v>
      </c>
      <c r="G91">
        <v>1</v>
      </c>
      <c r="H91" s="1">
        <v>20.07</v>
      </c>
      <c r="I91" s="1">
        <v>20.38</v>
      </c>
      <c r="J91">
        <v>31</v>
      </c>
      <c r="K91">
        <v>16.2</v>
      </c>
      <c r="L91">
        <v>36</v>
      </c>
      <c r="M91">
        <v>36</v>
      </c>
      <c r="N91">
        <f t="shared" si="21"/>
        <v>9</v>
      </c>
      <c r="P91">
        <v>19.961618999999999</v>
      </c>
      <c r="Q91">
        <f t="shared" si="30"/>
        <v>17.8961325</v>
      </c>
      <c r="R91">
        <f t="shared" si="31"/>
        <v>34.637675806451618</v>
      </c>
      <c r="S91">
        <v>165.92114000000001</v>
      </c>
      <c r="T91">
        <f t="shared" si="24"/>
        <v>297.65862000000004</v>
      </c>
      <c r="U91">
        <f t="shared" si="25"/>
        <v>576.11345806451618</v>
      </c>
      <c r="V91">
        <v>27.390516586940532</v>
      </c>
      <c r="W91">
        <f t="shared" si="26"/>
        <v>26.836970684547573</v>
      </c>
      <c r="X91">
        <f t="shared" si="27"/>
        <v>51.942523905575953</v>
      </c>
      <c r="Y91">
        <v>811.39385320725171</v>
      </c>
      <c r="Z91">
        <f t="shared" si="28"/>
        <v>501.01506109573188</v>
      </c>
      <c r="AA91">
        <f t="shared" si="29"/>
        <v>969.70656986270694</v>
      </c>
      <c r="AD91" t="s">
        <v>31</v>
      </c>
      <c r="AF91" t="s">
        <v>31</v>
      </c>
      <c r="AG91" t="s">
        <v>31</v>
      </c>
    </row>
    <row r="92" spans="1:33" x14ac:dyDescent="0.35">
      <c r="A92">
        <v>244</v>
      </c>
      <c r="B92" t="s">
        <v>106</v>
      </c>
      <c r="C92" t="s">
        <v>131</v>
      </c>
      <c r="D92" t="s">
        <v>26</v>
      </c>
      <c r="E92" t="s">
        <v>29</v>
      </c>
      <c r="F92">
        <v>2.5</v>
      </c>
      <c r="G92">
        <v>1</v>
      </c>
      <c r="H92" s="1">
        <v>20.09</v>
      </c>
      <c r="I92" s="1">
        <v>20.39</v>
      </c>
      <c r="J92">
        <v>30</v>
      </c>
      <c r="K92">
        <v>16.2</v>
      </c>
      <c r="L92">
        <v>45</v>
      </c>
      <c r="M92">
        <v>45</v>
      </c>
      <c r="N92">
        <f t="shared" si="21"/>
        <v>11.25</v>
      </c>
      <c r="P92">
        <v>19.863558000000001</v>
      </c>
      <c r="Q92">
        <f t="shared" si="30"/>
        <v>22.125013125000006</v>
      </c>
      <c r="R92">
        <f t="shared" si="31"/>
        <v>44.250026250000012</v>
      </c>
      <c r="S92">
        <v>77.704999999999984</v>
      </c>
      <c r="T92">
        <f t="shared" si="24"/>
        <v>151.53292499999995</v>
      </c>
      <c r="U92">
        <f t="shared" si="25"/>
        <v>303.0658499999999</v>
      </c>
      <c r="V92">
        <v>21.548131818446102</v>
      </c>
      <c r="W92">
        <f t="shared" si="26"/>
        <v>18.940251434448392</v>
      </c>
      <c r="X92">
        <f t="shared" si="27"/>
        <v>37.880502868896784</v>
      </c>
      <c r="Y92">
        <v>677.10100695645542</v>
      </c>
      <c r="Z92">
        <f t="shared" si="28"/>
        <v>290.53671074267413</v>
      </c>
      <c r="AA92">
        <f t="shared" si="29"/>
        <v>581.07342148534826</v>
      </c>
      <c r="AD92" t="s">
        <v>31</v>
      </c>
      <c r="AF92" t="s">
        <v>31</v>
      </c>
      <c r="AG92" t="s">
        <v>31</v>
      </c>
    </row>
    <row r="93" spans="1:33" x14ac:dyDescent="0.35">
      <c r="A93">
        <v>245</v>
      </c>
      <c r="B93" t="s">
        <v>106</v>
      </c>
      <c r="C93" t="s">
        <v>131</v>
      </c>
      <c r="D93" t="s">
        <v>32</v>
      </c>
      <c r="E93" t="s">
        <v>29</v>
      </c>
      <c r="F93">
        <v>5</v>
      </c>
      <c r="G93" t="s">
        <v>31</v>
      </c>
      <c r="H93" s="1">
        <v>20.149999999999999</v>
      </c>
      <c r="I93" s="1">
        <v>20.55</v>
      </c>
      <c r="J93">
        <v>40</v>
      </c>
      <c r="K93">
        <v>16.2</v>
      </c>
      <c r="L93" t="s">
        <v>31</v>
      </c>
      <c r="M93" t="s">
        <v>31</v>
      </c>
      <c r="N93" t="s">
        <v>31</v>
      </c>
      <c r="P93">
        <v>9.1749089999999995</v>
      </c>
      <c r="Q93">
        <f t="shared" si="30"/>
        <v>-9.1932187499999962</v>
      </c>
      <c r="R93" t="s">
        <v>31</v>
      </c>
      <c r="S93">
        <v>11.996390000000002</v>
      </c>
      <c r="T93">
        <f t="shared" si="24"/>
        <v>-25.4772</v>
      </c>
      <c r="U93" t="s">
        <v>31</v>
      </c>
      <c r="V93">
        <v>12.190816376223321</v>
      </c>
      <c r="W93">
        <f t="shared" si="26"/>
        <v>-8.9060743422171207</v>
      </c>
      <c r="X93" t="s">
        <v>31</v>
      </c>
      <c r="Y93">
        <v>573.34574320111574</v>
      </c>
      <c r="Z93">
        <f t="shared" si="28"/>
        <v>62.297102708649845</v>
      </c>
      <c r="AA93" t="s">
        <v>31</v>
      </c>
      <c r="AD93" t="s">
        <v>31</v>
      </c>
      <c r="AF93" t="s">
        <v>31</v>
      </c>
      <c r="AG93" t="s">
        <v>31</v>
      </c>
    </row>
    <row r="94" spans="1:33" x14ac:dyDescent="0.35">
      <c r="A94">
        <v>246</v>
      </c>
      <c r="B94" t="s">
        <v>106</v>
      </c>
      <c r="C94" t="s">
        <v>131</v>
      </c>
      <c r="D94" t="s">
        <v>34</v>
      </c>
      <c r="E94" t="s">
        <v>65</v>
      </c>
      <c r="F94">
        <v>0.4</v>
      </c>
      <c r="G94">
        <v>1</v>
      </c>
      <c r="H94" s="1">
        <v>20.18</v>
      </c>
      <c r="I94" s="1">
        <v>20.55</v>
      </c>
      <c r="J94">
        <v>37</v>
      </c>
      <c r="K94">
        <v>16.2</v>
      </c>
      <c r="L94" t="s">
        <v>31</v>
      </c>
      <c r="M94" t="s">
        <v>31</v>
      </c>
      <c r="N94" t="s">
        <v>31</v>
      </c>
      <c r="P94">
        <v>12.8521965</v>
      </c>
      <c r="Q94">
        <f t="shared" si="30"/>
        <v>0.73545750000000043</v>
      </c>
      <c r="R94">
        <f t="shared" ref="R94:R125" si="32">(Q94/J94*60)/G94</f>
        <v>1.1926337837837846</v>
      </c>
      <c r="S94">
        <v>22.187270000000005</v>
      </c>
      <c r="T94">
        <f t="shared" si="24"/>
        <v>2.0381760000000013</v>
      </c>
      <c r="U94">
        <f t="shared" ref="U94:U125" si="33">(T94/J94*60)/G94</f>
        <v>3.3051502702702726</v>
      </c>
      <c r="V94">
        <v>15.753246113110167</v>
      </c>
      <c r="W94">
        <f t="shared" si="26"/>
        <v>0.71248594737736903</v>
      </c>
      <c r="X94">
        <f t="shared" si="27"/>
        <v>1.1553826173687065</v>
      </c>
      <c r="Y94">
        <v>548.4269021176558</v>
      </c>
      <c r="Z94">
        <f t="shared" si="28"/>
        <v>-4.9837682166919883</v>
      </c>
      <c r="AA94">
        <f t="shared" si="29"/>
        <v>-8.0817862973383594</v>
      </c>
      <c r="AD94" t="s">
        <v>31</v>
      </c>
      <c r="AF94" t="s">
        <v>31</v>
      </c>
      <c r="AG94" t="s">
        <v>31</v>
      </c>
    </row>
    <row r="95" spans="1:33" x14ac:dyDescent="0.35">
      <c r="A95">
        <v>247</v>
      </c>
      <c r="B95" t="s">
        <v>112</v>
      </c>
      <c r="C95" t="s">
        <v>131</v>
      </c>
      <c r="D95" t="s">
        <v>123</v>
      </c>
      <c r="E95" t="s">
        <v>29</v>
      </c>
      <c r="F95">
        <v>5</v>
      </c>
      <c r="G95">
        <v>1</v>
      </c>
      <c r="H95" s="1">
        <v>10.38</v>
      </c>
      <c r="I95" s="1">
        <v>11.17</v>
      </c>
      <c r="J95">
        <f>22+17</f>
        <v>39</v>
      </c>
      <c r="K95">
        <v>15.9</v>
      </c>
      <c r="L95">
        <v>238</v>
      </c>
      <c r="M95">
        <v>238</v>
      </c>
      <c r="N95">
        <f t="shared" ref="N95:N113" si="34">M95*0.25</f>
        <v>59.5</v>
      </c>
      <c r="P95">
        <v>40.946673000000004</v>
      </c>
      <c r="Q95">
        <f t="shared" ref="Q95:Q115" si="35">(P95-AVERAGE($P$114,$P$115))*F95</f>
        <v>135.07902750000002</v>
      </c>
      <c r="R95">
        <f t="shared" si="32"/>
        <v>207.81388846153851</v>
      </c>
      <c r="S95">
        <v>465.25965000000002</v>
      </c>
      <c r="T95">
        <f t="shared" ref="T95:T115" si="36">(S95-AVERAGE($S$114,$S$115))*F95</f>
        <v>2226.1852000000003</v>
      </c>
      <c r="U95">
        <f t="shared" si="33"/>
        <v>3424.9003076923082</v>
      </c>
      <c r="V95">
        <v>36.795331092321803</v>
      </c>
      <c r="W95">
        <f>(V95-AVERAGE($V$114))*F95</f>
        <v>117.32268600147347</v>
      </c>
      <c r="X95">
        <f t="shared" si="27"/>
        <v>180.49644000226689</v>
      </c>
      <c r="Y95">
        <v>1034.2666981191799</v>
      </c>
      <c r="Z95">
        <f>(Y95-AVERAGE($Y$114,$Y$115))*F95</f>
        <v>2183.4254862645048</v>
      </c>
      <c r="AA95">
        <f t="shared" si="29"/>
        <v>3359.1161327146228</v>
      </c>
      <c r="AD95" t="s">
        <v>31</v>
      </c>
      <c r="AF95" t="s">
        <v>31</v>
      </c>
      <c r="AG95" t="s">
        <v>31</v>
      </c>
    </row>
    <row r="96" spans="1:33" x14ac:dyDescent="0.35">
      <c r="A96">
        <v>248</v>
      </c>
      <c r="B96" t="s">
        <v>112</v>
      </c>
      <c r="C96" t="s">
        <v>131</v>
      </c>
      <c r="D96" t="s">
        <v>123</v>
      </c>
      <c r="E96" t="s">
        <v>29</v>
      </c>
      <c r="F96">
        <v>5</v>
      </c>
      <c r="G96">
        <v>1</v>
      </c>
      <c r="H96" s="1">
        <v>10.4</v>
      </c>
      <c r="I96" s="1">
        <v>11.19</v>
      </c>
      <c r="J96">
        <v>39</v>
      </c>
      <c r="K96">
        <v>15.9</v>
      </c>
      <c r="L96">
        <v>304</v>
      </c>
      <c r="M96">
        <v>304</v>
      </c>
      <c r="N96">
        <f t="shared" si="34"/>
        <v>76</v>
      </c>
      <c r="P96">
        <v>52.468840499999999</v>
      </c>
      <c r="Q96">
        <f t="shared" si="35"/>
        <v>192.689865</v>
      </c>
      <c r="R96">
        <f t="shared" si="32"/>
        <v>296.44594615384619</v>
      </c>
      <c r="S96">
        <v>456.55229899999995</v>
      </c>
      <c r="T96">
        <f t="shared" si="36"/>
        <v>2182.6484449999998</v>
      </c>
      <c r="U96">
        <f t="shared" si="33"/>
        <v>3357.9206846153843</v>
      </c>
      <c r="V96">
        <v>45.48765965032571</v>
      </c>
      <c r="W96">
        <f t="shared" ref="W96:W115" si="37">(V96-AVERAGE($V$114))*F96</f>
        <v>160.78432879149301</v>
      </c>
      <c r="X96">
        <f t="shared" si="27"/>
        <v>247.36050583306618</v>
      </c>
      <c r="Y96">
        <v>1132.6402445717529</v>
      </c>
      <c r="Z96">
        <f t="shared" ref="Z96:Z115" si="38">(Y96-AVERAGE($Y$114,$Y$115))*F96</f>
        <v>2675.2932185273698</v>
      </c>
      <c r="AA96">
        <f t="shared" si="29"/>
        <v>4115.8357208113375</v>
      </c>
      <c r="AD96" t="s">
        <v>31</v>
      </c>
      <c r="AF96" t="s">
        <v>31</v>
      </c>
      <c r="AG96" t="s">
        <v>31</v>
      </c>
    </row>
    <row r="97" spans="1:35" x14ac:dyDescent="0.35">
      <c r="A97">
        <v>249</v>
      </c>
      <c r="B97" t="s">
        <v>112</v>
      </c>
      <c r="C97" t="s">
        <v>131</v>
      </c>
      <c r="D97" t="s">
        <v>26</v>
      </c>
      <c r="E97" t="s">
        <v>65</v>
      </c>
      <c r="F97">
        <v>0.4</v>
      </c>
      <c r="G97">
        <v>1</v>
      </c>
      <c r="H97" s="1">
        <v>10.42</v>
      </c>
      <c r="I97" s="1">
        <v>11.23</v>
      </c>
      <c r="J97">
        <f>18+23</f>
        <v>41</v>
      </c>
      <c r="K97">
        <v>15.9</v>
      </c>
      <c r="L97">
        <v>15</v>
      </c>
      <c r="M97">
        <v>15</v>
      </c>
      <c r="N97">
        <f t="shared" si="34"/>
        <v>3.75</v>
      </c>
      <c r="P97">
        <v>22.4621745</v>
      </c>
      <c r="Q97">
        <f t="shared" si="35"/>
        <v>3.4125228000000001</v>
      </c>
      <c r="R97">
        <f t="shared" si="32"/>
        <v>4.9939358048780491</v>
      </c>
      <c r="S97">
        <v>371.25923999999998</v>
      </c>
      <c r="T97">
        <f t="shared" si="36"/>
        <v>140.494652</v>
      </c>
      <c r="U97">
        <f t="shared" si="33"/>
        <v>205.60192975609758</v>
      </c>
      <c r="V97">
        <v>29.480475365914145</v>
      </c>
      <c r="W97">
        <f t="shared" si="37"/>
        <v>6.4598725895548146</v>
      </c>
      <c r="X97">
        <f t="shared" si="27"/>
        <v>9.4534720822753382</v>
      </c>
      <c r="Y97">
        <v>2023.4201873835345</v>
      </c>
      <c r="Z97">
        <f t="shared" si="38"/>
        <v>570.33543460690225</v>
      </c>
      <c r="AA97">
        <f t="shared" si="29"/>
        <v>834.6372213759546</v>
      </c>
      <c r="AD97" t="s">
        <v>31</v>
      </c>
      <c r="AF97" t="s">
        <v>31</v>
      </c>
      <c r="AG97" t="s">
        <v>31</v>
      </c>
    </row>
    <row r="98" spans="1:35" x14ac:dyDescent="0.35">
      <c r="A98">
        <v>250</v>
      </c>
      <c r="B98" t="s">
        <v>112</v>
      </c>
      <c r="C98" t="s">
        <v>131</v>
      </c>
      <c r="D98" t="s">
        <v>108</v>
      </c>
      <c r="E98" t="s">
        <v>65</v>
      </c>
      <c r="F98">
        <v>0.3</v>
      </c>
      <c r="G98">
        <v>1</v>
      </c>
      <c r="H98" s="1">
        <v>10.44</v>
      </c>
      <c r="I98" s="1">
        <v>11.24</v>
      </c>
      <c r="J98">
        <f>16+24</f>
        <v>40</v>
      </c>
      <c r="K98">
        <v>15.9</v>
      </c>
      <c r="L98">
        <v>10</v>
      </c>
      <c r="M98">
        <v>10</v>
      </c>
      <c r="N98">
        <f t="shared" si="34"/>
        <v>2.5</v>
      </c>
      <c r="O98" t="s">
        <v>125</v>
      </c>
      <c r="P98">
        <v>24.570486000000002</v>
      </c>
      <c r="Q98">
        <f t="shared" si="35"/>
        <v>3.1918855500000007</v>
      </c>
      <c r="R98">
        <f t="shared" si="32"/>
        <v>4.7878283250000013</v>
      </c>
      <c r="S98">
        <v>264.01965000000007</v>
      </c>
      <c r="T98">
        <f t="shared" si="36"/>
        <v>73.199112000000028</v>
      </c>
      <c r="U98">
        <f t="shared" si="33"/>
        <v>109.79866800000003</v>
      </c>
      <c r="V98">
        <v>23.400595281627261</v>
      </c>
      <c r="W98">
        <f t="shared" si="37"/>
        <v>3.0209404168800447</v>
      </c>
      <c r="X98">
        <f t="shared" si="27"/>
        <v>4.531410625320067</v>
      </c>
      <c r="Y98">
        <v>1096.3713308526703</v>
      </c>
      <c r="Z98">
        <f t="shared" si="38"/>
        <v>149.63691899591743</v>
      </c>
      <c r="AA98">
        <f t="shared" si="29"/>
        <v>224.45537849387614</v>
      </c>
      <c r="AB98">
        <v>45.194361632360113</v>
      </c>
      <c r="AC98">
        <v>13.320934387087064</v>
      </c>
      <c r="AD98" t="s">
        <v>31</v>
      </c>
      <c r="AE98">
        <v>3.3927320951426836</v>
      </c>
      <c r="AF98" t="s">
        <v>31</v>
      </c>
      <c r="AG98" t="s">
        <v>31</v>
      </c>
      <c r="AH98">
        <v>-18.502419033963751</v>
      </c>
      <c r="AI98">
        <v>8.3955777172979467</v>
      </c>
    </row>
    <row r="99" spans="1:35" x14ac:dyDescent="0.35">
      <c r="A99">
        <v>251</v>
      </c>
      <c r="B99" t="s">
        <v>112</v>
      </c>
      <c r="C99" t="s">
        <v>131</v>
      </c>
      <c r="D99" t="s">
        <v>108</v>
      </c>
      <c r="E99" t="s">
        <v>65</v>
      </c>
      <c r="F99">
        <v>0.3</v>
      </c>
      <c r="G99">
        <v>1</v>
      </c>
      <c r="H99" s="1">
        <v>10.45</v>
      </c>
      <c r="I99" s="1">
        <v>11.25</v>
      </c>
      <c r="J99">
        <v>40</v>
      </c>
      <c r="K99">
        <v>15.9</v>
      </c>
      <c r="L99">
        <v>14</v>
      </c>
      <c r="M99">
        <v>14</v>
      </c>
      <c r="N99">
        <f t="shared" si="34"/>
        <v>3.5</v>
      </c>
      <c r="O99" t="s">
        <v>125</v>
      </c>
      <c r="P99">
        <v>27.120072</v>
      </c>
      <c r="Q99">
        <f t="shared" si="35"/>
        <v>3.9567613499999998</v>
      </c>
      <c r="R99">
        <f t="shared" si="32"/>
        <v>5.9351420249999993</v>
      </c>
      <c r="S99">
        <v>416.65924999999993</v>
      </c>
      <c r="T99">
        <f t="shared" si="36"/>
        <v>118.99099199999998</v>
      </c>
      <c r="U99">
        <f t="shared" si="33"/>
        <v>178.48648799999998</v>
      </c>
      <c r="V99">
        <v>30.620452881717938</v>
      </c>
      <c r="W99">
        <f t="shared" si="37"/>
        <v>5.1868976969072484</v>
      </c>
      <c r="X99">
        <f t="shared" si="27"/>
        <v>7.7803465453608736</v>
      </c>
      <c r="Y99">
        <v>1214.7409803488854</v>
      </c>
      <c r="Z99">
        <f t="shared" si="38"/>
        <v>185.14781384478195</v>
      </c>
      <c r="AA99">
        <f t="shared" si="29"/>
        <v>277.72172076717294</v>
      </c>
      <c r="AB99">
        <v>45.480914068686779</v>
      </c>
      <c r="AC99">
        <v>13.760689982030001</v>
      </c>
      <c r="AD99" t="s">
        <v>31</v>
      </c>
      <c r="AE99">
        <v>3.3051332548062646</v>
      </c>
      <c r="AF99" t="s">
        <v>31</v>
      </c>
      <c r="AG99" t="s">
        <v>31</v>
      </c>
      <c r="AH99">
        <v>-18.245677663144804</v>
      </c>
      <c r="AI99">
        <v>8.1132993544354353</v>
      </c>
    </row>
    <row r="100" spans="1:35" x14ac:dyDescent="0.35">
      <c r="A100">
        <v>252</v>
      </c>
      <c r="B100" t="s">
        <v>112</v>
      </c>
      <c r="C100" t="s">
        <v>131</v>
      </c>
      <c r="D100" t="s">
        <v>107</v>
      </c>
      <c r="E100" t="s">
        <v>65</v>
      </c>
      <c r="F100">
        <v>0.3</v>
      </c>
      <c r="G100">
        <v>1</v>
      </c>
      <c r="H100">
        <v>10.46</v>
      </c>
      <c r="I100" s="1">
        <v>11.26</v>
      </c>
      <c r="J100">
        <v>40</v>
      </c>
      <c r="K100">
        <v>15.9</v>
      </c>
      <c r="L100">
        <v>3</v>
      </c>
      <c r="M100">
        <v>3</v>
      </c>
      <c r="N100">
        <f t="shared" si="34"/>
        <v>0.75</v>
      </c>
      <c r="O100" t="s">
        <v>125</v>
      </c>
      <c r="P100">
        <v>49.134766500000005</v>
      </c>
      <c r="Q100">
        <f t="shared" si="35"/>
        <v>10.561169700000002</v>
      </c>
      <c r="R100">
        <f t="shared" si="32"/>
        <v>15.841754550000003</v>
      </c>
      <c r="S100">
        <v>67.04016</v>
      </c>
      <c r="T100">
        <f t="shared" si="36"/>
        <v>14.105264999999999</v>
      </c>
      <c r="U100">
        <f t="shared" si="33"/>
        <v>21.157897500000001</v>
      </c>
      <c r="V100">
        <v>37.982807671284085</v>
      </c>
      <c r="W100">
        <f t="shared" si="37"/>
        <v>7.3956041337770921</v>
      </c>
      <c r="X100">
        <f t="shared" si="27"/>
        <v>11.093406200665637</v>
      </c>
      <c r="Y100">
        <v>483.00607412315878</v>
      </c>
      <c r="Z100">
        <f t="shared" si="38"/>
        <v>-34.372658022936037</v>
      </c>
      <c r="AA100">
        <f t="shared" si="29"/>
        <v>-51.558987034404055</v>
      </c>
      <c r="AB100">
        <v>45.222681713314692</v>
      </c>
      <c r="AC100">
        <v>12.565211489981763</v>
      </c>
      <c r="AD100" t="s">
        <v>31</v>
      </c>
      <c r="AE100">
        <v>3.6091769342682873</v>
      </c>
      <c r="AF100" t="s">
        <v>31</v>
      </c>
      <c r="AG100" t="s">
        <v>31</v>
      </c>
      <c r="AH100">
        <v>-19.910001101994478</v>
      </c>
      <c r="AI100">
        <v>9.3532259146514782</v>
      </c>
    </row>
    <row r="101" spans="1:35" x14ac:dyDescent="0.35">
      <c r="A101">
        <v>253</v>
      </c>
      <c r="B101" t="s">
        <v>112</v>
      </c>
      <c r="C101" t="s">
        <v>131</v>
      </c>
      <c r="D101" t="s">
        <v>107</v>
      </c>
      <c r="E101" t="s">
        <v>65</v>
      </c>
      <c r="F101">
        <v>0.3</v>
      </c>
      <c r="G101">
        <v>1</v>
      </c>
      <c r="H101" s="1">
        <v>10.48</v>
      </c>
      <c r="I101" s="1">
        <v>11.39</v>
      </c>
      <c r="J101">
        <v>51</v>
      </c>
      <c r="K101">
        <v>15.9</v>
      </c>
      <c r="L101">
        <v>3</v>
      </c>
      <c r="M101">
        <v>3</v>
      </c>
      <c r="N101">
        <f t="shared" si="34"/>
        <v>0.75</v>
      </c>
      <c r="O101" t="s">
        <v>125</v>
      </c>
      <c r="P101">
        <v>48.007065000000004</v>
      </c>
      <c r="Q101">
        <f t="shared" si="35"/>
        <v>10.222859250000001</v>
      </c>
      <c r="R101">
        <f t="shared" si="32"/>
        <v>12.026893235294118</v>
      </c>
      <c r="S101">
        <v>70.806259999999995</v>
      </c>
      <c r="T101">
        <f t="shared" si="36"/>
        <v>15.235094999999998</v>
      </c>
      <c r="U101">
        <f t="shared" si="33"/>
        <v>17.923641176470586</v>
      </c>
      <c r="V101">
        <v>34.84786950282367</v>
      </c>
      <c r="W101">
        <f t="shared" si="37"/>
        <v>6.4551226832389679</v>
      </c>
      <c r="X101">
        <f t="shared" si="27"/>
        <v>7.5942619802811384</v>
      </c>
      <c r="Y101">
        <v>894.23242179954104</v>
      </c>
      <c r="Z101">
        <f t="shared" si="38"/>
        <v>88.995246279978645</v>
      </c>
      <c r="AA101">
        <f t="shared" si="29"/>
        <v>104.70028974115135</v>
      </c>
      <c r="AB101">
        <v>46.163168599444994</v>
      </c>
      <c r="AC101">
        <v>12.774420096209141</v>
      </c>
      <c r="AD101" t="s">
        <v>31</v>
      </c>
      <c r="AE101">
        <v>3.6137193118569892</v>
      </c>
      <c r="AF101" t="s">
        <v>31</v>
      </c>
      <c r="AG101" t="s">
        <v>31</v>
      </c>
      <c r="AH101">
        <v>-19.421493201875936</v>
      </c>
      <c r="AI101">
        <v>8.6385141480541829</v>
      </c>
    </row>
    <row r="102" spans="1:35" x14ac:dyDescent="0.35">
      <c r="A102">
        <v>254</v>
      </c>
      <c r="B102" t="s">
        <v>112</v>
      </c>
      <c r="C102" t="s">
        <v>131</v>
      </c>
      <c r="D102" t="s">
        <v>108</v>
      </c>
      <c r="E102" t="s">
        <v>65</v>
      </c>
      <c r="F102">
        <v>0.3</v>
      </c>
      <c r="G102">
        <v>1</v>
      </c>
      <c r="H102" s="1">
        <v>10.48</v>
      </c>
      <c r="I102" s="1">
        <v>11.4</v>
      </c>
      <c r="J102">
        <v>52</v>
      </c>
      <c r="K102">
        <v>15.9</v>
      </c>
      <c r="L102">
        <v>6</v>
      </c>
      <c r="M102">
        <v>6</v>
      </c>
      <c r="N102">
        <f t="shared" si="34"/>
        <v>1.5</v>
      </c>
      <c r="O102" t="s">
        <v>125</v>
      </c>
      <c r="P102">
        <v>57.322859999999999</v>
      </c>
      <c r="Q102">
        <f t="shared" si="35"/>
        <v>13.01759775</v>
      </c>
      <c r="R102">
        <f t="shared" si="32"/>
        <v>15.020305096153844</v>
      </c>
      <c r="S102">
        <v>116.02829</v>
      </c>
      <c r="T102">
        <f t="shared" si="36"/>
        <v>28.801703999999997</v>
      </c>
      <c r="U102">
        <f t="shared" si="33"/>
        <v>33.232735384615381</v>
      </c>
      <c r="V102">
        <v>40.595256145001102</v>
      </c>
      <c r="W102">
        <f t="shared" si="37"/>
        <v>8.1793386758921969</v>
      </c>
      <c r="X102">
        <f t="shared" si="27"/>
        <v>9.437698472183305</v>
      </c>
      <c r="Y102">
        <v>460.21694907235184</v>
      </c>
      <c r="Z102">
        <f t="shared" si="38"/>
        <v>-41.209395538178121</v>
      </c>
      <c r="AA102">
        <f t="shared" si="29"/>
        <v>-47.549302544051677</v>
      </c>
      <c r="AB102">
        <v>47.442889543028222</v>
      </c>
      <c r="AC102">
        <v>14.375228920273537</v>
      </c>
      <c r="AD102" t="s">
        <v>31</v>
      </c>
      <c r="AE102">
        <v>3.3003223674663724</v>
      </c>
      <c r="AF102" t="s">
        <v>31</v>
      </c>
      <c r="AG102" t="s">
        <v>31</v>
      </c>
      <c r="AH102">
        <v>-18.349573003865309</v>
      </c>
      <c r="AI102">
        <v>8.1024803231062119</v>
      </c>
    </row>
    <row r="103" spans="1:35" x14ac:dyDescent="0.35">
      <c r="A103">
        <v>255</v>
      </c>
      <c r="B103" t="s">
        <v>112</v>
      </c>
      <c r="C103" t="s">
        <v>131</v>
      </c>
      <c r="D103" t="s">
        <v>107</v>
      </c>
      <c r="E103" t="s">
        <v>65</v>
      </c>
      <c r="F103">
        <v>0.3</v>
      </c>
      <c r="G103">
        <v>1</v>
      </c>
      <c r="H103" s="1">
        <v>10.5</v>
      </c>
      <c r="I103" s="1">
        <v>11.42</v>
      </c>
      <c r="J103">
        <v>52</v>
      </c>
      <c r="K103">
        <v>15.9</v>
      </c>
      <c r="L103">
        <v>3</v>
      </c>
      <c r="M103">
        <v>3</v>
      </c>
      <c r="N103">
        <f t="shared" si="34"/>
        <v>0.75</v>
      </c>
      <c r="O103" t="s">
        <v>125</v>
      </c>
      <c r="P103">
        <v>34.964952000000004</v>
      </c>
      <c r="Q103">
        <f t="shared" si="35"/>
        <v>6.3102253500000014</v>
      </c>
      <c r="R103">
        <f t="shared" si="32"/>
        <v>7.2810292500000013</v>
      </c>
      <c r="S103">
        <v>52.21455000000001</v>
      </c>
      <c r="T103">
        <f t="shared" si="36"/>
        <v>9.6575820000000032</v>
      </c>
      <c r="U103">
        <f t="shared" si="33"/>
        <v>11.14336384615385</v>
      </c>
      <c r="V103">
        <v>29.242980050121691</v>
      </c>
      <c r="W103">
        <f t="shared" si="37"/>
        <v>4.7736558474283735</v>
      </c>
      <c r="X103">
        <f t="shared" si="27"/>
        <v>5.5080644393404308</v>
      </c>
      <c r="Y103">
        <v>247.39279639424188</v>
      </c>
      <c r="Z103">
        <f t="shared" si="38"/>
        <v>-105.0566413416111</v>
      </c>
      <c r="AA103">
        <f t="shared" si="29"/>
        <v>-121.2192015480128</v>
      </c>
      <c r="AB103">
        <v>38.904014858420233</v>
      </c>
      <c r="AC103">
        <v>10.939762881470784</v>
      </c>
      <c r="AD103" t="s">
        <v>31</v>
      </c>
      <c r="AE103">
        <v>3.5562027513698564</v>
      </c>
      <c r="AF103" t="s">
        <v>31</v>
      </c>
      <c r="AG103" t="s">
        <v>31</v>
      </c>
      <c r="AH103">
        <v>-17.932992647322507</v>
      </c>
      <c r="AI103">
        <v>7.988388719998019</v>
      </c>
    </row>
    <row r="104" spans="1:35" x14ac:dyDescent="0.35">
      <c r="A104">
        <v>256</v>
      </c>
      <c r="B104" t="s">
        <v>112</v>
      </c>
      <c r="C104" t="s">
        <v>131</v>
      </c>
      <c r="D104" t="s">
        <v>108</v>
      </c>
      <c r="E104" t="s">
        <v>65</v>
      </c>
      <c r="F104">
        <v>0.3</v>
      </c>
      <c r="G104">
        <v>1</v>
      </c>
      <c r="H104" s="1">
        <v>10.51</v>
      </c>
      <c r="I104" s="1">
        <v>11.44</v>
      </c>
      <c r="J104">
        <f>9+44</f>
        <v>53</v>
      </c>
      <c r="K104">
        <v>15.9</v>
      </c>
      <c r="L104">
        <v>4</v>
      </c>
      <c r="M104">
        <v>4</v>
      </c>
      <c r="N104">
        <f t="shared" si="34"/>
        <v>1</v>
      </c>
      <c r="O104" t="s">
        <v>125</v>
      </c>
      <c r="P104">
        <v>33.395976000000005</v>
      </c>
      <c r="Q104">
        <f t="shared" si="35"/>
        <v>5.8395325500000022</v>
      </c>
      <c r="R104">
        <f t="shared" si="32"/>
        <v>6.6107915660377383</v>
      </c>
      <c r="S104">
        <v>111.99440000000001</v>
      </c>
      <c r="T104">
        <f t="shared" si="36"/>
        <v>27.591537000000002</v>
      </c>
      <c r="U104">
        <f t="shared" si="33"/>
        <v>31.235702264150948</v>
      </c>
      <c r="V104">
        <v>30.430456629083974</v>
      </c>
      <c r="W104">
        <f t="shared" si="37"/>
        <v>5.1298988211170578</v>
      </c>
      <c r="X104">
        <f t="shared" si="27"/>
        <v>5.8074326276796882</v>
      </c>
      <c r="Y104">
        <v>782.86271455783992</v>
      </c>
      <c r="Z104">
        <f t="shared" si="38"/>
        <v>55.584334107468301</v>
      </c>
      <c r="AA104">
        <f t="shared" si="29"/>
        <v>62.925661253737701</v>
      </c>
      <c r="AB104">
        <v>48.495959375707677</v>
      </c>
      <c r="AC104">
        <v>14.251548282428933</v>
      </c>
      <c r="AD104" t="s">
        <v>31</v>
      </c>
      <c r="AE104">
        <v>3.4028554943394802</v>
      </c>
      <c r="AF104" t="s">
        <v>31</v>
      </c>
      <c r="AG104" t="s">
        <v>31</v>
      </c>
      <c r="AH104">
        <v>-19.588325143225212</v>
      </c>
      <c r="AI104">
        <v>7.9028200176668761</v>
      </c>
    </row>
    <row r="105" spans="1:35" x14ac:dyDescent="0.35">
      <c r="A105">
        <v>257</v>
      </c>
      <c r="B105" t="s">
        <v>112</v>
      </c>
      <c r="C105" t="s">
        <v>131</v>
      </c>
      <c r="D105" t="s">
        <v>108</v>
      </c>
      <c r="E105" t="s">
        <v>65</v>
      </c>
      <c r="F105">
        <v>0.3</v>
      </c>
      <c r="G105">
        <v>1</v>
      </c>
      <c r="H105" s="1">
        <v>10.52</v>
      </c>
      <c r="I105" s="1">
        <v>11.45</v>
      </c>
      <c r="J105">
        <v>53</v>
      </c>
      <c r="K105">
        <v>15.9</v>
      </c>
      <c r="L105">
        <v>3</v>
      </c>
      <c r="M105">
        <v>3</v>
      </c>
      <c r="N105">
        <f t="shared" si="34"/>
        <v>0.75</v>
      </c>
      <c r="O105" t="s">
        <v>125</v>
      </c>
      <c r="P105">
        <v>29.326444500000001</v>
      </c>
      <c r="Q105">
        <f t="shared" si="35"/>
        <v>4.6186731000000005</v>
      </c>
      <c r="R105">
        <f t="shared" si="32"/>
        <v>5.2286865283018873</v>
      </c>
      <c r="S105">
        <v>102.65276000000001</v>
      </c>
      <c r="T105">
        <f t="shared" si="36"/>
        <v>24.789045000000005</v>
      </c>
      <c r="U105">
        <f t="shared" si="33"/>
        <v>28.063069811320762</v>
      </c>
      <c r="V105">
        <v>26.678030639563161</v>
      </c>
      <c r="W105">
        <f t="shared" si="37"/>
        <v>4.0041710242608151</v>
      </c>
      <c r="X105">
        <f t="shared" si="27"/>
        <v>4.5330238010499793</v>
      </c>
      <c r="Y105">
        <v>585.8212452968196</v>
      </c>
      <c r="Z105">
        <f t="shared" si="38"/>
        <v>-3.5281066708377922</v>
      </c>
      <c r="AA105">
        <f t="shared" si="29"/>
        <v>-3.9940830235899534</v>
      </c>
      <c r="AB105">
        <v>46.412911537766028</v>
      </c>
      <c r="AC105">
        <v>14.110624967783902</v>
      </c>
      <c r="AD105" t="s">
        <v>31</v>
      </c>
      <c r="AE105">
        <v>3.2892172844031906</v>
      </c>
      <c r="AF105" t="s">
        <v>31</v>
      </c>
      <c r="AG105" t="s">
        <v>31</v>
      </c>
      <c r="AH105">
        <v>-18.718201664690959</v>
      </c>
      <c r="AI105">
        <v>8.7122802707534444</v>
      </c>
    </row>
    <row r="106" spans="1:35" x14ac:dyDescent="0.35">
      <c r="A106">
        <v>258</v>
      </c>
      <c r="B106" t="s">
        <v>112</v>
      </c>
      <c r="C106" t="s">
        <v>131</v>
      </c>
      <c r="D106" t="s">
        <v>107</v>
      </c>
      <c r="E106" t="s">
        <v>65</v>
      </c>
      <c r="F106">
        <v>0.3</v>
      </c>
      <c r="G106">
        <v>1</v>
      </c>
      <c r="H106" s="1">
        <v>10.53</v>
      </c>
      <c r="I106" s="1">
        <v>11.46</v>
      </c>
      <c r="J106">
        <v>53</v>
      </c>
      <c r="K106">
        <v>15.9</v>
      </c>
      <c r="L106">
        <v>3</v>
      </c>
      <c r="M106">
        <v>3</v>
      </c>
      <c r="N106">
        <f t="shared" si="34"/>
        <v>0.75</v>
      </c>
      <c r="O106" t="s">
        <v>125</v>
      </c>
      <c r="P106">
        <v>30.454146000000001</v>
      </c>
      <c r="Q106">
        <f t="shared" si="35"/>
        <v>4.9569835500000012</v>
      </c>
      <c r="R106">
        <f t="shared" si="32"/>
        <v>5.611679490566039</v>
      </c>
      <c r="S106">
        <v>152.33330000000001</v>
      </c>
      <c r="T106">
        <f t="shared" si="36"/>
        <v>39.693207000000008</v>
      </c>
      <c r="U106">
        <f t="shared" si="33"/>
        <v>44.935706037735855</v>
      </c>
      <c r="V106">
        <v>33.137903229117981</v>
      </c>
      <c r="W106">
        <f t="shared" si="37"/>
        <v>5.9421328011272614</v>
      </c>
      <c r="X106">
        <f t="shared" si="27"/>
        <v>6.7269427937289752</v>
      </c>
      <c r="Y106">
        <v>836.01417793065798</v>
      </c>
      <c r="Z106">
        <f t="shared" si="38"/>
        <v>71.529773119313717</v>
      </c>
      <c r="AA106">
        <f t="shared" si="29"/>
        <v>80.977101644506092</v>
      </c>
      <c r="AB106">
        <v>47.291687585801782</v>
      </c>
      <c r="AC106">
        <v>12.328436616349821</v>
      </c>
      <c r="AD106" t="s">
        <v>31</v>
      </c>
      <c r="AE106">
        <v>3.8359841606424068</v>
      </c>
      <c r="AF106" t="s">
        <v>31</v>
      </c>
      <c r="AG106" t="s">
        <v>31</v>
      </c>
      <c r="AH106">
        <v>-18.828090967376113</v>
      </c>
      <c r="AI106">
        <v>8.1349374170938873</v>
      </c>
    </row>
    <row r="107" spans="1:35" x14ac:dyDescent="0.35">
      <c r="A107">
        <v>259</v>
      </c>
      <c r="B107" t="s">
        <v>112</v>
      </c>
      <c r="C107" t="s">
        <v>131</v>
      </c>
      <c r="D107" t="s">
        <v>108</v>
      </c>
      <c r="E107" t="s">
        <v>65</v>
      </c>
      <c r="F107">
        <v>0.3</v>
      </c>
      <c r="G107">
        <v>1</v>
      </c>
      <c r="H107" s="1">
        <v>10.54</v>
      </c>
      <c r="I107" s="1">
        <v>11.48</v>
      </c>
      <c r="J107">
        <v>54</v>
      </c>
      <c r="K107">
        <v>15.9</v>
      </c>
      <c r="L107">
        <v>3</v>
      </c>
      <c r="M107">
        <v>3</v>
      </c>
      <c r="N107">
        <f t="shared" si="34"/>
        <v>0.75</v>
      </c>
      <c r="O107" t="s">
        <v>125</v>
      </c>
      <c r="P107">
        <v>11.626434</v>
      </c>
      <c r="Q107">
        <f t="shared" si="35"/>
        <v>-0.69133005000000003</v>
      </c>
      <c r="R107">
        <f t="shared" si="32"/>
        <v>-0.76814450000000001</v>
      </c>
      <c r="S107">
        <v>56.156869999999998</v>
      </c>
      <c r="T107">
        <f t="shared" si="36"/>
        <v>10.840278</v>
      </c>
      <c r="U107">
        <f t="shared" si="33"/>
        <v>12.044753333333333</v>
      </c>
      <c r="V107">
        <v>13.805784523612024</v>
      </c>
      <c r="W107">
        <f t="shared" si="37"/>
        <v>0.14249718947547371</v>
      </c>
      <c r="X107">
        <f t="shared" si="27"/>
        <v>0.15833021052830415</v>
      </c>
      <c r="Y107">
        <v>500.02993828530623</v>
      </c>
      <c r="Z107">
        <f t="shared" si="38"/>
        <v>-29.2654987742918</v>
      </c>
      <c r="AA107">
        <f t="shared" si="29"/>
        <v>-32.517220860324215</v>
      </c>
      <c r="AD107" t="s">
        <v>31</v>
      </c>
      <c r="AF107" t="s">
        <v>31</v>
      </c>
      <c r="AG107" t="s">
        <v>31</v>
      </c>
    </row>
    <row r="108" spans="1:35" x14ac:dyDescent="0.35">
      <c r="A108">
        <v>260</v>
      </c>
      <c r="B108" t="s">
        <v>112</v>
      </c>
      <c r="C108" t="s">
        <v>131</v>
      </c>
      <c r="D108" t="s">
        <v>108</v>
      </c>
      <c r="E108" t="s">
        <v>65</v>
      </c>
      <c r="F108">
        <v>0.3</v>
      </c>
      <c r="G108">
        <v>1</v>
      </c>
      <c r="H108" s="1">
        <v>10.55</v>
      </c>
      <c r="I108" s="1">
        <v>11.5</v>
      </c>
      <c r="J108">
        <v>55</v>
      </c>
      <c r="K108">
        <v>15.9</v>
      </c>
      <c r="L108">
        <v>5</v>
      </c>
      <c r="M108">
        <v>5</v>
      </c>
      <c r="N108">
        <f t="shared" si="34"/>
        <v>1.25</v>
      </c>
      <c r="O108" t="s">
        <v>125</v>
      </c>
      <c r="P108">
        <v>45.310387500000004</v>
      </c>
      <c r="Q108">
        <f t="shared" si="35"/>
        <v>9.4138560000000009</v>
      </c>
      <c r="R108">
        <f t="shared" si="32"/>
        <v>10.269661090909091</v>
      </c>
      <c r="S108">
        <v>202.86308000000002</v>
      </c>
      <c r="T108">
        <f t="shared" si="36"/>
        <v>54.85214100000001</v>
      </c>
      <c r="U108">
        <f t="shared" si="33"/>
        <v>59.83869927272729</v>
      </c>
      <c r="V108">
        <v>44.11018681872946</v>
      </c>
      <c r="W108">
        <f t="shared" si="37"/>
        <v>9.2338178780107043</v>
      </c>
      <c r="X108">
        <f t="shared" si="27"/>
        <v>10.073255866920769</v>
      </c>
      <c r="Y108">
        <v>891.32633155778399</v>
      </c>
      <c r="Z108">
        <f t="shared" si="38"/>
        <v>88.123419207451519</v>
      </c>
      <c r="AA108">
        <f t="shared" si="29"/>
        <v>96.134639135401656</v>
      </c>
      <c r="AB108">
        <v>48.456742250290766</v>
      </c>
      <c r="AC108">
        <v>14.381520119992919</v>
      </c>
      <c r="AD108" t="s">
        <v>31</v>
      </c>
      <c r="AE108">
        <v>3.3693755490372062</v>
      </c>
      <c r="AF108" t="s">
        <v>31</v>
      </c>
      <c r="AG108" t="s">
        <v>31</v>
      </c>
      <c r="AH108" s="4">
        <v>-19.185730697933245</v>
      </c>
      <c r="AI108">
        <v>8.1447729001204543</v>
      </c>
    </row>
    <row r="109" spans="1:35" x14ac:dyDescent="0.35">
      <c r="A109">
        <v>261</v>
      </c>
      <c r="B109" t="s">
        <v>112</v>
      </c>
      <c r="C109" t="s">
        <v>131</v>
      </c>
      <c r="D109" t="s">
        <v>107</v>
      </c>
      <c r="E109" t="s">
        <v>65</v>
      </c>
      <c r="F109">
        <v>0.3</v>
      </c>
      <c r="G109">
        <v>1</v>
      </c>
      <c r="H109" s="1">
        <v>10.57</v>
      </c>
      <c r="I109" s="1">
        <v>11.51</v>
      </c>
      <c r="J109">
        <v>54</v>
      </c>
      <c r="K109">
        <v>15.9</v>
      </c>
      <c r="L109">
        <v>1</v>
      </c>
      <c r="M109">
        <v>1</v>
      </c>
      <c r="N109">
        <f t="shared" si="34"/>
        <v>0.25</v>
      </c>
      <c r="O109" t="s">
        <v>125</v>
      </c>
      <c r="P109">
        <v>37.465507500000001</v>
      </c>
      <c r="Q109">
        <f t="shared" si="35"/>
        <v>7.0603920000000011</v>
      </c>
      <c r="R109">
        <f t="shared" si="32"/>
        <v>7.8448800000000016</v>
      </c>
      <c r="S109">
        <v>97.981940000000009</v>
      </c>
      <c r="T109">
        <f t="shared" si="36"/>
        <v>23.387799000000001</v>
      </c>
      <c r="U109">
        <f t="shared" si="33"/>
        <v>25.986443333333334</v>
      </c>
      <c r="V109">
        <v>26.963025018514109</v>
      </c>
      <c r="W109">
        <f t="shared" si="37"/>
        <v>4.0896693379460993</v>
      </c>
      <c r="X109">
        <f t="shared" si="27"/>
        <v>4.544077042162332</v>
      </c>
      <c r="Y109">
        <v>367.54217687569258</v>
      </c>
      <c r="Z109">
        <f t="shared" si="38"/>
        <v>-69.01182719717589</v>
      </c>
      <c r="AA109">
        <f t="shared" si="29"/>
        <v>-76.67980799686211</v>
      </c>
      <c r="AB109">
        <v>42.527922033242341</v>
      </c>
      <c r="AC109">
        <v>11.075150315543558</v>
      </c>
      <c r="AD109" t="s">
        <v>31</v>
      </c>
      <c r="AE109">
        <v>3.8399408424783181</v>
      </c>
      <c r="AF109" t="s">
        <v>31</v>
      </c>
      <c r="AG109" t="s">
        <v>31</v>
      </c>
      <c r="AH109" s="4">
        <v>-18.767152354068891</v>
      </c>
      <c r="AI109">
        <v>8.5726164117761758</v>
      </c>
    </row>
    <row r="110" spans="1:35" x14ac:dyDescent="0.35">
      <c r="A110">
        <v>262</v>
      </c>
      <c r="B110" t="s">
        <v>112</v>
      </c>
      <c r="C110" t="s">
        <v>131</v>
      </c>
      <c r="D110" t="s">
        <v>107</v>
      </c>
      <c r="E110" t="s">
        <v>65</v>
      </c>
      <c r="F110">
        <v>0.3</v>
      </c>
      <c r="G110">
        <v>1</v>
      </c>
      <c r="H110" s="1">
        <v>10.58</v>
      </c>
      <c r="I110" s="1">
        <v>11.54</v>
      </c>
      <c r="J110">
        <v>56</v>
      </c>
      <c r="K110">
        <v>15.9</v>
      </c>
      <c r="L110">
        <v>2</v>
      </c>
      <c r="M110">
        <v>2</v>
      </c>
      <c r="N110">
        <f t="shared" si="34"/>
        <v>0.5</v>
      </c>
      <c r="O110" t="s">
        <v>125</v>
      </c>
      <c r="P110">
        <v>25.894309499999999</v>
      </c>
      <c r="Q110">
        <f t="shared" si="35"/>
        <v>3.5890325999999995</v>
      </c>
      <c r="R110">
        <f t="shared" si="32"/>
        <v>3.845392071428571</v>
      </c>
      <c r="S110">
        <v>210.02131999999997</v>
      </c>
      <c r="T110">
        <f t="shared" si="36"/>
        <v>56.999612999999989</v>
      </c>
      <c r="U110">
        <f t="shared" si="33"/>
        <v>61.071013928571411</v>
      </c>
      <c r="V110">
        <v>23.448094344785755</v>
      </c>
      <c r="W110">
        <f t="shared" si="37"/>
        <v>3.0351901358275928</v>
      </c>
      <c r="X110">
        <f t="shared" si="27"/>
        <v>3.2519894312438491</v>
      </c>
      <c r="Y110">
        <v>778.44487961018183</v>
      </c>
      <c r="Z110">
        <f t="shared" si="38"/>
        <v>54.258983623170877</v>
      </c>
      <c r="AA110">
        <f t="shared" si="29"/>
        <v>58.13462531054023</v>
      </c>
      <c r="AB110">
        <v>50.499678753364485</v>
      </c>
      <c r="AC110">
        <v>13.613851459123676</v>
      </c>
      <c r="AD110" t="s">
        <v>31</v>
      </c>
      <c r="AE110">
        <v>3.7094336532899961</v>
      </c>
      <c r="AF110" t="s">
        <v>31</v>
      </c>
      <c r="AG110" t="s">
        <v>31</v>
      </c>
      <c r="AH110" s="4">
        <v>-17.944980571251797</v>
      </c>
      <c r="AI110">
        <v>9.6348485786455509</v>
      </c>
    </row>
    <row r="111" spans="1:35" x14ac:dyDescent="0.35">
      <c r="A111">
        <v>263</v>
      </c>
      <c r="B111" t="s">
        <v>112</v>
      </c>
      <c r="C111" t="s">
        <v>131</v>
      </c>
      <c r="D111" t="s">
        <v>108</v>
      </c>
      <c r="E111" t="s">
        <v>65</v>
      </c>
      <c r="F111">
        <v>0.3</v>
      </c>
      <c r="G111">
        <v>1</v>
      </c>
      <c r="H111" s="1">
        <v>10.59</v>
      </c>
      <c r="I111" s="1">
        <v>11.56</v>
      </c>
      <c r="J111">
        <v>57</v>
      </c>
      <c r="K111">
        <v>15.9</v>
      </c>
      <c r="L111">
        <v>3</v>
      </c>
      <c r="M111">
        <v>3</v>
      </c>
      <c r="N111">
        <f t="shared" si="34"/>
        <v>0.75</v>
      </c>
      <c r="O111" t="s">
        <v>125</v>
      </c>
      <c r="P111">
        <v>18.147490500000004</v>
      </c>
      <c r="Q111">
        <f t="shared" si="35"/>
        <v>1.2649869000000011</v>
      </c>
      <c r="R111">
        <f t="shared" si="32"/>
        <v>1.3315651578947381</v>
      </c>
      <c r="S111">
        <v>69.95702</v>
      </c>
      <c r="T111">
        <f t="shared" si="36"/>
        <v>14.980322999999999</v>
      </c>
      <c r="U111">
        <f t="shared" si="33"/>
        <v>15.768761052631577</v>
      </c>
      <c r="V111">
        <v>24.018083102687651</v>
      </c>
      <c r="W111">
        <f t="shared" si="37"/>
        <v>3.2061867631981618</v>
      </c>
      <c r="X111">
        <f t="shared" si="27"/>
        <v>3.3749334349454334</v>
      </c>
      <c r="Y111">
        <v>691.50116218025164</v>
      </c>
      <c r="Z111">
        <f t="shared" si="38"/>
        <v>28.17586839419182</v>
      </c>
      <c r="AA111">
        <f t="shared" si="29"/>
        <v>29.658808835991387</v>
      </c>
      <c r="AB111">
        <v>48.099677215333443</v>
      </c>
      <c r="AC111">
        <v>14.11218685713753</v>
      </c>
      <c r="AD111" t="s">
        <v>31</v>
      </c>
      <c r="AE111">
        <v>3.4083787085774051</v>
      </c>
      <c r="AF111" t="s">
        <v>31</v>
      </c>
      <c r="AG111" t="s">
        <v>31</v>
      </c>
      <c r="AH111" s="4">
        <v>-18.197725967427644</v>
      </c>
      <c r="AI111">
        <v>8.1634603178709337</v>
      </c>
    </row>
    <row r="112" spans="1:35" x14ac:dyDescent="0.35">
      <c r="A112">
        <v>264</v>
      </c>
      <c r="B112" t="s">
        <v>112</v>
      </c>
      <c r="C112" t="s">
        <v>131</v>
      </c>
      <c r="D112" t="s">
        <v>108</v>
      </c>
      <c r="E112" t="s">
        <v>65</v>
      </c>
      <c r="F112">
        <v>0.3</v>
      </c>
      <c r="G112">
        <v>1</v>
      </c>
      <c r="H112" s="1">
        <v>11.01</v>
      </c>
      <c r="I112" s="1">
        <v>11.57</v>
      </c>
      <c r="J112">
        <v>56</v>
      </c>
      <c r="K112">
        <v>15.9</v>
      </c>
      <c r="L112">
        <v>3</v>
      </c>
      <c r="M112">
        <v>3</v>
      </c>
      <c r="N112">
        <f t="shared" si="34"/>
        <v>0.75</v>
      </c>
      <c r="O112" t="s">
        <v>125</v>
      </c>
      <c r="P112">
        <v>22.020899999999997</v>
      </c>
      <c r="Q112">
        <f t="shared" si="35"/>
        <v>2.4270097499999994</v>
      </c>
      <c r="R112">
        <f t="shared" si="32"/>
        <v>2.6003675892857139</v>
      </c>
      <c r="S112">
        <v>56.793800000000005</v>
      </c>
      <c r="T112">
        <f t="shared" si="36"/>
        <v>11.031357000000002</v>
      </c>
      <c r="U112">
        <f t="shared" si="33"/>
        <v>11.819311071428572</v>
      </c>
      <c r="V112">
        <v>20.170658986849855</v>
      </c>
      <c r="W112">
        <f t="shared" si="37"/>
        <v>2.0519595284468228</v>
      </c>
      <c r="X112">
        <f t="shared" si="27"/>
        <v>2.1985280661930244</v>
      </c>
      <c r="Y112">
        <v>752.28340800819774</v>
      </c>
      <c r="Z112">
        <f t="shared" si="38"/>
        <v>46.41054214257565</v>
      </c>
      <c r="AA112">
        <f t="shared" si="29"/>
        <v>49.725580867045345</v>
      </c>
      <c r="AB112">
        <v>45.716611686129617</v>
      </c>
      <c r="AC112">
        <v>13.751719266610424</v>
      </c>
      <c r="AD112" t="s">
        <v>31</v>
      </c>
      <c r="AE112">
        <v>3.3244288077586694</v>
      </c>
      <c r="AF112" t="s">
        <v>31</v>
      </c>
      <c r="AG112" t="s">
        <v>31</v>
      </c>
      <c r="AH112" s="4">
        <v>-17.961963463484956</v>
      </c>
      <c r="AI112">
        <v>8.3945941689952903</v>
      </c>
    </row>
    <row r="113" spans="1:35" x14ac:dyDescent="0.35">
      <c r="A113">
        <v>265</v>
      </c>
      <c r="B113" t="s">
        <v>112</v>
      </c>
      <c r="C113" t="s">
        <v>131</v>
      </c>
      <c r="D113" t="s">
        <v>107</v>
      </c>
      <c r="E113" t="s">
        <v>65</v>
      </c>
      <c r="F113">
        <v>0.3</v>
      </c>
      <c r="G113">
        <v>1</v>
      </c>
      <c r="H113" s="1">
        <v>11.02</v>
      </c>
      <c r="I113" s="1">
        <v>11.59</v>
      </c>
      <c r="J113">
        <v>57</v>
      </c>
      <c r="K113">
        <v>15.9</v>
      </c>
      <c r="L113">
        <v>1</v>
      </c>
      <c r="M113">
        <v>1</v>
      </c>
      <c r="N113">
        <f t="shared" si="34"/>
        <v>0.25</v>
      </c>
      <c r="O113" t="s">
        <v>125</v>
      </c>
      <c r="P113">
        <v>33.395976000000005</v>
      </c>
      <c r="Q113">
        <f t="shared" si="35"/>
        <v>5.8395325500000022</v>
      </c>
      <c r="R113">
        <f t="shared" si="32"/>
        <v>6.1468763684210543</v>
      </c>
      <c r="S113">
        <v>94.334919999999997</v>
      </c>
      <c r="T113">
        <f t="shared" si="36"/>
        <v>22.293692999999998</v>
      </c>
      <c r="U113">
        <f t="shared" si="33"/>
        <v>23.467045263157893</v>
      </c>
      <c r="V113">
        <v>32.947906976484013</v>
      </c>
      <c r="W113">
        <f t="shared" si="37"/>
        <v>5.8851339253370707</v>
      </c>
      <c r="X113">
        <f t="shared" ref="X113:X158" si="39">(W113/J113*60)/G113</f>
        <v>6.1948778161442846</v>
      </c>
      <c r="Y113">
        <v>617.0142231329221</v>
      </c>
      <c r="Z113">
        <f t="shared" si="38"/>
        <v>5.8297866799929574</v>
      </c>
      <c r="AA113">
        <f t="shared" si="29"/>
        <v>6.1366175578873232</v>
      </c>
      <c r="AB113">
        <v>47.163659826966075</v>
      </c>
      <c r="AC113">
        <v>12.777978046731738</v>
      </c>
      <c r="AD113" t="s">
        <v>31</v>
      </c>
      <c r="AE113">
        <v>3.6910111798970626</v>
      </c>
      <c r="AF113" t="s">
        <v>31</v>
      </c>
      <c r="AG113" t="s">
        <v>31</v>
      </c>
      <c r="AH113" s="4">
        <v>-19.270645159099047</v>
      </c>
      <c r="AI113">
        <v>9.8177885629397217</v>
      </c>
    </row>
    <row r="114" spans="1:35" x14ac:dyDescent="0.35">
      <c r="A114">
        <v>266</v>
      </c>
      <c r="B114" t="s">
        <v>112</v>
      </c>
      <c r="C114" t="s">
        <v>131</v>
      </c>
      <c r="D114" t="s">
        <v>33</v>
      </c>
      <c r="E114" t="s">
        <v>65</v>
      </c>
      <c r="F114">
        <v>0.3</v>
      </c>
      <c r="G114">
        <v>1</v>
      </c>
      <c r="H114" s="1">
        <v>11.04</v>
      </c>
      <c r="I114" s="1">
        <v>11.59</v>
      </c>
      <c r="J114">
        <v>55</v>
      </c>
      <c r="K114">
        <v>15.9</v>
      </c>
      <c r="L114" t="s">
        <v>31</v>
      </c>
      <c r="M114" t="s">
        <v>31</v>
      </c>
      <c r="N114" t="s">
        <v>31</v>
      </c>
      <c r="P114">
        <v>15.5979045</v>
      </c>
      <c r="Q114">
        <f t="shared" si="35"/>
        <v>0.50011110000000014</v>
      </c>
      <c r="R114">
        <f t="shared" si="32"/>
        <v>0.54557574545454568</v>
      </c>
      <c r="S114">
        <v>21.777000000000001</v>
      </c>
      <c r="T114">
        <f t="shared" si="36"/>
        <v>0.52631700000000026</v>
      </c>
      <c r="U114">
        <f t="shared" si="33"/>
        <v>0.57416400000000023</v>
      </c>
      <c r="V114">
        <v>13.330793892027112</v>
      </c>
      <c r="W114">
        <f t="shared" si="37"/>
        <v>0</v>
      </c>
      <c r="X114" t="s">
        <v>31</v>
      </c>
      <c r="Y114">
        <v>596.51466424394505</v>
      </c>
      <c r="Z114">
        <f t="shared" si="38"/>
        <v>-0.32008098670015667</v>
      </c>
      <c r="AA114">
        <f t="shared" si="29"/>
        <v>-0.34917925821835272</v>
      </c>
      <c r="AD114" t="s">
        <v>31</v>
      </c>
      <c r="AF114" t="s">
        <v>31</v>
      </c>
      <c r="AG114" t="s">
        <v>31</v>
      </c>
    </row>
    <row r="115" spans="1:35" x14ac:dyDescent="0.35">
      <c r="A115">
        <v>267</v>
      </c>
      <c r="B115" t="s">
        <v>112</v>
      </c>
      <c r="C115" t="s">
        <v>131</v>
      </c>
      <c r="D115" t="s">
        <v>35</v>
      </c>
      <c r="E115" t="s">
        <v>29</v>
      </c>
      <c r="F115">
        <v>5</v>
      </c>
      <c r="G115">
        <v>1</v>
      </c>
      <c r="H115" s="1">
        <v>11.06</v>
      </c>
      <c r="I115" s="1">
        <v>11.53</v>
      </c>
      <c r="J115">
        <v>47</v>
      </c>
      <c r="K115">
        <v>15.9</v>
      </c>
      <c r="L115" t="s">
        <v>31</v>
      </c>
      <c r="M115" t="s">
        <v>31</v>
      </c>
      <c r="N115" t="s">
        <v>31</v>
      </c>
      <c r="P115">
        <v>12.263830499999999</v>
      </c>
      <c r="Q115">
        <f t="shared" si="35"/>
        <v>-8.3351850000000027</v>
      </c>
      <c r="R115">
        <f t="shared" si="32"/>
        <v>-10.640661702127664</v>
      </c>
      <c r="S115">
        <v>18.268219999999999</v>
      </c>
      <c r="T115">
        <f t="shared" si="36"/>
        <v>-8.7719500000000039</v>
      </c>
      <c r="U115">
        <f t="shared" si="33"/>
        <v>-11.198234042553196</v>
      </c>
      <c r="V115">
        <v>27.67551096589148</v>
      </c>
      <c r="W115">
        <f t="shared" si="37"/>
        <v>71.723585369321839</v>
      </c>
      <c r="X115">
        <f t="shared" si="39"/>
        <v>91.562023875730006</v>
      </c>
      <c r="Y115">
        <v>598.64853748861287</v>
      </c>
      <c r="Z115">
        <f t="shared" si="38"/>
        <v>5.3346831116698468</v>
      </c>
      <c r="AA115">
        <f t="shared" si="29"/>
        <v>6.8102337595785274</v>
      </c>
      <c r="AD115" t="s">
        <v>31</v>
      </c>
      <c r="AF115" t="s">
        <v>31</v>
      </c>
      <c r="AG115" t="s">
        <v>31</v>
      </c>
    </row>
    <row r="116" spans="1:35" x14ac:dyDescent="0.35">
      <c r="A116">
        <v>268</v>
      </c>
      <c r="B116" t="s">
        <v>112</v>
      </c>
      <c r="C116" t="s">
        <v>131</v>
      </c>
      <c r="D116" t="s">
        <v>123</v>
      </c>
      <c r="E116" t="s">
        <v>29</v>
      </c>
      <c r="F116">
        <v>5</v>
      </c>
      <c r="G116">
        <v>1</v>
      </c>
      <c r="H116" s="1">
        <v>13.36</v>
      </c>
      <c r="I116" s="1">
        <v>14.09</v>
      </c>
      <c r="J116">
        <f>24+9</f>
        <v>33</v>
      </c>
      <c r="K116">
        <v>15.9</v>
      </c>
      <c r="L116">
        <v>390</v>
      </c>
      <c r="M116">
        <v>390</v>
      </c>
      <c r="N116">
        <f t="shared" ref="N116:N158" si="40">M116*0.25</f>
        <v>97.5</v>
      </c>
      <c r="P116">
        <v>55.018426500000004</v>
      </c>
      <c r="Q116">
        <f t="shared" ref="Q116:Q160" si="41">(P116-AVERAGE($P$159,$P$160))*F116</f>
        <v>213.89555625</v>
      </c>
      <c r="R116">
        <f t="shared" si="32"/>
        <v>388.90101136363637</v>
      </c>
      <c r="S116">
        <v>198.40457000000004</v>
      </c>
      <c r="T116">
        <f t="shared" ref="T116:T160" si="42">(S116-AVERAGE($S$160,$S$159))*F116</f>
        <v>942.57667500000014</v>
      </c>
      <c r="U116">
        <f t="shared" si="33"/>
        <v>1713.7757727272731</v>
      </c>
      <c r="V116">
        <v>39.217783313404858</v>
      </c>
      <c r="W116">
        <f>(V116-AVERAGE($V$159,$V$160))*F116</f>
        <v>131.45365729112461</v>
      </c>
      <c r="X116">
        <f t="shared" si="39"/>
        <v>239.00664962022657</v>
      </c>
      <c r="Y116">
        <v>582.601404612019</v>
      </c>
      <c r="Z116">
        <f>(Y116-AVERAGE($Y$159,$Y$160))*F116</f>
        <v>-321.72243600622153</v>
      </c>
      <c r="AA116">
        <f t="shared" si="29"/>
        <v>-584.94988364767551</v>
      </c>
      <c r="AD116" t="s">
        <v>31</v>
      </c>
      <c r="AF116" t="s">
        <v>31</v>
      </c>
      <c r="AG116" t="s">
        <v>31</v>
      </c>
    </row>
    <row r="117" spans="1:35" x14ac:dyDescent="0.35">
      <c r="A117">
        <v>269</v>
      </c>
      <c r="B117" t="s">
        <v>112</v>
      </c>
      <c r="C117" t="s">
        <v>131</v>
      </c>
      <c r="D117" t="s">
        <v>123</v>
      </c>
      <c r="E117" t="s">
        <v>29</v>
      </c>
      <c r="F117">
        <v>5</v>
      </c>
      <c r="G117">
        <v>1</v>
      </c>
      <c r="H117" s="1">
        <v>13.38</v>
      </c>
      <c r="I117" s="1">
        <v>14.11</v>
      </c>
      <c r="J117">
        <v>33</v>
      </c>
      <c r="K117">
        <v>15.9</v>
      </c>
      <c r="L117">
        <v>450</v>
      </c>
      <c r="M117">
        <v>450</v>
      </c>
      <c r="N117">
        <f t="shared" si="40"/>
        <v>112.5</v>
      </c>
      <c r="P117">
        <v>46.977424500000005</v>
      </c>
      <c r="Q117">
        <f t="shared" si="41"/>
        <v>173.69054625000004</v>
      </c>
      <c r="R117">
        <f t="shared" si="32"/>
        <v>315.80099318181823</v>
      </c>
      <c r="S117">
        <v>431.73326000000009</v>
      </c>
      <c r="T117">
        <f t="shared" si="42"/>
        <v>2109.2201250000007</v>
      </c>
      <c r="U117">
        <f t="shared" si="33"/>
        <v>3834.9456818181829</v>
      </c>
      <c r="V117">
        <v>38.83779080813693</v>
      </c>
      <c r="W117">
        <f t="shared" ref="W117:W160" si="43">(V117-AVERAGE($V$159,$V$160))*F117</f>
        <v>129.55369476478498</v>
      </c>
      <c r="X117">
        <f t="shared" si="39"/>
        <v>235.55217229960905</v>
      </c>
      <c r="Y117">
        <v>1305.7314887946716</v>
      </c>
      <c r="Z117">
        <f>(Y117-AVERAGE($Y$159,$Y$160))*F117</f>
        <v>3293.9279849070413</v>
      </c>
      <c r="AA117">
        <f t="shared" si="29"/>
        <v>5988.9599725582566</v>
      </c>
      <c r="AD117" t="s">
        <v>31</v>
      </c>
      <c r="AF117" t="s">
        <v>31</v>
      </c>
      <c r="AG117" t="s">
        <v>31</v>
      </c>
    </row>
    <row r="118" spans="1:35" x14ac:dyDescent="0.35">
      <c r="A118">
        <v>270</v>
      </c>
      <c r="B118" t="s">
        <v>112</v>
      </c>
      <c r="C118" t="s">
        <v>131</v>
      </c>
      <c r="D118" t="s">
        <v>26</v>
      </c>
      <c r="E118" t="s">
        <v>65</v>
      </c>
      <c r="F118">
        <v>0.3</v>
      </c>
      <c r="G118">
        <v>1</v>
      </c>
      <c r="H118" s="1">
        <v>13.39</v>
      </c>
      <c r="I118" s="1">
        <v>14.12</v>
      </c>
      <c r="J118">
        <v>33</v>
      </c>
      <c r="K118">
        <v>15.9</v>
      </c>
      <c r="L118">
        <v>7</v>
      </c>
      <c r="M118">
        <v>7</v>
      </c>
      <c r="N118">
        <f t="shared" si="40"/>
        <v>1.75</v>
      </c>
      <c r="P118">
        <v>19.5203445</v>
      </c>
      <c r="Q118">
        <f t="shared" si="41"/>
        <v>2.1843087749999999</v>
      </c>
      <c r="R118">
        <f t="shared" si="32"/>
        <v>3.9714704999999997</v>
      </c>
      <c r="S118">
        <v>99.892729999999986</v>
      </c>
      <c r="T118">
        <f t="shared" si="42"/>
        <v>27.001048499999996</v>
      </c>
      <c r="U118">
        <f t="shared" si="33"/>
        <v>49.092815454545445</v>
      </c>
      <c r="V118">
        <v>18.413193649985679</v>
      </c>
      <c r="W118">
        <f t="shared" si="43"/>
        <v>1.6458425384417235</v>
      </c>
      <c r="X118">
        <f t="shared" si="39"/>
        <v>2.9924409789849515</v>
      </c>
      <c r="Y118">
        <v>627.31188031217619</v>
      </c>
      <c r="Z118">
        <f t="shared" ref="Z118:Z160" si="44">(Y118-AVERAGE($Y$159,$Y$160))*F118</f>
        <v>-5.8902034503261342</v>
      </c>
      <c r="AA118">
        <f t="shared" si="29"/>
        <v>-10.70946081877479</v>
      </c>
      <c r="AB118">
        <v>38.528017779695212</v>
      </c>
      <c r="AC118">
        <v>11.684147103135688</v>
      </c>
      <c r="AD118" t="s">
        <v>31</v>
      </c>
      <c r="AE118">
        <v>3.2974608621073767</v>
      </c>
      <c r="AF118" t="s">
        <v>31</v>
      </c>
      <c r="AG118" t="s">
        <v>31</v>
      </c>
      <c r="AH118">
        <v>-19.374540499819553</v>
      </c>
      <c r="AI118">
        <v>9.4627276256806052</v>
      </c>
    </row>
    <row r="119" spans="1:35" x14ac:dyDescent="0.35">
      <c r="A119">
        <v>271</v>
      </c>
      <c r="B119" t="s">
        <v>126</v>
      </c>
      <c r="C119" t="s">
        <v>131</v>
      </c>
      <c r="D119" t="s">
        <v>62</v>
      </c>
      <c r="E119" t="s">
        <v>65</v>
      </c>
      <c r="F119">
        <v>0.3</v>
      </c>
      <c r="G119">
        <v>1</v>
      </c>
      <c r="H119" s="1">
        <v>19.09</v>
      </c>
      <c r="I119" s="1">
        <v>20</v>
      </c>
      <c r="J119">
        <v>51</v>
      </c>
      <c r="K119">
        <v>16.8</v>
      </c>
      <c r="L119">
        <v>8</v>
      </c>
      <c r="M119">
        <v>8</v>
      </c>
      <c r="N119">
        <f t="shared" si="40"/>
        <v>2</v>
      </c>
      <c r="P119">
        <v>434.46546599999999</v>
      </c>
      <c r="Q119">
        <f t="shared" si="41"/>
        <v>126.66784522499999</v>
      </c>
      <c r="R119">
        <f t="shared" si="32"/>
        <v>149.02099438235294</v>
      </c>
      <c r="S119">
        <v>419.20697000000007</v>
      </c>
      <c r="T119">
        <f t="shared" si="42"/>
        <v>122.79532050000002</v>
      </c>
      <c r="U119">
        <f t="shared" si="33"/>
        <v>144.46508294117649</v>
      </c>
      <c r="V119">
        <v>350.24164887520578</v>
      </c>
      <c r="W119">
        <f t="shared" si="43"/>
        <v>101.19437910600776</v>
      </c>
      <c r="X119">
        <f t="shared" si="39"/>
        <v>119.0522107129503</v>
      </c>
      <c r="Y119">
        <v>3479.2466045675701</v>
      </c>
      <c r="Z119">
        <f t="shared" si="44"/>
        <v>849.69021382629205</v>
      </c>
      <c r="AA119">
        <f t="shared" si="29"/>
        <v>999.63554567799054</v>
      </c>
      <c r="AB119">
        <v>44.830058985901388</v>
      </c>
      <c r="AC119">
        <v>11.901785151830669</v>
      </c>
      <c r="AD119" t="s">
        <v>31</v>
      </c>
      <c r="AE119">
        <v>3.7666667994763681</v>
      </c>
      <c r="AF119" t="s">
        <v>31</v>
      </c>
      <c r="AG119" t="s">
        <v>31</v>
      </c>
      <c r="AH119">
        <v>-22.103791181054437</v>
      </c>
      <c r="AI119">
        <v>11.333436497333894</v>
      </c>
    </row>
    <row r="120" spans="1:35" x14ac:dyDescent="0.35">
      <c r="A120">
        <v>272</v>
      </c>
      <c r="B120" t="s">
        <v>126</v>
      </c>
      <c r="C120" t="s">
        <v>131</v>
      </c>
      <c r="D120" t="s">
        <v>62</v>
      </c>
      <c r="E120" t="s">
        <v>65</v>
      </c>
      <c r="F120">
        <v>0.3</v>
      </c>
      <c r="G120">
        <v>1</v>
      </c>
      <c r="H120" s="1">
        <v>19.12</v>
      </c>
      <c r="I120" s="1">
        <v>20.03</v>
      </c>
      <c r="J120">
        <f>48+3</f>
        <v>51</v>
      </c>
      <c r="K120">
        <v>16.8</v>
      </c>
      <c r="L120">
        <v>9</v>
      </c>
      <c r="M120">
        <v>9</v>
      </c>
      <c r="N120">
        <f t="shared" si="40"/>
        <v>2.25</v>
      </c>
      <c r="P120">
        <v>196.37335800000002</v>
      </c>
      <c r="Q120">
        <f t="shared" si="41"/>
        <v>55.240212825000008</v>
      </c>
      <c r="R120">
        <f t="shared" si="32"/>
        <v>64.988485676470603</v>
      </c>
      <c r="S120">
        <v>310.92886999999996</v>
      </c>
      <c r="T120">
        <f t="shared" si="42"/>
        <v>90.31189049999999</v>
      </c>
      <c r="U120">
        <f t="shared" si="33"/>
        <v>106.24928294117646</v>
      </c>
      <c r="V120">
        <v>183.09244562047496</v>
      </c>
      <c r="W120">
        <f t="shared" si="43"/>
        <v>51.049618129588502</v>
      </c>
      <c r="X120">
        <f t="shared" si="39"/>
        <v>60.058374270104117</v>
      </c>
      <c r="Y120">
        <v>1602.6817833686564</v>
      </c>
      <c r="Z120">
        <f t="shared" si="44"/>
        <v>286.72076746661793</v>
      </c>
      <c r="AA120">
        <f t="shared" si="29"/>
        <v>337.31854996072695</v>
      </c>
      <c r="AB120">
        <v>48.226425748934403</v>
      </c>
      <c r="AC120">
        <v>10.664345066825575</v>
      </c>
      <c r="AD120" t="s">
        <v>31</v>
      </c>
      <c r="AE120">
        <v>4.5222116732659163</v>
      </c>
      <c r="AF120" t="s">
        <v>31</v>
      </c>
      <c r="AG120" t="s">
        <v>31</v>
      </c>
      <c r="AH120">
        <v>-18.245677663144804</v>
      </c>
      <c r="AI120">
        <v>10.690195907396328</v>
      </c>
    </row>
    <row r="121" spans="1:35" x14ac:dyDescent="0.35">
      <c r="A121">
        <v>273</v>
      </c>
      <c r="B121" t="s">
        <v>126</v>
      </c>
      <c r="C121" t="s">
        <v>131</v>
      </c>
      <c r="D121" t="s">
        <v>62</v>
      </c>
      <c r="E121" t="s">
        <v>65</v>
      </c>
      <c r="F121">
        <v>0.3</v>
      </c>
      <c r="G121">
        <v>1</v>
      </c>
      <c r="H121" s="1">
        <v>19.13</v>
      </c>
      <c r="I121" s="1">
        <v>20.04</v>
      </c>
      <c r="J121">
        <f>48+3</f>
        <v>51</v>
      </c>
      <c r="K121">
        <v>16.8</v>
      </c>
      <c r="L121">
        <v>9</v>
      </c>
      <c r="M121">
        <v>9</v>
      </c>
      <c r="N121">
        <f t="shared" si="40"/>
        <v>2.25</v>
      </c>
      <c r="P121">
        <v>281.34321449999999</v>
      </c>
      <c r="Q121">
        <f t="shared" si="41"/>
        <v>80.731169774999998</v>
      </c>
      <c r="R121">
        <f t="shared" si="32"/>
        <v>94.977846794117639</v>
      </c>
      <c r="S121">
        <v>532.13563999999997</v>
      </c>
      <c r="T121">
        <f t="shared" si="42"/>
        <v>156.67392149999998</v>
      </c>
      <c r="U121">
        <f t="shared" si="33"/>
        <v>184.32226058823528</v>
      </c>
      <c r="V121">
        <v>238.61885045275125</v>
      </c>
      <c r="W121">
        <f t="shared" si="43"/>
        <v>67.707539579271383</v>
      </c>
      <c r="X121">
        <f t="shared" si="39"/>
        <v>79.655928916789861</v>
      </c>
      <c r="Y121">
        <v>1919.2993663570051</v>
      </c>
      <c r="Z121">
        <f t="shared" si="44"/>
        <v>381.70604236312255</v>
      </c>
      <c r="AA121">
        <f t="shared" si="29"/>
        <v>449.06593219190887</v>
      </c>
      <c r="AB121">
        <v>46.80955726952849</v>
      </c>
      <c r="AC121">
        <v>12.787587579788466</v>
      </c>
      <c r="AD121" t="s">
        <v>31</v>
      </c>
      <c r="AE121">
        <v>3.6606505735550718</v>
      </c>
      <c r="AF121" t="s">
        <v>31</v>
      </c>
      <c r="AG121" t="s">
        <v>31</v>
      </c>
      <c r="AH121">
        <v>-22.266627147760616</v>
      </c>
      <c r="AI121">
        <v>11.608830022077806</v>
      </c>
    </row>
    <row r="122" spans="1:35" x14ac:dyDescent="0.35">
      <c r="A122">
        <v>274</v>
      </c>
      <c r="B122" t="s">
        <v>126</v>
      </c>
      <c r="C122" t="s">
        <v>131</v>
      </c>
      <c r="D122" t="s">
        <v>62</v>
      </c>
      <c r="E122" t="s">
        <v>65</v>
      </c>
      <c r="F122">
        <v>0.3</v>
      </c>
      <c r="G122">
        <v>1</v>
      </c>
      <c r="H122" s="1">
        <v>19.14</v>
      </c>
      <c r="I122" s="1">
        <v>20.05</v>
      </c>
      <c r="J122">
        <f>48+3</f>
        <v>51</v>
      </c>
      <c r="K122">
        <v>16.8</v>
      </c>
      <c r="L122">
        <v>6</v>
      </c>
      <c r="M122">
        <v>6</v>
      </c>
      <c r="N122">
        <f t="shared" si="40"/>
        <v>1.5</v>
      </c>
      <c r="P122">
        <v>216.475863</v>
      </c>
      <c r="Q122">
        <f t="shared" si="41"/>
        <v>61.270964324999994</v>
      </c>
      <c r="R122">
        <f t="shared" si="32"/>
        <v>72.083487441176473</v>
      </c>
      <c r="S122">
        <v>249.57128000000003</v>
      </c>
      <c r="T122">
        <f t="shared" si="42"/>
        <v>71.904613499999996</v>
      </c>
      <c r="U122">
        <f t="shared" si="33"/>
        <v>84.593662941176461</v>
      </c>
      <c r="V122">
        <v>176.49007584144465</v>
      </c>
      <c r="W122">
        <f t="shared" si="43"/>
        <v>49.068907195879412</v>
      </c>
      <c r="X122">
        <f t="shared" si="39"/>
        <v>57.728126112799309</v>
      </c>
      <c r="Y122">
        <v>1619.6654826235745</v>
      </c>
      <c r="Z122">
        <f t="shared" si="44"/>
        <v>291.81587724309333</v>
      </c>
      <c r="AA122">
        <f t="shared" si="29"/>
        <v>343.31279675658038</v>
      </c>
      <c r="AB122">
        <v>44.139915199511876</v>
      </c>
      <c r="AC122">
        <v>12.617039210032626</v>
      </c>
      <c r="AD122" t="s">
        <v>31</v>
      </c>
      <c r="AE122">
        <v>3.4984368729244628</v>
      </c>
      <c r="AF122" t="s">
        <v>31</v>
      </c>
      <c r="AG122" t="s">
        <v>31</v>
      </c>
      <c r="AH122">
        <v>-19.478435840540062</v>
      </c>
      <c r="AI122">
        <v>11.457363583468654</v>
      </c>
    </row>
    <row r="123" spans="1:35" x14ac:dyDescent="0.35">
      <c r="A123">
        <v>275</v>
      </c>
      <c r="B123" t="s">
        <v>126</v>
      </c>
      <c r="C123" t="s">
        <v>131</v>
      </c>
      <c r="D123" t="s">
        <v>123</v>
      </c>
      <c r="E123" t="s">
        <v>65</v>
      </c>
      <c r="F123">
        <v>0.3</v>
      </c>
      <c r="G123">
        <v>1</v>
      </c>
      <c r="H123" s="1">
        <v>19.149999999999999</v>
      </c>
      <c r="I123">
        <v>20.059999999999999</v>
      </c>
      <c r="J123">
        <f>48+3</f>
        <v>51</v>
      </c>
      <c r="K123">
        <v>16.8</v>
      </c>
      <c r="L123">
        <v>12</v>
      </c>
      <c r="M123">
        <v>12</v>
      </c>
      <c r="N123">
        <f t="shared" si="40"/>
        <v>3</v>
      </c>
      <c r="P123">
        <v>91.350026999999997</v>
      </c>
      <c r="Q123">
        <f t="shared" si="41"/>
        <v>23.733213524999996</v>
      </c>
      <c r="R123">
        <f t="shared" si="32"/>
        <v>27.921427676470582</v>
      </c>
      <c r="S123">
        <v>421.149</v>
      </c>
      <c r="T123">
        <f t="shared" si="42"/>
        <v>123.37792949999999</v>
      </c>
      <c r="U123">
        <f t="shared" si="33"/>
        <v>145.15050529411764</v>
      </c>
      <c r="V123">
        <v>78.404510419160161</v>
      </c>
      <c r="W123">
        <f t="shared" si="43"/>
        <v>19.643237569194067</v>
      </c>
      <c r="X123">
        <f t="shared" si="39"/>
        <v>23.109691257875372</v>
      </c>
      <c r="Y123">
        <v>1162.1148959646771</v>
      </c>
      <c r="Z123">
        <f t="shared" si="44"/>
        <v>154.55070124542414</v>
      </c>
      <c r="AA123">
        <f t="shared" si="29"/>
        <v>181.82435440638136</v>
      </c>
      <c r="AB123">
        <v>44.04375030725928</v>
      </c>
      <c r="AC123">
        <v>12.262638450025605</v>
      </c>
      <c r="AD123" t="s">
        <v>31</v>
      </c>
      <c r="AE123">
        <v>3.5917025921258663</v>
      </c>
      <c r="AF123" t="s">
        <v>31</v>
      </c>
      <c r="AG123" t="s">
        <v>31</v>
      </c>
      <c r="AH123">
        <v>-15.226718820285427</v>
      </c>
      <c r="AI123">
        <v>9.2148734534110854</v>
      </c>
    </row>
    <row r="124" spans="1:35" x14ac:dyDescent="0.35">
      <c r="A124">
        <v>276</v>
      </c>
      <c r="B124" t="s">
        <v>126</v>
      </c>
      <c r="C124" t="s">
        <v>131</v>
      </c>
      <c r="D124" t="s">
        <v>62</v>
      </c>
      <c r="E124" t="s">
        <v>65</v>
      </c>
      <c r="F124">
        <v>0.3</v>
      </c>
      <c r="G124">
        <v>1</v>
      </c>
      <c r="H124" s="1">
        <v>19.16</v>
      </c>
      <c r="I124" s="1">
        <v>20.07</v>
      </c>
      <c r="J124">
        <f>48+3</f>
        <v>51</v>
      </c>
      <c r="K124">
        <v>16.8</v>
      </c>
      <c r="L124">
        <v>10</v>
      </c>
      <c r="M124">
        <v>10</v>
      </c>
      <c r="N124">
        <f t="shared" si="40"/>
        <v>2.5</v>
      </c>
      <c r="P124">
        <v>267.61467449999998</v>
      </c>
      <c r="Q124">
        <f t="shared" si="41"/>
        <v>76.612607774999987</v>
      </c>
      <c r="R124">
        <f t="shared" si="32"/>
        <v>90.132479735294098</v>
      </c>
      <c r="S124">
        <v>551.26379000000009</v>
      </c>
      <c r="T124">
        <f t="shared" si="42"/>
        <v>162.41236650000002</v>
      </c>
      <c r="U124">
        <f t="shared" si="33"/>
        <v>191.07337235294119</v>
      </c>
      <c r="V124">
        <v>220.85420083147551</v>
      </c>
      <c r="W124">
        <f t="shared" si="43"/>
        <v>62.378144692888668</v>
      </c>
      <c r="X124">
        <f t="shared" si="39"/>
        <v>73.386052579869016</v>
      </c>
      <c r="Y124">
        <v>1913.3108604260906</v>
      </c>
      <c r="Z124">
        <f t="shared" si="44"/>
        <v>379.9094905838482</v>
      </c>
      <c r="AA124">
        <f t="shared" si="29"/>
        <v>446.9523418633508</v>
      </c>
      <c r="AB124">
        <v>49.669454425579339</v>
      </c>
      <c r="AC124">
        <v>12.958574296825196</v>
      </c>
      <c r="AD124" t="s">
        <v>31</v>
      </c>
      <c r="AE124">
        <v>3.8329412856588845</v>
      </c>
      <c r="AF124" t="s">
        <v>31</v>
      </c>
      <c r="AG124" t="s">
        <v>31</v>
      </c>
      <c r="AH124">
        <v>-26.521341148997575</v>
      </c>
      <c r="AI124">
        <v>13.488390828455005</v>
      </c>
    </row>
    <row r="125" spans="1:35" x14ac:dyDescent="0.35">
      <c r="A125">
        <v>277</v>
      </c>
      <c r="B125" t="s">
        <v>126</v>
      </c>
      <c r="C125" t="s">
        <v>131</v>
      </c>
      <c r="D125" t="s">
        <v>62</v>
      </c>
      <c r="E125" t="s">
        <v>65</v>
      </c>
      <c r="F125">
        <v>0.3</v>
      </c>
      <c r="G125">
        <v>1</v>
      </c>
      <c r="H125" s="1">
        <v>19.18</v>
      </c>
      <c r="I125" s="1">
        <v>20.09</v>
      </c>
      <c r="J125">
        <f>42+9</f>
        <v>51</v>
      </c>
      <c r="K125">
        <v>16.8</v>
      </c>
      <c r="L125">
        <v>6</v>
      </c>
      <c r="M125">
        <v>6</v>
      </c>
      <c r="N125">
        <f t="shared" si="40"/>
        <v>1.5</v>
      </c>
      <c r="P125">
        <v>294.09114449999998</v>
      </c>
      <c r="Q125">
        <f t="shared" si="41"/>
        <v>84.555548774999991</v>
      </c>
      <c r="R125">
        <f t="shared" si="32"/>
        <v>99.477116205882339</v>
      </c>
      <c r="S125">
        <v>330.88600999999994</v>
      </c>
      <c r="T125">
        <f t="shared" si="42"/>
        <v>96.299032499999981</v>
      </c>
      <c r="U125">
        <f t="shared" si="33"/>
        <v>113.29297941176468</v>
      </c>
      <c r="V125">
        <v>232.8714638105738</v>
      </c>
      <c r="W125">
        <f t="shared" si="43"/>
        <v>65.983323586618155</v>
      </c>
      <c r="X125">
        <f t="shared" si="39"/>
        <v>77.627439513668421</v>
      </c>
      <c r="Y125">
        <v>1934.3928138400181</v>
      </c>
      <c r="Z125">
        <f t="shared" si="44"/>
        <v>386.23407660802638</v>
      </c>
      <c r="AA125">
        <f t="shared" si="29"/>
        <v>454.39303130356046</v>
      </c>
      <c r="AB125">
        <v>47.739124117278834</v>
      </c>
      <c r="AC125">
        <v>13.00332994533488</v>
      </c>
      <c r="AD125" t="s">
        <v>31</v>
      </c>
      <c r="AE125">
        <v>3.6712999145581082</v>
      </c>
      <c r="AF125" t="s">
        <v>31</v>
      </c>
      <c r="AG125" t="s">
        <v>31</v>
      </c>
      <c r="AH125">
        <v>-20.866038035355309</v>
      </c>
      <c r="AI125">
        <v>11.191805541751311</v>
      </c>
    </row>
    <row r="126" spans="1:35" x14ac:dyDescent="0.35">
      <c r="A126">
        <v>278</v>
      </c>
      <c r="B126" t="s">
        <v>126</v>
      </c>
      <c r="C126" t="s">
        <v>131</v>
      </c>
      <c r="D126" t="s">
        <v>62</v>
      </c>
      <c r="E126" t="s">
        <v>65</v>
      </c>
      <c r="F126">
        <v>0.3</v>
      </c>
      <c r="G126">
        <v>1</v>
      </c>
      <c r="H126" s="1">
        <v>19.190000000000001</v>
      </c>
      <c r="I126" s="1">
        <v>20.100000000000001</v>
      </c>
      <c r="J126">
        <v>51</v>
      </c>
      <c r="K126">
        <v>16.8</v>
      </c>
      <c r="L126">
        <v>9</v>
      </c>
      <c r="M126">
        <v>9</v>
      </c>
      <c r="N126">
        <f t="shared" si="40"/>
        <v>2.25</v>
      </c>
      <c r="P126">
        <v>408.62639250000001</v>
      </c>
      <c r="Q126">
        <f t="shared" si="41"/>
        <v>118.916123175</v>
      </c>
      <c r="R126">
        <f t="shared" ref="R126:R157" si="45">(Q126/J126*60)/G126</f>
        <v>139.90132138235293</v>
      </c>
      <c r="S126">
        <v>557.57850000000008</v>
      </c>
      <c r="T126">
        <f t="shared" si="42"/>
        <v>164.30677950000003</v>
      </c>
      <c r="U126">
        <f t="shared" ref="U126:U157" si="46">(T126/J126*60)/G126</f>
        <v>193.30209352941179</v>
      </c>
      <c r="V126">
        <v>320.60223346430723</v>
      </c>
      <c r="W126">
        <f t="shared" si="43"/>
        <v>92.302554482738188</v>
      </c>
      <c r="X126">
        <f t="shared" si="39"/>
        <v>108.59124056792729</v>
      </c>
      <c r="Y126">
        <v>2307.603565689984</v>
      </c>
      <c r="Z126">
        <f t="shared" si="44"/>
        <v>498.19730216301622</v>
      </c>
      <c r="AA126">
        <f t="shared" si="29"/>
        <v>586.11447313296026</v>
      </c>
      <c r="AB126">
        <v>44.20551965286932</v>
      </c>
      <c r="AC126">
        <v>11.695709023089174</v>
      </c>
      <c r="AD126" t="s">
        <v>31</v>
      </c>
      <c r="AE126">
        <v>3.7796357249997117</v>
      </c>
      <c r="AF126" t="s">
        <v>31</v>
      </c>
      <c r="AG126" t="s">
        <v>31</v>
      </c>
      <c r="AH126">
        <v>-21.956939112920644</v>
      </c>
      <c r="AI126">
        <v>7.493663923761634</v>
      </c>
    </row>
    <row r="127" spans="1:35" x14ac:dyDescent="0.35">
      <c r="A127">
        <v>279</v>
      </c>
      <c r="B127" t="s">
        <v>126</v>
      </c>
      <c r="C127" t="s">
        <v>131</v>
      </c>
      <c r="D127" t="s">
        <v>62</v>
      </c>
      <c r="E127" t="s">
        <v>65</v>
      </c>
      <c r="F127">
        <v>0.3</v>
      </c>
      <c r="G127">
        <v>1</v>
      </c>
      <c r="H127" s="1">
        <v>19.2</v>
      </c>
      <c r="I127" s="1">
        <v>20.12</v>
      </c>
      <c r="J127">
        <v>52</v>
      </c>
      <c r="K127">
        <v>16.8</v>
      </c>
      <c r="L127">
        <v>14</v>
      </c>
      <c r="M127">
        <v>14</v>
      </c>
      <c r="N127">
        <f t="shared" si="40"/>
        <v>3.5</v>
      </c>
      <c r="P127">
        <v>239.47116750000004</v>
      </c>
      <c r="Q127">
        <f t="shared" si="41"/>
        <v>68.169555675000012</v>
      </c>
      <c r="R127">
        <f t="shared" si="45"/>
        <v>78.657179625000012</v>
      </c>
      <c r="S127">
        <v>422.74770000000001</v>
      </c>
      <c r="T127">
        <f t="shared" si="42"/>
        <v>123.8575395</v>
      </c>
      <c r="U127">
        <f t="shared" si="46"/>
        <v>142.91254557692309</v>
      </c>
      <c r="V127">
        <v>244.12874177913625</v>
      </c>
      <c r="W127">
        <f t="shared" si="43"/>
        <v>69.360506977186887</v>
      </c>
      <c r="X127">
        <f t="shared" si="39"/>
        <v>80.031354204446416</v>
      </c>
      <c r="Y127">
        <v>2109.8533786858961</v>
      </c>
      <c r="Z127">
        <f t="shared" si="44"/>
        <v>438.87224606178989</v>
      </c>
      <c r="AA127">
        <f t="shared" si="29"/>
        <v>506.39105314821916</v>
      </c>
      <c r="AB127">
        <v>52.170134348509578</v>
      </c>
      <c r="AC127">
        <v>11.135309357323026</v>
      </c>
      <c r="AD127" t="s">
        <v>31</v>
      </c>
      <c r="AE127">
        <v>4.6851086641971387</v>
      </c>
      <c r="AF127" t="s">
        <v>31</v>
      </c>
      <c r="AG127" t="s">
        <v>31</v>
      </c>
      <c r="AH127">
        <v>-26.197667202906761</v>
      </c>
      <c r="AI127">
        <v>5.0072538146451713</v>
      </c>
    </row>
    <row r="128" spans="1:35" x14ac:dyDescent="0.35">
      <c r="A128">
        <v>280</v>
      </c>
      <c r="B128" t="s">
        <v>126</v>
      </c>
      <c r="C128" t="s">
        <v>131</v>
      </c>
      <c r="D128" t="s">
        <v>62</v>
      </c>
      <c r="E128" t="s">
        <v>65</v>
      </c>
      <c r="F128">
        <v>0.3</v>
      </c>
      <c r="G128">
        <v>1</v>
      </c>
      <c r="H128" s="1">
        <v>19.21</v>
      </c>
      <c r="I128" s="1">
        <v>20.134</v>
      </c>
      <c r="J128">
        <v>52</v>
      </c>
      <c r="K128">
        <v>16.8</v>
      </c>
      <c r="L128">
        <v>7</v>
      </c>
      <c r="M128">
        <v>7</v>
      </c>
      <c r="N128">
        <f t="shared" si="40"/>
        <v>1.75</v>
      </c>
      <c r="P128">
        <v>186.9104715</v>
      </c>
      <c r="Q128">
        <f t="shared" si="41"/>
        <v>52.401346874999994</v>
      </c>
      <c r="R128">
        <f t="shared" si="45"/>
        <v>60.463092548076915</v>
      </c>
      <c r="S128">
        <v>309.04710000000006</v>
      </c>
      <c r="T128">
        <f t="shared" si="42"/>
        <v>89.747359500000016</v>
      </c>
      <c r="U128">
        <f t="shared" si="46"/>
        <v>103.55464557692309</v>
      </c>
      <c r="V128">
        <v>166.70526883079543</v>
      </c>
      <c r="W128">
        <f t="shared" si="43"/>
        <v>46.133465092684645</v>
      </c>
      <c r="X128">
        <f t="shared" si="39"/>
        <v>53.230921260789977</v>
      </c>
      <c r="Y128">
        <v>1603.6678546791672</v>
      </c>
      <c r="Z128">
        <f t="shared" si="44"/>
        <v>287.01658885977116</v>
      </c>
      <c r="AA128">
        <f t="shared" si="29"/>
        <v>331.17298714588981</v>
      </c>
      <c r="AB128">
        <v>43.893163876723555</v>
      </c>
      <c r="AC128">
        <v>12.245561308853221</v>
      </c>
      <c r="AD128" t="s">
        <v>31</v>
      </c>
      <c r="AE128">
        <v>3.5844142028009731</v>
      </c>
      <c r="AF128" t="s">
        <v>31</v>
      </c>
      <c r="AG128" t="s">
        <v>31</v>
      </c>
      <c r="AH128">
        <v>-23.498386331495098</v>
      </c>
      <c r="AI128">
        <v>12.001265794837881</v>
      </c>
    </row>
    <row r="129" spans="1:35" x14ac:dyDescent="0.35">
      <c r="A129">
        <v>281</v>
      </c>
      <c r="B129" t="s">
        <v>126</v>
      </c>
      <c r="C129" t="s">
        <v>131</v>
      </c>
      <c r="D129" t="s">
        <v>62</v>
      </c>
      <c r="E129" t="s">
        <v>65</v>
      </c>
      <c r="F129">
        <v>0.3</v>
      </c>
      <c r="G129">
        <v>1</v>
      </c>
      <c r="H129" s="1">
        <v>19.23</v>
      </c>
      <c r="I129" s="1">
        <v>20.14</v>
      </c>
      <c r="J129">
        <v>51</v>
      </c>
      <c r="K129">
        <v>16.8</v>
      </c>
      <c r="L129">
        <v>5</v>
      </c>
      <c r="M129">
        <v>5</v>
      </c>
      <c r="N129">
        <f t="shared" si="40"/>
        <v>1.25</v>
      </c>
      <c r="P129">
        <v>170.68137600000003</v>
      </c>
      <c r="Q129">
        <f t="shared" si="41"/>
        <v>47.532618225000007</v>
      </c>
      <c r="R129">
        <f t="shared" si="45"/>
        <v>55.92072732352942</v>
      </c>
      <c r="S129">
        <v>246.41115000000005</v>
      </c>
      <c r="T129">
        <f t="shared" si="42"/>
        <v>70.956574500000002</v>
      </c>
      <c r="U129">
        <f t="shared" si="46"/>
        <v>83.478322941176486</v>
      </c>
      <c r="V129">
        <v>146.94565855686312</v>
      </c>
      <c r="W129">
        <f t="shared" si="43"/>
        <v>40.205582010504955</v>
      </c>
      <c r="X129">
        <f t="shared" si="39"/>
        <v>47.300684718241129</v>
      </c>
      <c r="Y129">
        <v>1453.3015079448219</v>
      </c>
      <c r="Z129">
        <f t="shared" si="44"/>
        <v>241.90668483946757</v>
      </c>
      <c r="AA129">
        <f t="shared" si="29"/>
        <v>284.59609981113829</v>
      </c>
      <c r="AB129">
        <v>43.387639561216638</v>
      </c>
      <c r="AC129">
        <v>13.056967864961122</v>
      </c>
      <c r="AD129" t="s">
        <v>31</v>
      </c>
      <c r="AE129">
        <v>3.3229490958348031</v>
      </c>
      <c r="AF129" t="s">
        <v>31</v>
      </c>
      <c r="AG129" t="s">
        <v>31</v>
      </c>
      <c r="AH129">
        <v>-21.178723051177606</v>
      </c>
      <c r="AI129">
        <v>12.223547711238323</v>
      </c>
    </row>
    <row r="130" spans="1:35" x14ac:dyDescent="0.35">
      <c r="A130">
        <v>282</v>
      </c>
      <c r="B130" t="s">
        <v>126</v>
      </c>
      <c r="C130" t="s">
        <v>131</v>
      </c>
      <c r="D130" t="s">
        <v>62</v>
      </c>
      <c r="E130" t="s">
        <v>65</v>
      </c>
      <c r="F130">
        <v>0.3</v>
      </c>
      <c r="G130">
        <v>1</v>
      </c>
      <c r="H130" s="1">
        <v>19.239999999999998</v>
      </c>
      <c r="I130" s="1">
        <v>20.149999999999999</v>
      </c>
      <c r="J130">
        <f>36+15</f>
        <v>51</v>
      </c>
      <c r="K130">
        <v>16.8</v>
      </c>
      <c r="L130">
        <v>10</v>
      </c>
      <c r="M130">
        <v>10</v>
      </c>
      <c r="N130">
        <f t="shared" si="40"/>
        <v>2.5</v>
      </c>
      <c r="P130">
        <v>222.16340099999999</v>
      </c>
      <c r="Q130">
        <f t="shared" si="41"/>
        <v>62.977225724999997</v>
      </c>
      <c r="R130">
        <f t="shared" si="45"/>
        <v>74.090853794117635</v>
      </c>
      <c r="S130">
        <v>348.54045000000002</v>
      </c>
      <c r="T130">
        <f t="shared" si="42"/>
        <v>101.5953645</v>
      </c>
      <c r="U130">
        <f t="shared" si="46"/>
        <v>119.52395823529412</v>
      </c>
      <c r="V130">
        <v>205.27450811549039</v>
      </c>
      <c r="W130">
        <f t="shared" si="43"/>
        <v>57.704236878093134</v>
      </c>
      <c r="X130">
        <f t="shared" si="39"/>
        <v>67.887337503638989</v>
      </c>
      <c r="Y130">
        <v>1611.4517199501611</v>
      </c>
      <c r="Z130">
        <f t="shared" si="44"/>
        <v>289.35174844106933</v>
      </c>
      <c r="AA130">
        <f t="shared" si="29"/>
        <v>340.41382169537565</v>
      </c>
      <c r="AD130" t="s">
        <v>31</v>
      </c>
      <c r="AF130" t="s">
        <v>31</v>
      </c>
      <c r="AG130" t="s">
        <v>31</v>
      </c>
    </row>
    <row r="131" spans="1:35" x14ac:dyDescent="0.35">
      <c r="A131">
        <v>283</v>
      </c>
      <c r="B131" t="s">
        <v>126</v>
      </c>
      <c r="C131" t="s">
        <v>131</v>
      </c>
      <c r="D131" t="s">
        <v>62</v>
      </c>
      <c r="E131" t="s">
        <v>65</v>
      </c>
      <c r="F131">
        <v>0.3</v>
      </c>
      <c r="G131">
        <v>1</v>
      </c>
      <c r="H131" s="1">
        <v>19.260000000000002</v>
      </c>
      <c r="I131" s="1">
        <v>20.16</v>
      </c>
      <c r="J131">
        <f>34+16</f>
        <v>50</v>
      </c>
      <c r="K131">
        <v>16.8</v>
      </c>
      <c r="L131">
        <v>8</v>
      </c>
      <c r="M131">
        <v>8</v>
      </c>
      <c r="N131">
        <f t="shared" si="40"/>
        <v>2</v>
      </c>
      <c r="P131">
        <v>266.83018650000002</v>
      </c>
      <c r="Q131">
        <f t="shared" si="41"/>
        <v>76.377261375000003</v>
      </c>
      <c r="R131">
        <f t="shared" si="45"/>
        <v>91.65271365000001</v>
      </c>
      <c r="S131">
        <v>355.08075000000002</v>
      </c>
      <c r="T131">
        <f t="shared" si="42"/>
        <v>103.55745450000001</v>
      </c>
      <c r="U131">
        <f t="shared" si="46"/>
        <v>124.26894540000001</v>
      </c>
      <c r="V131">
        <v>264.55333893728749</v>
      </c>
      <c r="W131">
        <f t="shared" si="43"/>
        <v>75.487886124632269</v>
      </c>
      <c r="X131">
        <f t="shared" si="39"/>
        <v>90.585463349558722</v>
      </c>
      <c r="Y131">
        <v>1834.6516811538991</v>
      </c>
      <c r="Z131">
        <f t="shared" si="44"/>
        <v>356.31173680219075</v>
      </c>
      <c r="AA131">
        <f t="shared" ref="AA131:AA160" si="47">(Z131/J131*60)/G131</f>
        <v>427.57408416262894</v>
      </c>
      <c r="AB131">
        <v>44.00341777957469</v>
      </c>
      <c r="AC131" s="4">
        <v>12.317630810143008</v>
      </c>
      <c r="AD131" t="s">
        <v>31</v>
      </c>
      <c r="AE131">
        <v>3.572392975387757</v>
      </c>
      <c r="AF131" t="s">
        <v>31</v>
      </c>
      <c r="AG131" t="s">
        <v>31</v>
      </c>
      <c r="AH131" s="4">
        <v>-24.232646672164076</v>
      </c>
      <c r="AI131" s="4">
        <v>9.7312363123059207</v>
      </c>
    </row>
    <row r="132" spans="1:35" x14ac:dyDescent="0.35">
      <c r="A132">
        <v>284</v>
      </c>
      <c r="B132" t="s">
        <v>126</v>
      </c>
      <c r="C132" t="s">
        <v>131</v>
      </c>
      <c r="D132" t="s">
        <v>62</v>
      </c>
      <c r="E132" t="s">
        <v>65</v>
      </c>
      <c r="F132">
        <v>0.3</v>
      </c>
      <c r="G132">
        <v>1</v>
      </c>
      <c r="H132" s="1">
        <v>19.27</v>
      </c>
      <c r="I132" s="1">
        <v>20.18</v>
      </c>
      <c r="J132">
        <f>33+18</f>
        <v>51</v>
      </c>
      <c r="K132">
        <v>16.8</v>
      </c>
      <c r="L132">
        <v>11</v>
      </c>
      <c r="M132">
        <v>11</v>
      </c>
      <c r="N132">
        <f t="shared" si="40"/>
        <v>2.75</v>
      </c>
      <c r="P132">
        <v>260.30913000000004</v>
      </c>
      <c r="Q132">
        <f t="shared" si="41"/>
        <v>74.420944425000002</v>
      </c>
      <c r="R132">
        <f t="shared" si="45"/>
        <v>87.554052264705888</v>
      </c>
      <c r="S132">
        <v>347.53425000000004</v>
      </c>
      <c r="T132">
        <f t="shared" si="42"/>
        <v>101.29350450000001</v>
      </c>
      <c r="U132">
        <f t="shared" si="46"/>
        <v>119.16882882352942</v>
      </c>
      <c r="V132">
        <v>225.55660808416616</v>
      </c>
      <c r="W132">
        <f t="shared" si="43"/>
        <v>63.788866868695862</v>
      </c>
      <c r="X132">
        <f t="shared" si="39"/>
        <v>75.045725727877482</v>
      </c>
      <c r="Y132">
        <v>1878.3263011400759</v>
      </c>
      <c r="Z132">
        <f t="shared" si="44"/>
        <v>369.41412279804382</v>
      </c>
      <c r="AA132">
        <f t="shared" si="47"/>
        <v>434.60485035063977</v>
      </c>
      <c r="AD132" t="s">
        <v>31</v>
      </c>
      <c r="AF132" t="s">
        <v>31</v>
      </c>
      <c r="AG132" t="s">
        <v>31</v>
      </c>
    </row>
    <row r="133" spans="1:35" x14ac:dyDescent="0.35">
      <c r="A133">
        <v>285</v>
      </c>
      <c r="B133" t="s">
        <v>126</v>
      </c>
      <c r="C133" t="s">
        <v>131</v>
      </c>
      <c r="D133" t="s">
        <v>62</v>
      </c>
      <c r="E133" t="s">
        <v>65</v>
      </c>
      <c r="F133">
        <v>0.3</v>
      </c>
      <c r="G133">
        <v>1</v>
      </c>
      <c r="H133" s="1">
        <v>19.28</v>
      </c>
      <c r="I133" s="1">
        <v>20.190000000000001</v>
      </c>
      <c r="J133">
        <f>32+19</f>
        <v>51</v>
      </c>
      <c r="K133">
        <v>16.8</v>
      </c>
      <c r="L133">
        <v>13</v>
      </c>
      <c r="M133">
        <v>13</v>
      </c>
      <c r="N133">
        <f t="shared" si="40"/>
        <v>3.25</v>
      </c>
      <c r="P133">
        <v>270.26232150000004</v>
      </c>
      <c r="Q133">
        <f t="shared" si="41"/>
        <v>77.406901875000003</v>
      </c>
      <c r="R133">
        <f t="shared" si="45"/>
        <v>91.066943382352946</v>
      </c>
      <c r="S133">
        <v>586.25520000000006</v>
      </c>
      <c r="T133">
        <f t="shared" si="42"/>
        <v>172.90978950000002</v>
      </c>
      <c r="U133">
        <f t="shared" si="46"/>
        <v>203.42328176470591</v>
      </c>
      <c r="V133">
        <v>273.7681571900348</v>
      </c>
      <c r="W133">
        <f t="shared" si="43"/>
        <v>78.252331600456458</v>
      </c>
      <c r="X133">
        <f t="shared" si="39"/>
        <v>92.061566588772308</v>
      </c>
      <c r="Y133">
        <v>2435.1980679674507</v>
      </c>
      <c r="Z133">
        <f t="shared" si="44"/>
        <v>536.47565284625625</v>
      </c>
      <c r="AA133">
        <f t="shared" si="47"/>
        <v>631.14782687794855</v>
      </c>
      <c r="AD133" t="s">
        <v>31</v>
      </c>
      <c r="AF133" t="s">
        <v>31</v>
      </c>
      <c r="AG133" t="s">
        <v>31</v>
      </c>
    </row>
    <row r="134" spans="1:35" x14ac:dyDescent="0.35">
      <c r="A134">
        <v>286</v>
      </c>
      <c r="B134" t="s">
        <v>126</v>
      </c>
      <c r="C134" t="s">
        <v>131</v>
      </c>
      <c r="D134" t="s">
        <v>62</v>
      </c>
      <c r="E134" t="s">
        <v>65</v>
      </c>
      <c r="F134">
        <v>0.3</v>
      </c>
      <c r="G134">
        <v>1</v>
      </c>
      <c r="H134" s="1">
        <v>19.29</v>
      </c>
      <c r="I134" s="1">
        <v>20.2</v>
      </c>
      <c r="J134">
        <f>31+20</f>
        <v>51</v>
      </c>
      <c r="K134">
        <v>16.8</v>
      </c>
      <c r="L134">
        <v>9</v>
      </c>
      <c r="M134">
        <v>9</v>
      </c>
      <c r="N134">
        <f t="shared" si="40"/>
        <v>2.25</v>
      </c>
      <c r="P134">
        <v>280.11745200000001</v>
      </c>
      <c r="Q134">
        <f t="shared" si="41"/>
        <v>80.363441025</v>
      </c>
      <c r="R134">
        <f t="shared" si="45"/>
        <v>94.545224735294113</v>
      </c>
      <c r="S134">
        <v>305.52540000000005</v>
      </c>
      <c r="T134">
        <f t="shared" si="42"/>
        <v>88.690849500000013</v>
      </c>
      <c r="U134">
        <f t="shared" si="46"/>
        <v>104.34217588235296</v>
      </c>
      <c r="V134">
        <v>189.40982102055432</v>
      </c>
      <c r="W134">
        <f t="shared" si="43"/>
        <v>52.944830749612315</v>
      </c>
      <c r="X134">
        <f t="shared" si="39"/>
        <v>62.288036176014494</v>
      </c>
      <c r="Y134">
        <v>1674.2248679298682</v>
      </c>
      <c r="Z134">
        <f t="shared" si="44"/>
        <v>308.18369283498151</v>
      </c>
      <c r="AA134">
        <f t="shared" si="47"/>
        <v>362.56905039409588</v>
      </c>
      <c r="AB134">
        <v>48.054086114886189</v>
      </c>
      <c r="AC134">
        <v>12.834374607920509</v>
      </c>
      <c r="AD134" t="s">
        <v>31</v>
      </c>
      <c r="AE134">
        <v>3.7441704471700907</v>
      </c>
      <c r="AF134" t="s">
        <v>31</v>
      </c>
      <c r="AG134" t="s">
        <v>31</v>
      </c>
      <c r="AH134" s="4">
        <v>-22.144749921146175</v>
      </c>
      <c r="AI134" s="4">
        <v>11.57047163827419</v>
      </c>
    </row>
    <row r="135" spans="1:35" x14ac:dyDescent="0.35">
      <c r="A135">
        <v>287</v>
      </c>
      <c r="B135" t="s">
        <v>126</v>
      </c>
      <c r="C135" t="s">
        <v>131</v>
      </c>
      <c r="D135" t="s">
        <v>62</v>
      </c>
      <c r="E135" t="s">
        <v>65</v>
      </c>
      <c r="F135">
        <v>0.3</v>
      </c>
      <c r="G135">
        <v>1</v>
      </c>
      <c r="H135" s="1">
        <v>19.38</v>
      </c>
      <c r="I135" s="1">
        <v>20.23</v>
      </c>
      <c r="J135">
        <f>22+23</f>
        <v>45</v>
      </c>
      <c r="K135">
        <v>16.8</v>
      </c>
      <c r="L135">
        <v>7</v>
      </c>
      <c r="M135">
        <v>7</v>
      </c>
      <c r="N135">
        <f t="shared" si="40"/>
        <v>1.75</v>
      </c>
      <c r="P135">
        <v>303.99530550000003</v>
      </c>
      <c r="Q135">
        <f t="shared" si="41"/>
        <v>87.526797075000005</v>
      </c>
      <c r="R135">
        <f t="shared" si="45"/>
        <v>116.7023961</v>
      </c>
      <c r="S135">
        <v>345.77340000000004</v>
      </c>
      <c r="T135">
        <f t="shared" si="42"/>
        <v>100.76524950000001</v>
      </c>
      <c r="U135">
        <f t="shared" si="46"/>
        <v>134.353666</v>
      </c>
      <c r="V135">
        <v>219.47672799987924</v>
      </c>
      <c r="W135">
        <f t="shared" si="43"/>
        <v>61.964902843409789</v>
      </c>
      <c r="X135">
        <f t="shared" si="39"/>
        <v>82.619870457879713</v>
      </c>
      <c r="Y135">
        <v>1654.3155633787005</v>
      </c>
      <c r="Z135">
        <f t="shared" si="44"/>
        <v>302.21090146963115</v>
      </c>
      <c r="AA135">
        <f t="shared" si="47"/>
        <v>402.94786862617491</v>
      </c>
      <c r="AB135">
        <v>50.114169135822124</v>
      </c>
      <c r="AC135">
        <v>14.070076092226097</v>
      </c>
      <c r="AD135" t="s">
        <v>31</v>
      </c>
      <c r="AE135">
        <v>3.5617553741241572</v>
      </c>
      <c r="AF135" t="s">
        <v>31</v>
      </c>
      <c r="AG135" t="s">
        <v>31</v>
      </c>
      <c r="AH135" s="4">
        <v>-19.296618994279171</v>
      </c>
      <c r="AI135" s="4">
        <v>10.257434654227325</v>
      </c>
    </row>
    <row r="136" spans="1:35" x14ac:dyDescent="0.35">
      <c r="A136">
        <v>288</v>
      </c>
      <c r="B136" t="s">
        <v>126</v>
      </c>
      <c r="C136" t="s">
        <v>131</v>
      </c>
      <c r="D136" t="s">
        <v>62</v>
      </c>
      <c r="E136" t="s">
        <v>65</v>
      </c>
      <c r="F136">
        <v>0.3</v>
      </c>
      <c r="G136">
        <v>1</v>
      </c>
      <c r="H136" s="1">
        <v>19.39</v>
      </c>
      <c r="I136" s="1">
        <v>20.25</v>
      </c>
      <c r="J136">
        <f>21+25</f>
        <v>46</v>
      </c>
      <c r="K136">
        <v>16.8</v>
      </c>
      <c r="L136">
        <v>4</v>
      </c>
      <c r="M136">
        <v>4</v>
      </c>
      <c r="N136">
        <f t="shared" si="40"/>
        <v>1</v>
      </c>
      <c r="P136">
        <v>164.99383800000001</v>
      </c>
      <c r="Q136">
        <f t="shared" si="41"/>
        <v>45.826356824999998</v>
      </c>
      <c r="R136">
        <f t="shared" si="45"/>
        <v>59.773508902173916</v>
      </c>
      <c r="S136">
        <v>214.46430000000004</v>
      </c>
      <c r="T136">
        <f t="shared" si="42"/>
        <v>61.372519500000003</v>
      </c>
      <c r="U136">
        <f t="shared" si="46"/>
        <v>80.051112391304358</v>
      </c>
      <c r="V136">
        <v>141.24577097784413</v>
      </c>
      <c r="W136">
        <f t="shared" si="43"/>
        <v>38.495615736799259</v>
      </c>
      <c r="X136">
        <f t="shared" si="39"/>
        <v>50.211672700172947</v>
      </c>
      <c r="Y136">
        <v>1276.2039971208774</v>
      </c>
      <c r="Z136">
        <f t="shared" si="44"/>
        <v>188.77743159228422</v>
      </c>
      <c r="AA136">
        <f t="shared" si="47"/>
        <v>246.23143251167508</v>
      </c>
      <c r="AB136">
        <v>43.119970224196379</v>
      </c>
      <c r="AC136">
        <v>12.904828212048425</v>
      </c>
      <c r="AD136" t="s">
        <v>31</v>
      </c>
      <c r="AE136">
        <v>3.3413827379691874</v>
      </c>
      <c r="AF136" t="s">
        <v>31</v>
      </c>
      <c r="AG136" t="s">
        <v>31</v>
      </c>
      <c r="AH136" s="4">
        <v>-24.18469497644692</v>
      </c>
      <c r="AI136" s="4">
        <v>13.585762110418031</v>
      </c>
    </row>
    <row r="137" spans="1:35" x14ac:dyDescent="0.35">
      <c r="A137">
        <v>289</v>
      </c>
      <c r="B137" t="s">
        <v>126</v>
      </c>
      <c r="C137" t="s">
        <v>131</v>
      </c>
      <c r="D137" t="s">
        <v>22</v>
      </c>
      <c r="E137" t="s">
        <v>29</v>
      </c>
      <c r="F137">
        <v>6</v>
      </c>
      <c r="G137">
        <v>1</v>
      </c>
      <c r="H137" s="1">
        <v>19.46</v>
      </c>
      <c r="I137" s="1">
        <v>20.3</v>
      </c>
      <c r="J137">
        <f>14+30</f>
        <v>44</v>
      </c>
      <c r="K137">
        <v>16.8</v>
      </c>
      <c r="L137">
        <v>887</v>
      </c>
      <c r="M137">
        <v>887</v>
      </c>
      <c r="N137">
        <f t="shared" si="40"/>
        <v>221.75</v>
      </c>
      <c r="P137">
        <v>163.91516700000003</v>
      </c>
      <c r="Q137">
        <f t="shared" si="41"/>
        <v>910.05511050000018</v>
      </c>
      <c r="R137">
        <f t="shared" si="45"/>
        <v>1240.9842415909093</v>
      </c>
      <c r="S137">
        <v>704.39991999999995</v>
      </c>
      <c r="T137">
        <f t="shared" si="42"/>
        <v>4167.0641099999993</v>
      </c>
      <c r="U137">
        <f t="shared" si="46"/>
        <v>5682.3601499999986</v>
      </c>
      <c r="V137">
        <v>127.89853423030809</v>
      </c>
      <c r="W137">
        <f t="shared" si="43"/>
        <v>689.82889425076883</v>
      </c>
      <c r="X137">
        <f t="shared" si="39"/>
        <v>940.67576488741202</v>
      </c>
      <c r="Y137">
        <v>1714.1805209679412</v>
      </c>
      <c r="Z137">
        <f t="shared" si="44"/>
        <v>6403.4077749280668</v>
      </c>
      <c r="AA137">
        <f t="shared" si="47"/>
        <v>8731.9196930837279</v>
      </c>
      <c r="AD137" t="s">
        <v>31</v>
      </c>
      <c r="AF137" t="s">
        <v>31</v>
      </c>
      <c r="AG137" t="s">
        <v>31</v>
      </c>
    </row>
    <row r="138" spans="1:35" x14ac:dyDescent="0.35">
      <c r="A138">
        <v>290</v>
      </c>
      <c r="B138" t="s">
        <v>126</v>
      </c>
      <c r="C138" t="s">
        <v>131</v>
      </c>
      <c r="D138" t="s">
        <v>127</v>
      </c>
      <c r="E138" t="s">
        <v>29</v>
      </c>
      <c r="F138">
        <v>2</v>
      </c>
      <c r="G138">
        <v>1</v>
      </c>
      <c r="H138" s="1">
        <v>19.510000000000002</v>
      </c>
      <c r="I138" s="1">
        <v>20.309999999999999</v>
      </c>
      <c r="J138">
        <v>40</v>
      </c>
      <c r="K138">
        <v>16.8</v>
      </c>
      <c r="L138">
        <v>80</v>
      </c>
      <c r="M138">
        <v>80</v>
      </c>
      <c r="N138">
        <f t="shared" si="40"/>
        <v>20</v>
      </c>
      <c r="P138">
        <v>30.84639</v>
      </c>
      <c r="Q138">
        <f t="shared" si="41"/>
        <v>37.214149499999998</v>
      </c>
      <c r="R138">
        <f t="shared" si="45"/>
        <v>55.82122425</v>
      </c>
      <c r="S138">
        <v>194.29519999999999</v>
      </c>
      <c r="T138">
        <f t="shared" si="42"/>
        <v>368.81192999999996</v>
      </c>
      <c r="U138">
        <f t="shared" si="46"/>
        <v>553.217895</v>
      </c>
      <c r="V138">
        <v>31.285439765936818</v>
      </c>
      <c r="W138">
        <f t="shared" si="43"/>
        <v>36.716775821513764</v>
      </c>
      <c r="X138">
        <f t="shared" si="39"/>
        <v>55.075163732270646</v>
      </c>
      <c r="Y138">
        <v>679.26104626151277</v>
      </c>
      <c r="Z138">
        <f t="shared" si="44"/>
        <v>64.630308896498946</v>
      </c>
      <c r="AA138">
        <f t="shared" si="47"/>
        <v>96.945463344748418</v>
      </c>
      <c r="AD138" t="s">
        <v>31</v>
      </c>
      <c r="AF138" t="s">
        <v>31</v>
      </c>
      <c r="AG138" t="s">
        <v>31</v>
      </c>
    </row>
    <row r="139" spans="1:35" x14ac:dyDescent="0.35">
      <c r="A139">
        <v>291</v>
      </c>
      <c r="B139" t="s">
        <v>126</v>
      </c>
      <c r="C139" t="s">
        <v>131</v>
      </c>
      <c r="D139" t="s">
        <v>123</v>
      </c>
      <c r="E139" t="s">
        <v>29</v>
      </c>
      <c r="F139">
        <v>2</v>
      </c>
      <c r="G139">
        <v>1</v>
      </c>
      <c r="H139" s="1">
        <v>19.47</v>
      </c>
      <c r="I139" s="1">
        <v>20.32</v>
      </c>
      <c r="J139">
        <v>45</v>
      </c>
      <c r="K139">
        <v>16.8</v>
      </c>
      <c r="L139">
        <v>113</v>
      </c>
      <c r="M139">
        <v>113</v>
      </c>
      <c r="N139">
        <f t="shared" si="40"/>
        <v>28.25</v>
      </c>
      <c r="P139">
        <v>82.328415000000007</v>
      </c>
      <c r="Q139">
        <f t="shared" si="41"/>
        <v>140.17819950000001</v>
      </c>
      <c r="R139">
        <f t="shared" si="45"/>
        <v>186.90426600000001</v>
      </c>
      <c r="S139">
        <v>416.02232000000004</v>
      </c>
      <c r="T139">
        <f t="shared" si="42"/>
        <v>812.2661700000001</v>
      </c>
      <c r="U139">
        <f t="shared" si="46"/>
        <v>1083.0215600000001</v>
      </c>
      <c r="V139">
        <v>64.914776482148653</v>
      </c>
      <c r="W139">
        <f t="shared" si="43"/>
        <v>103.97544925393744</v>
      </c>
      <c r="X139">
        <f t="shared" si="39"/>
        <v>138.63393233858324</v>
      </c>
      <c r="Y139">
        <v>1200.5110581912172</v>
      </c>
      <c r="Z139">
        <f t="shared" si="44"/>
        <v>1107.1303327559078</v>
      </c>
      <c r="AA139">
        <f t="shared" si="47"/>
        <v>1476.1737770078771</v>
      </c>
      <c r="AB139" s="4">
        <v>42.591594406979894</v>
      </c>
      <c r="AC139">
        <v>12.418261403679463</v>
      </c>
      <c r="AD139" t="s">
        <v>31</v>
      </c>
      <c r="AE139" s="4">
        <v>3.429755021452539</v>
      </c>
      <c r="AF139" t="s">
        <v>31</v>
      </c>
      <c r="AG139" t="s">
        <v>31</v>
      </c>
      <c r="AH139" s="4">
        <v>-14.280671823532341</v>
      </c>
      <c r="AI139" s="4">
        <v>8.7663754273995718</v>
      </c>
    </row>
    <row r="140" spans="1:35" x14ac:dyDescent="0.35">
      <c r="A140">
        <v>292</v>
      </c>
      <c r="B140" t="s">
        <v>126</v>
      </c>
      <c r="C140" t="s">
        <v>131</v>
      </c>
      <c r="D140" t="s">
        <v>123</v>
      </c>
      <c r="E140" t="s">
        <v>65</v>
      </c>
      <c r="F140">
        <v>0.3</v>
      </c>
      <c r="G140">
        <v>1</v>
      </c>
      <c r="H140" s="1">
        <v>19.52</v>
      </c>
      <c r="I140" s="1">
        <v>20.34</v>
      </c>
      <c r="J140">
        <f>8+34</f>
        <v>42</v>
      </c>
      <c r="K140">
        <v>16.8</v>
      </c>
      <c r="L140">
        <v>6</v>
      </c>
      <c r="M140">
        <v>6</v>
      </c>
      <c r="N140">
        <f t="shared" si="40"/>
        <v>1.5</v>
      </c>
      <c r="P140">
        <v>59.0389275</v>
      </c>
      <c r="Q140">
        <f t="shared" si="41"/>
        <v>14.039883674999999</v>
      </c>
      <c r="R140">
        <f t="shared" si="45"/>
        <v>20.056976678571427</v>
      </c>
      <c r="S140">
        <v>580.21780000000001</v>
      </c>
      <c r="T140">
        <f t="shared" si="42"/>
        <v>171.0985695</v>
      </c>
      <c r="U140">
        <f t="shared" si="46"/>
        <v>244.42652785714284</v>
      </c>
      <c r="V140">
        <v>56.079950734669268</v>
      </c>
      <c r="W140">
        <f t="shared" si="43"/>
        <v>12.9458696638468</v>
      </c>
      <c r="X140">
        <f t="shared" si="39"/>
        <v>18.494099519781145</v>
      </c>
      <c r="Y140">
        <v>936.48688691365362</v>
      </c>
      <c r="Z140">
        <f t="shared" si="44"/>
        <v>86.862298530117087</v>
      </c>
      <c r="AA140">
        <f t="shared" si="47"/>
        <v>124.08899790016727</v>
      </c>
      <c r="AB140" s="4">
        <v>46.888005736622112</v>
      </c>
      <c r="AC140">
        <v>11.795986793222362</v>
      </c>
      <c r="AD140" t="s">
        <v>31</v>
      </c>
      <c r="AE140" s="4">
        <v>3.9749116846725046</v>
      </c>
      <c r="AF140" t="s">
        <v>31</v>
      </c>
      <c r="AG140" t="s">
        <v>31</v>
      </c>
      <c r="AH140" s="4">
        <v>-13.498459787146206</v>
      </c>
      <c r="AI140" s="4">
        <v>9.0545550800780212</v>
      </c>
    </row>
    <row r="141" spans="1:35" x14ac:dyDescent="0.35">
      <c r="A141">
        <v>293</v>
      </c>
      <c r="B141" t="s">
        <v>126</v>
      </c>
      <c r="C141" t="s">
        <v>131</v>
      </c>
      <c r="D141" t="s">
        <v>123</v>
      </c>
      <c r="E141" t="s">
        <v>65</v>
      </c>
      <c r="F141">
        <v>0.3</v>
      </c>
      <c r="G141">
        <v>1</v>
      </c>
      <c r="H141" s="1">
        <v>19.53</v>
      </c>
      <c r="I141" s="1">
        <v>20.36</v>
      </c>
      <c r="J141">
        <f>7+36</f>
        <v>43</v>
      </c>
      <c r="K141">
        <v>16.8</v>
      </c>
      <c r="L141">
        <v>13</v>
      </c>
      <c r="M141">
        <v>13</v>
      </c>
      <c r="N141">
        <f t="shared" si="40"/>
        <v>3.25</v>
      </c>
      <c r="P141">
        <v>92.330636999999996</v>
      </c>
      <c r="Q141">
        <f t="shared" si="41"/>
        <v>24.027396524999997</v>
      </c>
      <c r="R141">
        <f t="shared" si="45"/>
        <v>33.526599802325578</v>
      </c>
      <c r="S141">
        <v>483.96151999999995</v>
      </c>
      <c r="T141">
        <f t="shared" si="42"/>
        <v>142.22168549999998</v>
      </c>
      <c r="U141">
        <f t="shared" si="46"/>
        <v>198.44886348837204</v>
      </c>
      <c r="V141">
        <v>76.077056324394093</v>
      </c>
      <c r="W141">
        <f t="shared" si="43"/>
        <v>18.945001340764247</v>
      </c>
      <c r="X141">
        <f t="shared" si="39"/>
        <v>26.434885591764065</v>
      </c>
      <c r="Y141">
        <v>1363.8126548233495</v>
      </c>
      <c r="Z141">
        <f t="shared" si="44"/>
        <v>215.06002890302585</v>
      </c>
      <c r="AA141">
        <f t="shared" si="47"/>
        <v>300.08376126003606</v>
      </c>
      <c r="AB141" s="4">
        <v>42.382009347829879</v>
      </c>
      <c r="AC141">
        <v>13.028234894321105</v>
      </c>
      <c r="AD141" t="s">
        <v>31</v>
      </c>
      <c r="AE141" s="4">
        <v>3.2530891323047784</v>
      </c>
      <c r="AF141" t="s">
        <v>31</v>
      </c>
      <c r="AG141" t="s">
        <v>31</v>
      </c>
      <c r="AH141" s="4">
        <v>-16.520415610987907</v>
      </c>
      <c r="AI141" s="4">
        <v>9.5384608449851811</v>
      </c>
    </row>
    <row r="142" spans="1:35" x14ac:dyDescent="0.35">
      <c r="A142">
        <v>294</v>
      </c>
      <c r="B142" t="s">
        <v>126</v>
      </c>
      <c r="C142" t="s">
        <v>131</v>
      </c>
      <c r="D142" t="s">
        <v>22</v>
      </c>
      <c r="E142" t="s">
        <v>29</v>
      </c>
      <c r="F142">
        <v>6</v>
      </c>
      <c r="G142">
        <v>1</v>
      </c>
      <c r="H142" s="1">
        <v>20.59</v>
      </c>
      <c r="I142" s="1">
        <v>21.46</v>
      </c>
      <c r="J142">
        <v>47</v>
      </c>
      <c r="K142">
        <v>16.8</v>
      </c>
      <c r="L142">
        <v>693</v>
      </c>
      <c r="M142">
        <v>693</v>
      </c>
      <c r="N142">
        <f t="shared" si="40"/>
        <v>173.25</v>
      </c>
      <c r="P142">
        <v>31.140573</v>
      </c>
      <c r="Q142">
        <f t="shared" si="41"/>
        <v>113.4075465</v>
      </c>
      <c r="R142">
        <f t="shared" si="45"/>
        <v>144.77559127659575</v>
      </c>
      <c r="S142">
        <v>479.84955000000008</v>
      </c>
      <c r="T142">
        <f t="shared" si="42"/>
        <v>2819.7618900000007</v>
      </c>
      <c r="U142">
        <f t="shared" si="46"/>
        <v>3599.6960297872351</v>
      </c>
      <c r="V142">
        <v>34.515376060714225</v>
      </c>
      <c r="W142">
        <f t="shared" si="43"/>
        <v>129.52994523320575</v>
      </c>
      <c r="X142">
        <f t="shared" si="39"/>
        <v>165.35737689345416</v>
      </c>
      <c r="Y142">
        <v>1597.8491186871447</v>
      </c>
      <c r="Z142">
        <f t="shared" si="44"/>
        <v>5705.4193612432882</v>
      </c>
      <c r="AA142">
        <f t="shared" si="47"/>
        <v>7283.5140781829214</v>
      </c>
      <c r="AD142" t="s">
        <v>31</v>
      </c>
      <c r="AF142" t="s">
        <v>31</v>
      </c>
      <c r="AG142" t="s">
        <v>31</v>
      </c>
    </row>
    <row r="143" spans="1:35" x14ac:dyDescent="0.35">
      <c r="A143">
        <v>295</v>
      </c>
      <c r="B143" t="s">
        <v>126</v>
      </c>
      <c r="C143" t="s">
        <v>131</v>
      </c>
      <c r="D143" t="s">
        <v>22</v>
      </c>
      <c r="E143" t="s">
        <v>29</v>
      </c>
      <c r="F143">
        <v>5</v>
      </c>
      <c r="G143">
        <v>1</v>
      </c>
      <c r="H143" s="1">
        <v>21.01</v>
      </c>
      <c r="I143" s="1">
        <v>21.48</v>
      </c>
      <c r="J143">
        <v>47</v>
      </c>
      <c r="K143">
        <v>16.8</v>
      </c>
      <c r="L143">
        <v>562</v>
      </c>
      <c r="M143">
        <v>562</v>
      </c>
      <c r="N143">
        <f t="shared" si="40"/>
        <v>140.5</v>
      </c>
      <c r="P143">
        <v>447.65467050000001</v>
      </c>
      <c r="Q143">
        <f t="shared" si="41"/>
        <v>2177.07677625</v>
      </c>
      <c r="R143">
        <f t="shared" si="45"/>
        <v>2779.2469484042554</v>
      </c>
      <c r="S143">
        <v>464.75655000000006</v>
      </c>
      <c r="T143">
        <f t="shared" si="42"/>
        <v>2274.3365750000003</v>
      </c>
      <c r="U143">
        <f t="shared" si="46"/>
        <v>2903.4083936170214</v>
      </c>
      <c r="V143">
        <v>321.93220723274493</v>
      </c>
      <c r="W143">
        <f t="shared" si="43"/>
        <v>1545.025776887825</v>
      </c>
      <c r="X143">
        <f t="shared" si="39"/>
        <v>1972.3733321972236</v>
      </c>
      <c r="Y143">
        <v>1831.6381804947591</v>
      </c>
      <c r="Z143">
        <f t="shared" si="44"/>
        <v>5923.4614434074792</v>
      </c>
      <c r="AA143">
        <f t="shared" si="47"/>
        <v>7561.8656724350794</v>
      </c>
      <c r="AD143" t="s">
        <v>31</v>
      </c>
      <c r="AF143" t="s">
        <v>31</v>
      </c>
      <c r="AG143" t="s">
        <v>31</v>
      </c>
    </row>
    <row r="144" spans="1:35" x14ac:dyDescent="0.35">
      <c r="A144">
        <v>296</v>
      </c>
      <c r="B144" t="s">
        <v>126</v>
      </c>
      <c r="C144" t="s">
        <v>131</v>
      </c>
      <c r="D144" t="s">
        <v>22</v>
      </c>
      <c r="E144" t="s">
        <v>29</v>
      </c>
      <c r="F144">
        <v>5</v>
      </c>
      <c r="G144">
        <v>1</v>
      </c>
      <c r="H144" s="1">
        <v>21.04</v>
      </c>
      <c r="I144" s="1">
        <v>21.49</v>
      </c>
      <c r="J144">
        <v>45</v>
      </c>
      <c r="K144">
        <v>16.8</v>
      </c>
      <c r="L144">
        <v>501</v>
      </c>
      <c r="M144">
        <v>501</v>
      </c>
      <c r="N144">
        <f t="shared" si="40"/>
        <v>125.25</v>
      </c>
      <c r="P144">
        <v>30.258024000000002</v>
      </c>
      <c r="Q144">
        <f t="shared" si="41"/>
        <v>90.093543750000009</v>
      </c>
      <c r="R144">
        <f t="shared" si="45"/>
        <v>120.12472500000003</v>
      </c>
      <c r="S144">
        <v>638.96479999999997</v>
      </c>
      <c r="T144">
        <f t="shared" si="42"/>
        <v>3145.377825</v>
      </c>
      <c r="U144">
        <f t="shared" si="46"/>
        <v>4193.8370999999997</v>
      </c>
      <c r="V144">
        <v>37.032826408114261</v>
      </c>
      <c r="W144">
        <f t="shared" si="43"/>
        <v>120.52887276467163</v>
      </c>
      <c r="X144">
        <f t="shared" si="39"/>
        <v>160.70516368622884</v>
      </c>
      <c r="Y144">
        <v>1287.7871567213469</v>
      </c>
      <c r="Z144">
        <f t="shared" si="44"/>
        <v>3204.2063245404183</v>
      </c>
      <c r="AA144">
        <f t="shared" si="47"/>
        <v>4272.2750993872251</v>
      </c>
      <c r="AD144" t="s">
        <v>31</v>
      </c>
      <c r="AF144" t="s">
        <v>31</v>
      </c>
      <c r="AG144" t="s">
        <v>31</v>
      </c>
    </row>
    <row r="145" spans="1:33" x14ac:dyDescent="0.35">
      <c r="A145">
        <v>297</v>
      </c>
      <c r="B145" t="s">
        <v>126</v>
      </c>
      <c r="C145" t="s">
        <v>131</v>
      </c>
      <c r="D145" t="s">
        <v>22</v>
      </c>
      <c r="E145" t="s">
        <v>29</v>
      </c>
      <c r="F145">
        <v>2</v>
      </c>
      <c r="G145">
        <v>1</v>
      </c>
      <c r="H145" s="1">
        <v>21.07</v>
      </c>
      <c r="I145" s="1">
        <v>21.5</v>
      </c>
      <c r="J145">
        <v>43</v>
      </c>
      <c r="K145">
        <v>16.8</v>
      </c>
      <c r="L145">
        <v>307</v>
      </c>
      <c r="M145">
        <v>307</v>
      </c>
      <c r="N145">
        <f t="shared" si="40"/>
        <v>76.75</v>
      </c>
      <c r="P145">
        <v>139.74313050000001</v>
      </c>
      <c r="Q145">
        <f t="shared" si="41"/>
        <v>255.0076305</v>
      </c>
      <c r="R145">
        <f t="shared" si="45"/>
        <v>355.82460069767438</v>
      </c>
      <c r="S145">
        <v>785.44172000000003</v>
      </c>
      <c r="T145">
        <f t="shared" si="42"/>
        <v>1551.1049700000001</v>
      </c>
      <c r="U145">
        <f t="shared" si="46"/>
        <v>2164.3325162790698</v>
      </c>
      <c r="V145">
        <v>104.76649047212283</v>
      </c>
      <c r="W145">
        <f t="shared" si="43"/>
        <v>183.67887723388577</v>
      </c>
      <c r="X145">
        <f t="shared" si="39"/>
        <v>256.29610776821272</v>
      </c>
      <c r="Y145">
        <v>1934.1615952471388</v>
      </c>
      <c r="Z145">
        <f t="shared" si="44"/>
        <v>2574.4314068677513</v>
      </c>
      <c r="AA145">
        <f t="shared" si="47"/>
        <v>3592.2298700480251</v>
      </c>
      <c r="AD145" t="s">
        <v>31</v>
      </c>
      <c r="AF145" t="s">
        <v>31</v>
      </c>
      <c r="AG145" t="s">
        <v>31</v>
      </c>
    </row>
    <row r="146" spans="1:33" x14ac:dyDescent="0.35">
      <c r="A146">
        <v>298</v>
      </c>
      <c r="B146" t="s">
        <v>126</v>
      </c>
      <c r="C146" t="s">
        <v>131</v>
      </c>
      <c r="D146" t="s">
        <v>22</v>
      </c>
      <c r="E146" t="s">
        <v>29</v>
      </c>
      <c r="F146">
        <v>5</v>
      </c>
      <c r="G146">
        <v>1</v>
      </c>
      <c r="H146" s="1">
        <v>21.15</v>
      </c>
      <c r="I146" s="1">
        <v>21.52</v>
      </c>
      <c r="J146">
        <f>52-15</f>
        <v>37</v>
      </c>
      <c r="K146">
        <v>16.8</v>
      </c>
      <c r="L146">
        <v>472</v>
      </c>
      <c r="M146">
        <v>472</v>
      </c>
      <c r="N146">
        <f t="shared" si="40"/>
        <v>118</v>
      </c>
      <c r="P146">
        <v>65.216770499999996</v>
      </c>
      <c r="Q146">
        <f t="shared" si="41"/>
        <v>264.88727624999996</v>
      </c>
      <c r="R146">
        <f t="shared" si="45"/>
        <v>429.54693445945941</v>
      </c>
      <c r="S146">
        <v>497.24896000000001</v>
      </c>
      <c r="T146">
        <f t="shared" si="42"/>
        <v>2436.7986250000004</v>
      </c>
      <c r="U146">
        <f t="shared" si="46"/>
        <v>3951.5653378378379</v>
      </c>
      <c r="V146">
        <v>60.069872039982528</v>
      </c>
      <c r="W146">
        <f t="shared" si="43"/>
        <v>235.71410092401297</v>
      </c>
      <c r="X146">
        <f t="shared" si="39"/>
        <v>382.23908257948051</v>
      </c>
      <c r="Y146">
        <v>1124.8523960455043</v>
      </c>
      <c r="Z146">
        <f t="shared" si="44"/>
        <v>2389.5325211612048</v>
      </c>
      <c r="AA146">
        <f t="shared" si="47"/>
        <v>3874.9176018830349</v>
      </c>
      <c r="AD146" t="s">
        <v>31</v>
      </c>
      <c r="AF146" t="s">
        <v>31</v>
      </c>
      <c r="AG146" t="s">
        <v>31</v>
      </c>
    </row>
    <row r="147" spans="1:33" x14ac:dyDescent="0.35">
      <c r="A147">
        <v>299</v>
      </c>
      <c r="B147" t="s">
        <v>126</v>
      </c>
      <c r="C147" t="s">
        <v>131</v>
      </c>
      <c r="D147" t="s">
        <v>22</v>
      </c>
      <c r="E147" t="s">
        <v>29</v>
      </c>
      <c r="F147">
        <v>5</v>
      </c>
      <c r="G147">
        <v>1</v>
      </c>
      <c r="H147" s="1">
        <v>21.15</v>
      </c>
      <c r="I147" s="1">
        <v>21.53</v>
      </c>
      <c r="J147">
        <f>53-15</f>
        <v>38</v>
      </c>
      <c r="K147">
        <v>16.8</v>
      </c>
      <c r="L147">
        <v>575</v>
      </c>
      <c r="M147">
        <v>575</v>
      </c>
      <c r="N147">
        <f t="shared" si="40"/>
        <v>143.75</v>
      </c>
      <c r="P147">
        <v>74.777718000000007</v>
      </c>
      <c r="Q147">
        <f t="shared" si="41"/>
        <v>312.69201375</v>
      </c>
      <c r="R147">
        <f t="shared" si="45"/>
        <v>493.72423223684211</v>
      </c>
      <c r="S147">
        <v>464.16988000000003</v>
      </c>
      <c r="T147">
        <f t="shared" si="42"/>
        <v>2271.403225</v>
      </c>
      <c r="U147">
        <f t="shared" si="46"/>
        <v>3586.4261447368422</v>
      </c>
      <c r="V147">
        <v>71.042155629594021</v>
      </c>
      <c r="W147">
        <f t="shared" si="43"/>
        <v>290.57551887207046</v>
      </c>
      <c r="X147">
        <f t="shared" si="39"/>
        <v>458.80345085063755</v>
      </c>
      <c r="Y147">
        <v>1314.6020375575247</v>
      </c>
      <c r="Z147">
        <f t="shared" si="44"/>
        <v>3338.2807287213068</v>
      </c>
      <c r="AA147">
        <f t="shared" si="47"/>
        <v>5270.9695716652204</v>
      </c>
      <c r="AD147" t="s">
        <v>31</v>
      </c>
      <c r="AF147" t="s">
        <v>31</v>
      </c>
      <c r="AG147" t="s">
        <v>31</v>
      </c>
    </row>
    <row r="148" spans="1:33" x14ac:dyDescent="0.35">
      <c r="A148">
        <v>300</v>
      </c>
      <c r="B148" t="s">
        <v>126</v>
      </c>
      <c r="C148" t="s">
        <v>131</v>
      </c>
      <c r="D148" t="s">
        <v>24</v>
      </c>
      <c r="E148" t="s">
        <v>29</v>
      </c>
      <c r="F148">
        <v>5</v>
      </c>
      <c r="G148">
        <v>1</v>
      </c>
      <c r="H148" s="1">
        <v>21.16</v>
      </c>
      <c r="I148" s="1">
        <v>21.54</v>
      </c>
      <c r="J148">
        <f>54-16</f>
        <v>38</v>
      </c>
      <c r="K148">
        <v>16.8</v>
      </c>
      <c r="L148">
        <v>381</v>
      </c>
      <c r="M148">
        <v>381</v>
      </c>
      <c r="N148">
        <f t="shared" si="40"/>
        <v>95.25</v>
      </c>
      <c r="P148">
        <v>114.98272799999999</v>
      </c>
      <c r="Q148">
        <f t="shared" si="41"/>
        <v>513.71706374999997</v>
      </c>
      <c r="R148">
        <f t="shared" si="45"/>
        <v>811.13220592105256</v>
      </c>
      <c r="S148">
        <v>283.36605999999995</v>
      </c>
      <c r="T148">
        <f t="shared" si="42"/>
        <v>1367.3841249999998</v>
      </c>
      <c r="U148">
        <f t="shared" si="46"/>
        <v>2159.0275657894731</v>
      </c>
      <c r="V148">
        <v>113.64881528276068</v>
      </c>
      <c r="W148">
        <f t="shared" si="43"/>
        <v>503.60881713790371</v>
      </c>
      <c r="X148">
        <f t="shared" si="39"/>
        <v>795.17181653353225</v>
      </c>
      <c r="Y148">
        <v>1368.6862045235798</v>
      </c>
      <c r="Z148">
        <f t="shared" si="44"/>
        <v>3608.7015635515827</v>
      </c>
      <c r="AA148">
        <f t="shared" si="47"/>
        <v>5697.9498371867094</v>
      </c>
      <c r="AD148" t="s">
        <v>31</v>
      </c>
      <c r="AF148" t="s">
        <v>31</v>
      </c>
      <c r="AG148" t="s">
        <v>31</v>
      </c>
    </row>
    <row r="149" spans="1:33" x14ac:dyDescent="0.35">
      <c r="A149">
        <v>301</v>
      </c>
      <c r="B149" t="s">
        <v>126</v>
      </c>
      <c r="C149" t="s">
        <v>131</v>
      </c>
      <c r="D149" t="s">
        <v>22</v>
      </c>
      <c r="E149" t="s">
        <v>29</v>
      </c>
      <c r="F149">
        <v>5</v>
      </c>
      <c r="G149">
        <v>1</v>
      </c>
      <c r="H149" s="1">
        <v>21.21</v>
      </c>
      <c r="I149" s="1">
        <v>21.55</v>
      </c>
      <c r="J149">
        <f>55-21</f>
        <v>34</v>
      </c>
      <c r="K149">
        <v>16.8</v>
      </c>
      <c r="L149">
        <v>552</v>
      </c>
      <c r="M149">
        <v>552</v>
      </c>
      <c r="N149">
        <f t="shared" si="40"/>
        <v>138</v>
      </c>
      <c r="P149">
        <v>31.630877999999999</v>
      </c>
      <c r="Q149">
        <f t="shared" si="41"/>
        <v>96.957813749999985</v>
      </c>
      <c r="R149">
        <f t="shared" si="45"/>
        <v>171.10202426470585</v>
      </c>
      <c r="S149">
        <v>444.12945000000002</v>
      </c>
      <c r="T149">
        <f t="shared" si="42"/>
        <v>2171.2010749999999</v>
      </c>
      <c r="U149">
        <f t="shared" si="46"/>
        <v>3831.5313088235289</v>
      </c>
      <c r="V149">
        <v>42.82771211345019</v>
      </c>
      <c r="W149">
        <f t="shared" si="43"/>
        <v>149.50330129135128</v>
      </c>
      <c r="X149">
        <f t="shared" si="39"/>
        <v>263.82935522003169</v>
      </c>
      <c r="Y149">
        <v>1360.6295423034921</v>
      </c>
      <c r="Z149">
        <f t="shared" si="44"/>
        <v>3568.4182524511443</v>
      </c>
      <c r="AA149">
        <f t="shared" si="47"/>
        <v>6297.2086807961368</v>
      </c>
      <c r="AD149" t="s">
        <v>31</v>
      </c>
      <c r="AF149" t="s">
        <v>31</v>
      </c>
      <c r="AG149" t="s">
        <v>31</v>
      </c>
    </row>
    <row r="150" spans="1:33" x14ac:dyDescent="0.35">
      <c r="A150">
        <v>302</v>
      </c>
      <c r="B150" t="s">
        <v>126</v>
      </c>
      <c r="C150" t="s">
        <v>131</v>
      </c>
      <c r="D150" t="s">
        <v>62</v>
      </c>
      <c r="E150" t="s">
        <v>29</v>
      </c>
      <c r="F150">
        <v>6</v>
      </c>
      <c r="G150">
        <v>1</v>
      </c>
      <c r="H150" s="1">
        <v>21.25</v>
      </c>
      <c r="I150" s="1">
        <v>21.57</v>
      </c>
      <c r="J150">
        <f>57-25</f>
        <v>32</v>
      </c>
      <c r="K150">
        <v>16.8</v>
      </c>
      <c r="L150">
        <v>359</v>
      </c>
      <c r="M150">
        <v>359</v>
      </c>
      <c r="N150">
        <f t="shared" si="40"/>
        <v>89.75</v>
      </c>
      <c r="P150">
        <v>155.187738</v>
      </c>
      <c r="Q150">
        <f t="shared" si="41"/>
        <v>857.69053650000001</v>
      </c>
      <c r="R150">
        <f t="shared" si="45"/>
        <v>1608.1697559375</v>
      </c>
      <c r="S150">
        <v>210.69104999999999</v>
      </c>
      <c r="T150">
        <f t="shared" si="42"/>
        <v>1204.8108899999997</v>
      </c>
      <c r="U150">
        <f t="shared" si="46"/>
        <v>2259.0204187499994</v>
      </c>
      <c r="V150">
        <v>206.69948001024517</v>
      </c>
      <c r="W150">
        <f t="shared" si="43"/>
        <v>1162.6345689303914</v>
      </c>
      <c r="X150">
        <f t="shared" si="39"/>
        <v>2179.9398167444838</v>
      </c>
      <c r="Y150">
        <v>1659.6474692222439</v>
      </c>
      <c r="Z150">
        <f t="shared" si="44"/>
        <v>6076.2094644538838</v>
      </c>
      <c r="AA150">
        <f t="shared" si="47"/>
        <v>11392.892745851032</v>
      </c>
      <c r="AD150" t="s">
        <v>31</v>
      </c>
      <c r="AF150" t="s">
        <v>31</v>
      </c>
      <c r="AG150" t="s">
        <v>31</v>
      </c>
    </row>
    <row r="151" spans="1:33" x14ac:dyDescent="0.35">
      <c r="A151">
        <v>303</v>
      </c>
      <c r="B151" t="s">
        <v>126</v>
      </c>
      <c r="C151" t="s">
        <v>131</v>
      </c>
      <c r="D151" t="s">
        <v>22</v>
      </c>
      <c r="E151" t="s">
        <v>29</v>
      </c>
      <c r="F151">
        <v>5</v>
      </c>
      <c r="G151">
        <v>1</v>
      </c>
      <c r="H151" s="1">
        <v>21.29</v>
      </c>
      <c r="I151" s="1">
        <v>21.58</v>
      </c>
      <c r="J151">
        <f>58-29</f>
        <v>29</v>
      </c>
      <c r="K151">
        <v>16.8</v>
      </c>
      <c r="L151">
        <v>513</v>
      </c>
      <c r="M151">
        <v>513</v>
      </c>
      <c r="N151">
        <f t="shared" si="40"/>
        <v>128.25</v>
      </c>
      <c r="P151">
        <v>40.848612000000003</v>
      </c>
      <c r="Q151">
        <f t="shared" si="41"/>
        <v>143.04648375000002</v>
      </c>
      <c r="R151">
        <f t="shared" si="45"/>
        <v>295.95824224137931</v>
      </c>
      <c r="S151">
        <v>282.38280000000009</v>
      </c>
      <c r="T151">
        <f t="shared" si="42"/>
        <v>1362.4678250000006</v>
      </c>
      <c r="U151">
        <f t="shared" si="46"/>
        <v>2818.8989482758634</v>
      </c>
      <c r="V151">
        <v>42.780213050291707</v>
      </c>
      <c r="W151">
        <f t="shared" si="43"/>
        <v>149.26580597555886</v>
      </c>
      <c r="X151">
        <f t="shared" si="39"/>
        <v>308.8258054666735</v>
      </c>
      <c r="Y151">
        <v>1118.1381681281973</v>
      </c>
      <c r="Z151">
        <f t="shared" si="44"/>
        <v>2355.9613815746702</v>
      </c>
      <c r="AA151">
        <f t="shared" si="47"/>
        <v>4874.4028584303514</v>
      </c>
      <c r="AD151" t="s">
        <v>31</v>
      </c>
      <c r="AF151" t="s">
        <v>31</v>
      </c>
      <c r="AG151" t="s">
        <v>31</v>
      </c>
    </row>
    <row r="152" spans="1:33" x14ac:dyDescent="0.35">
      <c r="A152">
        <v>304</v>
      </c>
      <c r="B152" t="s">
        <v>126</v>
      </c>
      <c r="C152" t="s">
        <v>131</v>
      </c>
      <c r="D152" t="s">
        <v>22</v>
      </c>
      <c r="E152" t="s">
        <v>29</v>
      </c>
      <c r="F152">
        <v>5</v>
      </c>
      <c r="G152">
        <v>1</v>
      </c>
      <c r="H152" s="1">
        <v>21.3</v>
      </c>
      <c r="I152" s="1">
        <v>22</v>
      </c>
      <c r="J152">
        <v>30</v>
      </c>
      <c r="K152">
        <v>16.8</v>
      </c>
      <c r="L152">
        <v>380</v>
      </c>
      <c r="M152">
        <v>380</v>
      </c>
      <c r="N152">
        <f t="shared" si="40"/>
        <v>95</v>
      </c>
      <c r="P152">
        <v>40.260246000000002</v>
      </c>
      <c r="Q152">
        <f t="shared" si="41"/>
        <v>140.10465375000001</v>
      </c>
      <c r="R152">
        <f t="shared" si="45"/>
        <v>280.20930750000002</v>
      </c>
      <c r="S152">
        <v>378.44344999999998</v>
      </c>
      <c r="T152">
        <f t="shared" si="42"/>
        <v>1842.7710750000001</v>
      </c>
      <c r="U152">
        <f t="shared" si="46"/>
        <v>3685.5421500000002</v>
      </c>
      <c r="V152">
        <v>43.207704618718118</v>
      </c>
      <c r="W152">
        <f t="shared" si="43"/>
        <v>151.40326381769091</v>
      </c>
      <c r="X152">
        <f t="shared" si="39"/>
        <v>302.80652763538183</v>
      </c>
      <c r="Y152">
        <v>1256.3860735020075</v>
      </c>
      <c r="Z152">
        <f t="shared" si="44"/>
        <v>3047.2009084437213</v>
      </c>
      <c r="AA152">
        <f t="shared" si="47"/>
        <v>6094.4018168874427</v>
      </c>
      <c r="AD152" t="s">
        <v>31</v>
      </c>
      <c r="AF152" t="s">
        <v>31</v>
      </c>
      <c r="AG152" t="s">
        <v>31</v>
      </c>
    </row>
    <row r="153" spans="1:33" x14ac:dyDescent="0.35">
      <c r="A153">
        <v>305</v>
      </c>
      <c r="B153" t="s">
        <v>126</v>
      </c>
      <c r="C153" t="s">
        <v>131</v>
      </c>
      <c r="D153" t="s">
        <v>22</v>
      </c>
      <c r="E153" t="s">
        <v>29</v>
      </c>
      <c r="F153">
        <v>5</v>
      </c>
      <c r="G153">
        <v>1</v>
      </c>
      <c r="H153" s="1">
        <v>21.32</v>
      </c>
      <c r="I153" s="1">
        <v>22.02</v>
      </c>
      <c r="J153">
        <v>30</v>
      </c>
      <c r="K153">
        <v>16.8</v>
      </c>
      <c r="L153">
        <v>405</v>
      </c>
      <c r="M153">
        <v>405</v>
      </c>
      <c r="N153">
        <f t="shared" si="40"/>
        <v>101.25</v>
      </c>
      <c r="P153">
        <v>32.611488000000001</v>
      </c>
      <c r="Q153">
        <f t="shared" si="41"/>
        <v>101.86086375000001</v>
      </c>
      <c r="R153">
        <f t="shared" si="45"/>
        <v>203.72172750000001</v>
      </c>
      <c r="S153">
        <v>435.79056000000003</v>
      </c>
      <c r="T153">
        <f t="shared" si="42"/>
        <v>2129.506625</v>
      </c>
      <c r="U153">
        <f t="shared" si="46"/>
        <v>4259.01325</v>
      </c>
      <c r="V153">
        <v>40.262762702891671</v>
      </c>
      <c r="W153">
        <f t="shared" si="43"/>
        <v>136.67855423855869</v>
      </c>
      <c r="X153">
        <f t="shared" si="39"/>
        <v>273.35710847711738</v>
      </c>
      <c r="Y153">
        <v>1173.2398334071531</v>
      </c>
      <c r="Z153">
        <f t="shared" si="44"/>
        <v>2631.4697079694492</v>
      </c>
      <c r="AA153">
        <f t="shared" si="47"/>
        <v>5262.9394159388985</v>
      </c>
      <c r="AD153" t="s">
        <v>31</v>
      </c>
      <c r="AF153" t="s">
        <v>31</v>
      </c>
      <c r="AG153" t="s">
        <v>31</v>
      </c>
    </row>
    <row r="154" spans="1:33" x14ac:dyDescent="0.35">
      <c r="A154">
        <v>306</v>
      </c>
      <c r="B154" t="s">
        <v>126</v>
      </c>
      <c r="C154" t="s">
        <v>131</v>
      </c>
      <c r="D154" t="s">
        <v>22</v>
      </c>
      <c r="E154" t="s">
        <v>29</v>
      </c>
      <c r="F154">
        <v>2</v>
      </c>
      <c r="G154">
        <v>1</v>
      </c>
      <c r="H154" s="1">
        <v>21.34</v>
      </c>
      <c r="I154" s="1">
        <v>22.03</v>
      </c>
      <c r="J154">
        <v>29</v>
      </c>
      <c r="K154">
        <v>16.8</v>
      </c>
      <c r="L154">
        <v>243</v>
      </c>
      <c r="M154">
        <v>243</v>
      </c>
      <c r="N154">
        <f t="shared" si="40"/>
        <v>60.75</v>
      </c>
      <c r="P154">
        <v>87.57467849999999</v>
      </c>
      <c r="Q154">
        <f t="shared" si="41"/>
        <v>150.67072649999997</v>
      </c>
      <c r="R154">
        <f t="shared" si="45"/>
        <v>311.73253758620683</v>
      </c>
      <c r="S154">
        <v>580.77488000000005</v>
      </c>
      <c r="T154">
        <f t="shared" si="42"/>
        <v>1141.7712900000001</v>
      </c>
      <c r="U154">
        <f t="shared" si="46"/>
        <v>2362.2854275862073</v>
      </c>
      <c r="V154">
        <v>71.612144387495917</v>
      </c>
      <c r="W154">
        <f t="shared" si="43"/>
        <v>117.37018506463197</v>
      </c>
      <c r="X154">
        <f t="shared" si="39"/>
        <v>242.83486565096271</v>
      </c>
      <c r="Y154">
        <v>1341.5661723494559</v>
      </c>
      <c r="Z154">
        <f t="shared" si="44"/>
        <v>1389.2405610723852</v>
      </c>
      <c r="AA154">
        <f t="shared" si="47"/>
        <v>2874.2908160118313</v>
      </c>
      <c r="AD154" t="s">
        <v>31</v>
      </c>
      <c r="AF154" t="s">
        <v>31</v>
      </c>
      <c r="AG154" t="s">
        <v>31</v>
      </c>
    </row>
    <row r="155" spans="1:33" x14ac:dyDescent="0.35">
      <c r="A155">
        <v>307</v>
      </c>
      <c r="B155" t="s">
        <v>126</v>
      </c>
      <c r="C155" t="s">
        <v>131</v>
      </c>
      <c r="D155" t="s">
        <v>22</v>
      </c>
      <c r="E155" t="s">
        <v>29</v>
      </c>
      <c r="F155">
        <v>5</v>
      </c>
      <c r="G155">
        <v>1</v>
      </c>
      <c r="H155" s="1">
        <v>21.38</v>
      </c>
      <c r="I155" s="1">
        <v>22.04</v>
      </c>
      <c r="J155">
        <v>26</v>
      </c>
      <c r="K155">
        <v>16.8</v>
      </c>
      <c r="L155">
        <v>376</v>
      </c>
      <c r="M155">
        <v>376</v>
      </c>
      <c r="N155">
        <f t="shared" si="40"/>
        <v>94</v>
      </c>
      <c r="P155">
        <v>34.376586000000003</v>
      </c>
      <c r="Q155">
        <f t="shared" si="41"/>
        <v>110.68635375000001</v>
      </c>
      <c r="R155">
        <f t="shared" si="45"/>
        <v>255.43004711538464</v>
      </c>
      <c r="S155">
        <v>309.29865000000001</v>
      </c>
      <c r="T155">
        <f t="shared" si="42"/>
        <v>1497.0470750000002</v>
      </c>
      <c r="U155">
        <f t="shared" si="46"/>
        <v>3454.7240192307695</v>
      </c>
      <c r="V155">
        <v>35.75035170283499</v>
      </c>
      <c r="W155">
        <f t="shared" si="43"/>
        <v>114.11649923827528</v>
      </c>
      <c r="X155">
        <f t="shared" si="39"/>
        <v>263.34576747294295</v>
      </c>
      <c r="Y155">
        <v>1086.5371698531333</v>
      </c>
      <c r="Z155">
        <f t="shared" si="44"/>
        <v>2197.9563901993497</v>
      </c>
      <c r="AA155">
        <f t="shared" si="47"/>
        <v>5072.2070543061918</v>
      </c>
      <c r="AD155" t="s">
        <v>31</v>
      </c>
      <c r="AF155" t="s">
        <v>31</v>
      </c>
      <c r="AG155" t="s">
        <v>31</v>
      </c>
    </row>
    <row r="156" spans="1:33" x14ac:dyDescent="0.35">
      <c r="A156">
        <v>308</v>
      </c>
      <c r="B156" t="s">
        <v>126</v>
      </c>
      <c r="C156" t="s">
        <v>131</v>
      </c>
      <c r="D156" t="s">
        <v>22</v>
      </c>
      <c r="E156" t="s">
        <v>29</v>
      </c>
      <c r="F156">
        <v>5</v>
      </c>
      <c r="G156">
        <v>1</v>
      </c>
      <c r="H156" s="1">
        <v>21.4</v>
      </c>
      <c r="I156" s="1">
        <v>22.05</v>
      </c>
      <c r="J156">
        <v>25</v>
      </c>
      <c r="K156">
        <v>16.8</v>
      </c>
      <c r="L156">
        <v>380</v>
      </c>
      <c r="M156">
        <v>380</v>
      </c>
      <c r="N156">
        <f t="shared" si="40"/>
        <v>95</v>
      </c>
      <c r="P156">
        <v>24.325333500000003</v>
      </c>
      <c r="Q156">
        <f t="shared" si="41"/>
        <v>60.430091250000011</v>
      </c>
      <c r="R156">
        <f t="shared" si="45"/>
        <v>145.03221900000003</v>
      </c>
      <c r="S156">
        <v>405.60364000000004</v>
      </c>
      <c r="T156">
        <f t="shared" si="42"/>
        <v>1978.5720250000004</v>
      </c>
      <c r="U156">
        <f t="shared" si="46"/>
        <v>4748.5728600000011</v>
      </c>
      <c r="V156">
        <v>26.820527829038635</v>
      </c>
      <c r="W156">
        <f t="shared" si="43"/>
        <v>69.467379869293509</v>
      </c>
      <c r="X156">
        <f t="shared" si="39"/>
        <v>166.72171168630442</v>
      </c>
      <c r="Y156">
        <v>1075.9986980616579</v>
      </c>
      <c r="Z156">
        <f t="shared" si="44"/>
        <v>2145.264031241973</v>
      </c>
      <c r="AA156">
        <f t="shared" si="47"/>
        <v>5148.633674980736</v>
      </c>
      <c r="AD156" t="s">
        <v>31</v>
      </c>
      <c r="AF156" t="s">
        <v>31</v>
      </c>
      <c r="AG156" t="s">
        <v>31</v>
      </c>
    </row>
    <row r="157" spans="1:33" x14ac:dyDescent="0.35">
      <c r="A157">
        <v>309</v>
      </c>
      <c r="B157" t="s">
        <v>126</v>
      </c>
      <c r="C157" t="s">
        <v>131</v>
      </c>
      <c r="D157" t="s">
        <v>22</v>
      </c>
      <c r="E157" t="s">
        <v>29</v>
      </c>
      <c r="F157">
        <v>5</v>
      </c>
      <c r="G157">
        <v>1</v>
      </c>
      <c r="H157" s="1">
        <v>21.41</v>
      </c>
      <c r="I157" s="1">
        <v>22.06</v>
      </c>
      <c r="J157">
        <v>25</v>
      </c>
      <c r="K157">
        <v>16.8</v>
      </c>
      <c r="L157">
        <v>260</v>
      </c>
      <c r="M157">
        <v>260</v>
      </c>
      <c r="N157">
        <f t="shared" si="40"/>
        <v>65</v>
      </c>
      <c r="P157">
        <v>25.404004499999999</v>
      </c>
      <c r="Q157">
        <f t="shared" si="41"/>
        <v>65.823446249999989</v>
      </c>
      <c r="R157">
        <f t="shared" si="45"/>
        <v>157.97627099999997</v>
      </c>
      <c r="S157">
        <v>437.59815999999989</v>
      </c>
      <c r="T157">
        <f t="shared" si="42"/>
        <v>2138.5446249999995</v>
      </c>
      <c r="U157">
        <f t="shared" si="46"/>
        <v>5132.5070999999989</v>
      </c>
      <c r="V157">
        <v>45.012669018740795</v>
      </c>
      <c r="W157">
        <f t="shared" si="43"/>
        <v>160.42808581780432</v>
      </c>
      <c r="X157">
        <f t="shared" si="39"/>
        <v>385.02740596273037</v>
      </c>
      <c r="Y157">
        <v>1185.774883838094</v>
      </c>
      <c r="Z157">
        <f t="shared" si="44"/>
        <v>2694.1449601241534</v>
      </c>
      <c r="AA157">
        <f t="shared" si="47"/>
        <v>6465.9479042979683</v>
      </c>
      <c r="AD157" t="s">
        <v>31</v>
      </c>
      <c r="AF157" t="s">
        <v>31</v>
      </c>
      <c r="AG157" t="s">
        <v>31</v>
      </c>
    </row>
    <row r="158" spans="1:33" x14ac:dyDescent="0.35">
      <c r="A158">
        <v>310</v>
      </c>
      <c r="B158" t="s">
        <v>126</v>
      </c>
      <c r="C158" t="s">
        <v>131</v>
      </c>
      <c r="D158" t="s">
        <v>22</v>
      </c>
      <c r="E158" t="s">
        <v>29</v>
      </c>
      <c r="F158">
        <v>4</v>
      </c>
      <c r="G158">
        <v>1</v>
      </c>
      <c r="H158" s="1">
        <v>21.43</v>
      </c>
      <c r="I158" s="1">
        <v>22.08</v>
      </c>
      <c r="J158">
        <f>8+17</f>
        <v>25</v>
      </c>
      <c r="K158">
        <v>16.8</v>
      </c>
      <c r="L158">
        <v>312</v>
      </c>
      <c r="M158">
        <v>312</v>
      </c>
      <c r="N158">
        <f t="shared" si="40"/>
        <v>78</v>
      </c>
      <c r="P158">
        <v>25.2078825</v>
      </c>
      <c r="Q158">
        <f t="shared" si="41"/>
        <v>51.874268999999998</v>
      </c>
      <c r="R158">
        <f t="shared" ref="R158:R160" si="48">(Q158/J158*60)/G158</f>
        <v>124.49824559999999</v>
      </c>
      <c r="S158">
        <v>305.62112000000002</v>
      </c>
      <c r="T158">
        <f t="shared" si="42"/>
        <v>1182.9275400000001</v>
      </c>
      <c r="U158">
        <f t="shared" ref="U158:U160" si="49">(T158/J158*60)/G158</f>
        <v>2839.0260960000005</v>
      </c>
      <c r="V158">
        <v>30.857948197510396</v>
      </c>
      <c r="W158">
        <f t="shared" si="43"/>
        <v>71.723585369321853</v>
      </c>
      <c r="X158">
        <f t="shared" si="39"/>
        <v>172.13660488637245</v>
      </c>
      <c r="Y158">
        <v>1137.4643033798097</v>
      </c>
      <c r="Z158">
        <f t="shared" si="44"/>
        <v>1962.0736462661857</v>
      </c>
      <c r="AA158">
        <f t="shared" si="47"/>
        <v>4708.9767510388456</v>
      </c>
      <c r="AD158" t="s">
        <v>31</v>
      </c>
      <c r="AF158" t="s">
        <v>31</v>
      </c>
      <c r="AG158" t="s">
        <v>31</v>
      </c>
    </row>
    <row r="159" spans="1:33" x14ac:dyDescent="0.35">
      <c r="A159">
        <v>311</v>
      </c>
      <c r="B159" t="s">
        <v>126</v>
      </c>
      <c r="C159" t="s">
        <v>131</v>
      </c>
      <c r="D159" t="s">
        <v>63</v>
      </c>
      <c r="E159" t="s">
        <v>29</v>
      </c>
      <c r="F159">
        <v>4</v>
      </c>
      <c r="G159">
        <v>1</v>
      </c>
      <c r="H159" s="1">
        <v>23.21</v>
      </c>
      <c r="I159" s="1">
        <v>0.09</v>
      </c>
      <c r="J159">
        <v>48</v>
      </c>
      <c r="K159">
        <v>16.8</v>
      </c>
      <c r="L159" t="s">
        <v>31</v>
      </c>
      <c r="M159" t="s">
        <v>31</v>
      </c>
      <c r="N159" t="s">
        <v>31</v>
      </c>
      <c r="P159">
        <v>13.342501499999999</v>
      </c>
      <c r="Q159">
        <f t="shared" si="41"/>
        <v>4.4127449999999939</v>
      </c>
      <c r="R159">
        <f t="shared" si="48"/>
        <v>5.5159312499999924</v>
      </c>
      <c r="S159">
        <v>12.649350000000002</v>
      </c>
      <c r="T159">
        <f t="shared" si="42"/>
        <v>11.040460000000003</v>
      </c>
      <c r="U159">
        <f t="shared" si="49"/>
        <v>13.800575000000004</v>
      </c>
      <c r="V159">
        <v>13.805784523612024</v>
      </c>
      <c r="W159">
        <f t="shared" si="43"/>
        <v>3.5149306737283581</v>
      </c>
      <c r="X159" t="s">
        <v>31</v>
      </c>
      <c r="Y159">
        <v>676.78720624508287</v>
      </c>
      <c r="Z159">
        <f t="shared" si="44"/>
        <v>119.36525772727828</v>
      </c>
      <c r="AA159">
        <f t="shared" si="47"/>
        <v>149.20657215909785</v>
      </c>
      <c r="AD159" t="s">
        <v>31</v>
      </c>
      <c r="AF159" t="s">
        <v>31</v>
      </c>
      <c r="AG159" t="s">
        <v>31</v>
      </c>
    </row>
    <row r="160" spans="1:33" x14ac:dyDescent="0.35">
      <c r="A160">
        <v>312</v>
      </c>
      <c r="B160" t="s">
        <v>126</v>
      </c>
      <c r="C160" t="s">
        <v>131</v>
      </c>
      <c r="D160" t="s">
        <v>64</v>
      </c>
      <c r="E160" t="s">
        <v>65</v>
      </c>
      <c r="F160">
        <v>0.3</v>
      </c>
      <c r="G160">
        <v>1</v>
      </c>
      <c r="H160" s="1">
        <v>23.2</v>
      </c>
      <c r="I160" s="1">
        <v>0.09</v>
      </c>
      <c r="J160">
        <v>49</v>
      </c>
      <c r="K160">
        <v>16.8</v>
      </c>
      <c r="L160" t="s">
        <v>31</v>
      </c>
      <c r="M160" t="s">
        <v>31</v>
      </c>
      <c r="N160" t="s">
        <v>31</v>
      </c>
      <c r="P160">
        <v>11.136129</v>
      </c>
      <c r="Q160">
        <f t="shared" si="41"/>
        <v>-0.33095587500000007</v>
      </c>
      <c r="R160">
        <f t="shared" si="48"/>
        <v>-0.40525209183673477</v>
      </c>
      <c r="S160">
        <v>7.1291200000000003</v>
      </c>
      <c r="T160">
        <f t="shared" si="42"/>
        <v>-0.82803450000000023</v>
      </c>
      <c r="U160">
        <f t="shared" si="49"/>
        <v>-1.0139197959183675</v>
      </c>
      <c r="V160">
        <v>12.048319186747845</v>
      </c>
      <c r="W160">
        <f t="shared" si="43"/>
        <v>-0.26361980052962686</v>
      </c>
      <c r="X160" t="s">
        <v>31</v>
      </c>
      <c r="Y160">
        <v>617.10457738144373</v>
      </c>
      <c r="Z160">
        <f t="shared" si="44"/>
        <v>-8.9523943295458697</v>
      </c>
      <c r="AA160">
        <f t="shared" si="47"/>
        <v>-10.962115505566372</v>
      </c>
      <c r="AD160" t="s">
        <v>31</v>
      </c>
      <c r="AF160" t="s">
        <v>31</v>
      </c>
      <c r="AG160" t="s">
        <v>31</v>
      </c>
    </row>
  </sheetData>
  <autoFilter ref="A1:CJ160" xr:uid="{4782880F-19F5-4C97-B687-8149361B0730}"/>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Fishing and Environmental data</vt:lpstr>
      <vt:lpstr>Fish and mussel sampling</vt:lpstr>
      <vt:lpstr>Fish_biomass_estimates</vt:lpstr>
      <vt:lpstr>Dreissenid_biomass_estimates</vt:lpstr>
      <vt:lpstr>WesternBasin_biomass</vt:lpstr>
      <vt:lpstr>Column headings</vt:lpstr>
      <vt:lpstr>21 08 26 Lake Erie 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Klemet</dc:creator>
  <cp:lastModifiedBy>Sandra Klemet-N'guessan</cp:lastModifiedBy>
  <cp:lastPrinted>2021-09-10T13:54:37Z</cp:lastPrinted>
  <dcterms:created xsi:type="dcterms:W3CDTF">2021-08-15T00:14:16Z</dcterms:created>
  <dcterms:modified xsi:type="dcterms:W3CDTF">2024-02-20T16:10:26Z</dcterms:modified>
</cp:coreProperties>
</file>