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10.16.12.14\AssessoriaInvestimentos\INTELIGÊNCIA DE MERCADO\Indicadores de Churning\"/>
    </mc:Choice>
  </mc:AlternateContent>
  <xr:revisionPtr revIDLastSave="0" documentId="13_ncr:1_{EB3F28AF-2217-485C-88EB-E2C91F9AD7F7}" xr6:coauthVersionLast="47" xr6:coauthVersionMax="47" xr10:uidLastSave="{00000000-0000-0000-0000-000000000000}"/>
  <bookViews>
    <workbookView xWindow="28680" yWindow="-120" windowWidth="29040" windowHeight="15720" tabRatio="772" xr2:uid="{00000000-000D-0000-FFFF-FFFF00000000}"/>
  </bookViews>
  <sheets>
    <sheet name="IPREM" sheetId="1" r:id="rId1"/>
    <sheet name="FUNPREV" sheetId="4" r:id="rId2"/>
    <sheet name="FUNFIN" sheetId="5" r:id="rId3"/>
    <sheet name="Churning" sheetId="8" r:id="rId4"/>
    <sheet name="PL Carteira" sheetId="6" r:id="rId5"/>
    <sheet name="Legenda" sheetId="7" r:id="rId6"/>
    <sheet name="Legislação" sheetId="11" r:id="rId7"/>
    <sheet name=" PL Fundo" sheetId="10" r:id="rId8"/>
  </sheets>
  <definedNames>
    <definedName name="_xlnm.Print_Area" localSheetId="2">FUNFIN!$A$1:$O$28</definedName>
    <definedName name="_xlnm.Print_Area" localSheetId="1">FUNPREV!$A$1:$O$28</definedName>
    <definedName name="_xlnm.Print_Area" localSheetId="0">IPREM!$A$1:$O$27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D24" i="1"/>
  <c r="C24" i="1"/>
  <c r="G24" i="5"/>
  <c r="D24" i="5"/>
  <c r="C24" i="5"/>
  <c r="C24" i="4"/>
  <c r="N24" i="1"/>
  <c r="F25" i="4"/>
  <c r="K23" i="5"/>
  <c r="J22" i="5"/>
  <c r="J23" i="5"/>
  <c r="T17" i="8" s="1"/>
  <c r="H23" i="1"/>
  <c r="G23" i="1"/>
  <c r="F23" i="1"/>
  <c r="F25" i="1" s="1"/>
  <c r="F25" i="5"/>
  <c r="L22" i="5" s="1"/>
  <c r="G24" i="1"/>
  <c r="C5" i="8"/>
  <c r="B7" i="8"/>
  <c r="B5" i="8"/>
  <c r="T7" i="8"/>
  <c r="T6" i="8"/>
  <c r="T5" i="8"/>
  <c r="T18" i="8"/>
  <c r="T16" i="8"/>
  <c r="S7" i="8"/>
  <c r="S6" i="8"/>
  <c r="S5" i="8"/>
  <c r="D25" i="5"/>
  <c r="H23" i="5"/>
  <c r="M23" i="5"/>
  <c r="C25" i="5"/>
  <c r="D24" i="4"/>
  <c r="D25" i="4"/>
  <c r="I23" i="4"/>
  <c r="L23" i="4"/>
  <c r="M23" i="4"/>
  <c r="N23" i="4"/>
  <c r="C25" i="4"/>
  <c r="K23" i="4"/>
  <c r="D25" i="1"/>
  <c r="C25" i="1"/>
  <c r="E25" i="5"/>
  <c r="I23" i="5" s="1"/>
  <c r="E25" i="4"/>
  <c r="G23" i="4" s="1"/>
  <c r="H22" i="4"/>
  <c r="H22" i="5"/>
  <c r="K22" i="5"/>
  <c r="F22" i="4"/>
  <c r="F23" i="4"/>
  <c r="F21" i="4"/>
  <c r="E25" i="1"/>
  <c r="F22" i="1"/>
  <c r="F22" i="5"/>
  <c r="F23" i="5"/>
  <c r="F18" i="5"/>
  <c r="F19" i="5"/>
  <c r="F20" i="5"/>
  <c r="F21" i="5"/>
  <c r="F20" i="4"/>
  <c r="F21" i="1"/>
  <c r="F19" i="4"/>
  <c r="F20" i="1"/>
  <c r="F19" i="1"/>
  <c r="F17" i="4"/>
  <c r="F18" i="4"/>
  <c r="D18" i="5"/>
  <c r="F18" i="1"/>
  <c r="F17" i="5"/>
  <c r="D17" i="5"/>
  <c r="F17" i="1"/>
  <c r="L23" i="5" l="1"/>
  <c r="N23" i="5"/>
  <c r="M22" i="5"/>
  <c r="I23" i="1"/>
  <c r="J22" i="1"/>
  <c r="S18" i="8" s="1"/>
  <c r="H21" i="1"/>
  <c r="G22" i="1"/>
  <c r="I22" i="1"/>
  <c r="H22" i="1"/>
  <c r="H23" i="4"/>
  <c r="J23" i="4"/>
  <c r="J22" i="4"/>
  <c r="G22" i="4"/>
  <c r="H21" i="5"/>
  <c r="S17" i="8"/>
  <c r="G22" i="5"/>
  <c r="G23" i="5"/>
  <c r="I22" i="5"/>
  <c r="N22" i="5"/>
  <c r="K23" i="1"/>
  <c r="L23" i="1"/>
  <c r="M23" i="1"/>
  <c r="N23" i="1"/>
  <c r="K22" i="1"/>
  <c r="L22" i="1"/>
  <c r="H21" i="4"/>
  <c r="I22" i="4"/>
  <c r="N22" i="1"/>
  <c r="M22" i="1"/>
  <c r="H20" i="4"/>
  <c r="J21" i="4"/>
  <c r="R16" i="8" s="1"/>
  <c r="I21" i="4"/>
  <c r="R5" i="8" s="1"/>
  <c r="J21" i="5"/>
  <c r="R17" i="8" s="1"/>
  <c r="G21" i="5"/>
  <c r="H20" i="5"/>
  <c r="I21" i="5"/>
  <c r="R6" i="8" s="1"/>
  <c r="G21" i="4"/>
  <c r="J21" i="1"/>
  <c r="R18" i="8" s="1"/>
  <c r="I21" i="1"/>
  <c r="R7" i="8" s="1"/>
  <c r="I20" i="1"/>
  <c r="Q7" i="8" s="1"/>
  <c r="G21" i="1"/>
  <c r="G19" i="5"/>
  <c r="I17" i="5"/>
  <c r="N6" i="8" s="1"/>
  <c r="H19" i="5"/>
  <c r="J20" i="5"/>
  <c r="Q17" i="8" s="1"/>
  <c r="I20" i="5"/>
  <c r="Q6" i="8" s="1"/>
  <c r="G20" i="5"/>
  <c r="I20" i="4"/>
  <c r="Q5" i="8" s="1"/>
  <c r="I18" i="1"/>
  <c r="O7" i="8" s="1"/>
  <c r="J20" i="4"/>
  <c r="Q16" i="8" s="1"/>
  <c r="H19" i="4"/>
  <c r="G20" i="4"/>
  <c r="H20" i="1"/>
  <c r="J20" i="1"/>
  <c r="Q18" i="8" s="1"/>
  <c r="G20" i="1"/>
  <c r="J19" i="5"/>
  <c r="P17" i="8" s="1"/>
  <c r="I19" i="5"/>
  <c r="P6" i="8" s="1"/>
  <c r="J19" i="4"/>
  <c r="P16" i="8" s="1"/>
  <c r="I19" i="4"/>
  <c r="P5" i="8" s="1"/>
  <c r="G19" i="4"/>
  <c r="H18" i="4"/>
  <c r="J18" i="5"/>
  <c r="O17" i="8" s="1"/>
  <c r="I18" i="5"/>
  <c r="O6" i="8" s="1"/>
  <c r="G17" i="5"/>
  <c r="H18" i="5"/>
  <c r="J19" i="1"/>
  <c r="H17" i="5"/>
  <c r="G18" i="5"/>
  <c r="G19" i="1"/>
  <c r="I19" i="1"/>
  <c r="P7" i="8" s="1"/>
  <c r="H19" i="1"/>
  <c r="J17" i="5"/>
  <c r="N17" i="8" s="1"/>
  <c r="H17" i="4"/>
  <c r="J18" i="4"/>
  <c r="O16" i="8" s="1"/>
  <c r="G18" i="4"/>
  <c r="I18" i="4"/>
  <c r="O5" i="8" s="1"/>
  <c r="H18" i="1"/>
  <c r="J18" i="1"/>
  <c r="O18" i="8" s="1"/>
  <c r="G18" i="1"/>
  <c r="J17" i="4"/>
  <c r="N16" i="8" s="1"/>
  <c r="G17" i="4"/>
  <c r="I17" i="4"/>
  <c r="N5" i="8" s="1"/>
  <c r="F15" i="5"/>
  <c r="F16" i="5"/>
  <c r="F16" i="4"/>
  <c r="F16" i="1"/>
  <c r="D16" i="1"/>
  <c r="C16" i="1"/>
  <c r="S16" i="8" l="1"/>
  <c r="P18" i="8"/>
  <c r="D15" i="5"/>
  <c r="C15" i="5"/>
  <c r="F15" i="4"/>
  <c r="F15" i="1"/>
  <c r="V3" i="10"/>
  <c r="X13" i="10"/>
  <c r="V13" i="10"/>
  <c r="S13" i="10"/>
  <c r="Q13" i="10"/>
  <c r="O13" i="10"/>
  <c r="I13" i="10"/>
  <c r="L13" i="10"/>
  <c r="H13" i="10"/>
  <c r="B27" i="4"/>
  <c r="B28" i="5"/>
  <c r="D14" i="5" l="1"/>
  <c r="C14" i="5"/>
  <c r="D14" i="4"/>
  <c r="C14" i="4"/>
  <c r="D14" i="1"/>
  <c r="C14" i="1"/>
  <c r="C14" i="6"/>
  <c r="K12" i="10"/>
  <c r="L12" i="10" s="1"/>
  <c r="F14" i="6" s="1"/>
  <c r="H12" i="10"/>
  <c r="R12" i="10"/>
  <c r="S12" i="10" s="1"/>
  <c r="N12" i="10"/>
  <c r="P12" i="10"/>
  <c r="Q12" i="10" s="1"/>
  <c r="O14" i="6" s="1"/>
  <c r="F14" i="4" s="1"/>
  <c r="W12" i="10"/>
  <c r="X12" i="10" s="1"/>
  <c r="X14" i="6" s="1"/>
  <c r="U12" i="10"/>
  <c r="V12" i="10" s="1"/>
  <c r="U14" i="6" s="1"/>
  <c r="F14" i="1" s="1"/>
  <c r="E14" i="6"/>
  <c r="I12" i="10"/>
  <c r="O12" i="10"/>
  <c r="F14" i="5" l="1"/>
  <c r="X3" i="10"/>
  <c r="X5" i="10" l="1"/>
  <c r="X7" i="6" s="1"/>
  <c r="X6" i="10"/>
  <c r="X8" i="6" s="1"/>
  <c r="X7" i="10"/>
  <c r="X9" i="6" s="1"/>
  <c r="X8" i="10"/>
  <c r="X10" i="6" s="1"/>
  <c r="X9" i="10"/>
  <c r="X11" i="6" s="1"/>
  <c r="X10" i="10"/>
  <c r="X12" i="6" s="1"/>
  <c r="X11" i="10"/>
  <c r="X13" i="6" s="1"/>
  <c r="X4" i="10"/>
  <c r="X6" i="6" s="1"/>
  <c r="V4" i="10"/>
  <c r="U6" i="6" s="1"/>
  <c r="V5" i="10"/>
  <c r="U7" i="6" s="1"/>
  <c r="V6" i="10"/>
  <c r="U8" i="6" s="1"/>
  <c r="F8" i="1" s="1"/>
  <c r="V7" i="10"/>
  <c r="U9" i="6" s="1"/>
  <c r="V8" i="10"/>
  <c r="U10" i="6" s="1"/>
  <c r="V9" i="10"/>
  <c r="U11" i="6" s="1"/>
  <c r="V10" i="10"/>
  <c r="U12" i="6" s="1"/>
  <c r="F12" i="1" s="1"/>
  <c r="V11" i="10"/>
  <c r="U13" i="6" s="1"/>
  <c r="F13" i="1" s="1"/>
  <c r="U5" i="6"/>
  <c r="Q3" i="10"/>
  <c r="O5" i="6" s="1"/>
  <c r="S11" i="10"/>
  <c r="S10" i="10"/>
  <c r="O11" i="10"/>
  <c r="O10" i="10"/>
  <c r="O9" i="10"/>
  <c r="O8" i="10"/>
  <c r="O5" i="10"/>
  <c r="O4" i="10"/>
  <c r="O3" i="10"/>
  <c r="L11" i="10"/>
  <c r="F13" i="6" s="1"/>
  <c r="L10" i="10"/>
  <c r="Q11" i="10"/>
  <c r="O13" i="6" s="1"/>
  <c r="I11" i="10"/>
  <c r="F10" i="1" l="1"/>
  <c r="F6" i="1"/>
  <c r="F5" i="1"/>
  <c r="F7" i="1"/>
  <c r="F9" i="1"/>
  <c r="F11" i="1"/>
  <c r="L10" i="6"/>
  <c r="L13" i="6"/>
  <c r="F13" i="4" s="1"/>
  <c r="C13" i="6"/>
  <c r="F13" i="5" s="1"/>
  <c r="Q10" i="10"/>
  <c r="O12" i="6" s="1"/>
  <c r="L12" i="6"/>
  <c r="F12" i="6"/>
  <c r="I10" i="10"/>
  <c r="C12" i="6" s="1"/>
  <c r="Q9" i="10"/>
  <c r="O11" i="6" s="1"/>
  <c r="L11" i="6"/>
  <c r="Q8" i="10"/>
  <c r="O10" i="6" s="1"/>
  <c r="I9" i="10"/>
  <c r="C11" i="6" s="1"/>
  <c r="F11" i="5" s="1"/>
  <c r="I8" i="10"/>
  <c r="C10" i="6" s="1"/>
  <c r="F10" i="5" s="1"/>
  <c r="H17" i="1" l="1"/>
  <c r="I17" i="1"/>
  <c r="N7" i="8" s="1"/>
  <c r="G17" i="1"/>
  <c r="J17" i="1"/>
  <c r="N18" i="8" s="1"/>
  <c r="J16" i="1"/>
  <c r="M18" i="8" s="1"/>
  <c r="I16" i="1"/>
  <c r="M7" i="8" s="1"/>
  <c r="H15" i="1"/>
  <c r="H16" i="1"/>
  <c r="G16" i="1"/>
  <c r="G15" i="1"/>
  <c r="I15" i="1"/>
  <c r="L7" i="8" s="1"/>
  <c r="J15" i="1"/>
  <c r="L18" i="8" s="1"/>
  <c r="F12" i="5"/>
  <c r="F12" i="4"/>
  <c r="F11" i="4"/>
  <c r="F10" i="4"/>
  <c r="I14" i="1"/>
  <c r="K7" i="8" s="1"/>
  <c r="J11" i="1"/>
  <c r="H18" i="8" s="1"/>
  <c r="J10" i="1"/>
  <c r="G18" i="8" s="1"/>
  <c r="J14" i="1"/>
  <c r="K18" i="8" s="1"/>
  <c r="J13" i="1"/>
  <c r="J18" i="8" s="1"/>
  <c r="J12" i="1"/>
  <c r="I18" i="8" s="1"/>
  <c r="H14" i="1"/>
  <c r="G14" i="1"/>
  <c r="Q7" i="10"/>
  <c r="O9" i="6" s="1"/>
  <c r="O7" i="10"/>
  <c r="I7" i="10"/>
  <c r="C9" i="6" s="1"/>
  <c r="F9" i="5" s="1"/>
  <c r="Q6" i="10"/>
  <c r="O8" i="6" s="1"/>
  <c r="O6" i="10"/>
  <c r="I6" i="10"/>
  <c r="C8" i="6" s="1"/>
  <c r="F8" i="5" s="1"/>
  <c r="Q5" i="10"/>
  <c r="O7" i="6" s="1"/>
  <c r="I5" i="10"/>
  <c r="C7" i="6" s="1"/>
  <c r="F7" i="5" s="1"/>
  <c r="Q4" i="10"/>
  <c r="O6" i="6" s="1"/>
  <c r="I4" i="10"/>
  <c r="C6" i="6" s="1"/>
  <c r="F6" i="5" s="1"/>
  <c r="I3" i="10"/>
  <c r="C5" i="6" s="1"/>
  <c r="D13" i="4"/>
  <c r="C13" i="4"/>
  <c r="C13" i="5"/>
  <c r="D9" i="5"/>
  <c r="C9" i="5"/>
  <c r="D8" i="5"/>
  <c r="C8" i="5"/>
  <c r="D7" i="5"/>
  <c r="C7" i="5"/>
  <c r="D6" i="5"/>
  <c r="C6" i="5"/>
  <c r="D5" i="5"/>
  <c r="C5" i="5"/>
  <c r="D9" i="4"/>
  <c r="C9" i="4"/>
  <c r="D8" i="4"/>
  <c r="C8" i="4"/>
  <c r="D7" i="4"/>
  <c r="C7" i="4"/>
  <c r="D6" i="4"/>
  <c r="C6" i="4"/>
  <c r="D5" i="4"/>
  <c r="C5" i="4"/>
  <c r="D10" i="1"/>
  <c r="C9" i="1"/>
  <c r="J9" i="1" s="1"/>
  <c r="F18" i="8" s="1"/>
  <c r="D9" i="1"/>
  <c r="D8" i="1"/>
  <c r="C8" i="1"/>
  <c r="J8" i="1" s="1"/>
  <c r="E18" i="8" s="1"/>
  <c r="C7" i="1"/>
  <c r="D6" i="1"/>
  <c r="C6" i="1"/>
  <c r="J6" i="1" s="1"/>
  <c r="C18" i="8" s="1"/>
  <c r="D5" i="1"/>
  <c r="C5" i="1"/>
  <c r="J5" i="1" s="1"/>
  <c r="B18" i="8" s="1"/>
  <c r="F5" i="5" l="1"/>
  <c r="J7" i="1"/>
  <c r="D18" i="8" s="1"/>
  <c r="L6" i="6"/>
  <c r="F6" i="4" s="1"/>
  <c r="L8" i="6"/>
  <c r="F8" i="4" s="1"/>
  <c r="L5" i="6"/>
  <c r="L7" i="6"/>
  <c r="F7" i="4" s="1"/>
  <c r="L9" i="6"/>
  <c r="F9" i="4" s="1"/>
  <c r="I9" i="1"/>
  <c r="F7" i="8" s="1"/>
  <c r="N21" i="5" l="1"/>
  <c r="L20" i="5"/>
  <c r="L21" i="5"/>
  <c r="M20" i="5"/>
  <c r="M21" i="5"/>
  <c r="K21" i="5"/>
  <c r="N20" i="5"/>
  <c r="N21" i="4"/>
  <c r="N21" i="1"/>
  <c r="L21" i="1"/>
  <c r="M21" i="1"/>
  <c r="K21" i="1"/>
  <c r="K19" i="5"/>
  <c r="M19" i="5"/>
  <c r="K20" i="5"/>
  <c r="L19" i="5"/>
  <c r="N20" i="1"/>
  <c r="N19" i="5"/>
  <c r="L20" i="1"/>
  <c r="M20" i="1"/>
  <c r="K20" i="1"/>
  <c r="K18" i="5"/>
  <c r="L18" i="5"/>
  <c r="M18" i="5"/>
  <c r="N18" i="5"/>
  <c r="N19" i="1"/>
  <c r="M19" i="1"/>
  <c r="K19" i="1"/>
  <c r="L19" i="1"/>
  <c r="N18" i="1"/>
  <c r="M18" i="1"/>
  <c r="K18" i="1"/>
  <c r="L18" i="1"/>
  <c r="L17" i="1"/>
  <c r="M17" i="1"/>
  <c r="N17" i="1"/>
  <c r="K17" i="1"/>
  <c r="M17" i="5"/>
  <c r="L17" i="5"/>
  <c r="K17" i="5"/>
  <c r="N17" i="5"/>
  <c r="M13" i="5"/>
  <c r="M12" i="5"/>
  <c r="M11" i="5"/>
  <c r="M10" i="5"/>
  <c r="M9" i="5"/>
  <c r="M5" i="5"/>
  <c r="M8" i="5"/>
  <c r="M16" i="5"/>
  <c r="M7" i="5"/>
  <c r="M15" i="5"/>
  <c r="M6" i="5"/>
  <c r="M14" i="5"/>
  <c r="H16" i="5"/>
  <c r="I15" i="5"/>
  <c r="L6" i="8" s="1"/>
  <c r="I16" i="5"/>
  <c r="M6" i="8" s="1"/>
  <c r="J16" i="5"/>
  <c r="M17" i="8" s="1"/>
  <c r="G16" i="5"/>
  <c r="H15" i="5"/>
  <c r="J15" i="5"/>
  <c r="L17" i="8" s="1"/>
  <c r="G15" i="5"/>
  <c r="J6" i="5"/>
  <c r="C17" i="8" s="1"/>
  <c r="J24" i="4"/>
  <c r="F5" i="4"/>
  <c r="M11" i="1"/>
  <c r="M10" i="1"/>
  <c r="M9" i="1"/>
  <c r="M8" i="1"/>
  <c r="M16" i="1"/>
  <c r="M7" i="1"/>
  <c r="M15" i="1"/>
  <c r="M6" i="1"/>
  <c r="M14" i="1"/>
  <c r="M5" i="1"/>
  <c r="M13" i="1"/>
  <c r="L5" i="1"/>
  <c r="M12" i="1"/>
  <c r="N16" i="5"/>
  <c r="L6" i="5"/>
  <c r="L15" i="5"/>
  <c r="K11" i="5"/>
  <c r="L24" i="5"/>
  <c r="L7" i="5"/>
  <c r="L16" i="5"/>
  <c r="K12" i="5"/>
  <c r="K10" i="5"/>
  <c r="L8" i="5"/>
  <c r="L9" i="5"/>
  <c r="L5" i="5"/>
  <c r="K13" i="5"/>
  <c r="K15" i="5"/>
  <c r="L10" i="5"/>
  <c r="K6" i="5"/>
  <c r="K14" i="5"/>
  <c r="K7" i="5"/>
  <c r="K8" i="5"/>
  <c r="K16" i="5"/>
  <c r="K9" i="5"/>
  <c r="K5" i="5"/>
  <c r="K24" i="5"/>
  <c r="L11" i="5"/>
  <c r="L12" i="5"/>
  <c r="L13" i="5"/>
  <c r="L14" i="5"/>
  <c r="K16" i="1"/>
  <c r="L16" i="1"/>
  <c r="N16" i="1"/>
  <c r="N15" i="5"/>
  <c r="K15" i="1"/>
  <c r="L15" i="1"/>
  <c r="N15" i="1"/>
  <c r="G14" i="5"/>
  <c r="I14" i="5"/>
  <c r="K6" i="8" s="1"/>
  <c r="H14" i="5"/>
  <c r="J12" i="5"/>
  <c r="I17" i="8" s="1"/>
  <c r="J10" i="5"/>
  <c r="G17" i="8" s="1"/>
  <c r="J11" i="5"/>
  <c r="H17" i="8" s="1"/>
  <c r="J14" i="5"/>
  <c r="K17" i="8" s="1"/>
  <c r="J8" i="5"/>
  <c r="E17" i="8" s="1"/>
  <c r="J5" i="5"/>
  <c r="B17" i="8" s="1"/>
  <c r="J7" i="5"/>
  <c r="D17" i="8" s="1"/>
  <c r="J9" i="5"/>
  <c r="F17" i="8" s="1"/>
  <c r="N14" i="5"/>
  <c r="J13" i="5"/>
  <c r="J17" i="8" s="1"/>
  <c r="K14" i="1"/>
  <c r="L14" i="1"/>
  <c r="N14" i="1"/>
  <c r="J24" i="5"/>
  <c r="M25" i="5"/>
  <c r="K24" i="1"/>
  <c r="J24" i="1"/>
  <c r="H24" i="1"/>
  <c r="L24" i="1"/>
  <c r="I24" i="1"/>
  <c r="M25" i="1"/>
  <c r="N13" i="5"/>
  <c r="K8" i="1"/>
  <c r="N5" i="1"/>
  <c r="N6" i="1"/>
  <c r="N7" i="1"/>
  <c r="N8" i="1"/>
  <c r="N9" i="1"/>
  <c r="N13" i="1"/>
  <c r="G9" i="5"/>
  <c r="I7" i="1"/>
  <c r="D7" i="8" s="1"/>
  <c r="H9" i="1"/>
  <c r="H5" i="1"/>
  <c r="G8" i="1"/>
  <c r="G9" i="1"/>
  <c r="I5" i="1"/>
  <c r="H6" i="1"/>
  <c r="H7" i="1"/>
  <c r="G7" i="1"/>
  <c r="H7" i="5"/>
  <c r="G6" i="1"/>
  <c r="H6" i="5"/>
  <c r="H5" i="5"/>
  <c r="I6" i="1"/>
  <c r="C7" i="8" s="1"/>
  <c r="I8" i="1"/>
  <c r="E7" i="8" s="1"/>
  <c r="G6" i="5"/>
  <c r="H8" i="1"/>
  <c r="G8" i="5"/>
  <c r="I7" i="5"/>
  <c r="D6" i="8" s="1"/>
  <c r="G5" i="1"/>
  <c r="G5" i="5"/>
  <c r="H9" i="5"/>
  <c r="G7" i="5"/>
  <c r="H8" i="5"/>
  <c r="I9" i="5"/>
  <c r="F6" i="8" s="1"/>
  <c r="I8" i="5"/>
  <c r="E6" i="8" s="1"/>
  <c r="I6" i="5"/>
  <c r="C6" i="8" s="1"/>
  <c r="I5" i="5"/>
  <c r="N7" i="5"/>
  <c r="N9" i="5"/>
  <c r="N5" i="5"/>
  <c r="N6" i="5"/>
  <c r="N8" i="5"/>
  <c r="K11" i="1"/>
  <c r="L7" i="1"/>
  <c r="L9" i="1"/>
  <c r="L6" i="1"/>
  <c r="K5" i="1"/>
  <c r="K6" i="1"/>
  <c r="K7" i="1"/>
  <c r="K9" i="1"/>
  <c r="L8" i="1"/>
  <c r="L12" i="1"/>
  <c r="I10" i="5"/>
  <c r="G6" i="8" s="1"/>
  <c r="N12" i="5"/>
  <c r="H11" i="1"/>
  <c r="G10" i="1"/>
  <c r="L10" i="1"/>
  <c r="K10" i="1"/>
  <c r="N11" i="1"/>
  <c r="N10" i="5"/>
  <c r="N11" i="5"/>
  <c r="L11" i="1"/>
  <c r="L13" i="1"/>
  <c r="K12" i="1"/>
  <c r="N12" i="1"/>
  <c r="K13" i="1"/>
  <c r="N10" i="1"/>
  <c r="G12" i="5"/>
  <c r="H10" i="5"/>
  <c r="G11" i="5"/>
  <c r="I13" i="1"/>
  <c r="J7" i="8" s="1"/>
  <c r="I10" i="1"/>
  <c r="G7" i="8" s="1"/>
  <c r="G11" i="1"/>
  <c r="I11" i="1"/>
  <c r="H7" i="8" s="1"/>
  <c r="G10" i="5"/>
  <c r="H13" i="5"/>
  <c r="G12" i="1"/>
  <c r="H12" i="5"/>
  <c r="I12" i="1"/>
  <c r="I7" i="8" s="1"/>
  <c r="G13" i="5"/>
  <c r="H11" i="5"/>
  <c r="H13" i="1"/>
  <c r="G13" i="1"/>
  <c r="H12" i="1"/>
  <c r="H10" i="1"/>
  <c r="I13" i="5"/>
  <c r="J6" i="8" s="1"/>
  <c r="I12" i="5"/>
  <c r="I6" i="8" s="1"/>
  <c r="I11" i="5"/>
  <c r="H6" i="8" s="1"/>
  <c r="H24" i="5" l="1"/>
  <c r="I24" i="5"/>
  <c r="N24" i="5"/>
  <c r="B6" i="8"/>
  <c r="K22" i="4"/>
  <c r="L22" i="4"/>
  <c r="M22" i="4"/>
  <c r="N22" i="4"/>
  <c r="L21" i="4"/>
  <c r="M21" i="4"/>
  <c r="K21" i="4"/>
  <c r="K20" i="4"/>
  <c r="L20" i="4"/>
  <c r="M20" i="4"/>
  <c r="N20" i="4"/>
  <c r="L19" i="4"/>
  <c r="M19" i="4"/>
  <c r="K19" i="4"/>
  <c r="N19" i="4"/>
  <c r="L18" i="4"/>
  <c r="M18" i="4"/>
  <c r="K18" i="4"/>
  <c r="N18" i="4"/>
  <c r="L17" i="4"/>
  <c r="M17" i="4"/>
  <c r="K17" i="4"/>
  <c r="N17" i="4"/>
  <c r="M9" i="4"/>
  <c r="M5" i="4"/>
  <c r="L8" i="4"/>
  <c r="L16" i="4"/>
  <c r="K13" i="4"/>
  <c r="M8" i="4"/>
  <c r="M16" i="4"/>
  <c r="L7" i="4"/>
  <c r="L15" i="4"/>
  <c r="K12" i="4"/>
  <c r="M7" i="4"/>
  <c r="M15" i="4"/>
  <c r="L6" i="4"/>
  <c r="L14" i="4"/>
  <c r="K11" i="4"/>
  <c r="M6" i="4"/>
  <c r="M14" i="4"/>
  <c r="L13" i="4"/>
  <c r="K10" i="4"/>
  <c r="M13" i="4"/>
  <c r="L12" i="4"/>
  <c r="K9" i="4"/>
  <c r="M12" i="4"/>
  <c r="L11" i="4"/>
  <c r="K8" i="4"/>
  <c r="K16" i="4"/>
  <c r="M11" i="4"/>
  <c r="L10" i="4"/>
  <c r="K7" i="4"/>
  <c r="K15" i="4"/>
  <c r="M10" i="4"/>
  <c r="L9" i="4"/>
  <c r="K6" i="4"/>
  <c r="K14" i="4"/>
  <c r="N12" i="4"/>
  <c r="K5" i="4"/>
  <c r="L5" i="4"/>
  <c r="N14" i="4"/>
  <c r="M25" i="4"/>
  <c r="N13" i="4"/>
  <c r="N8" i="4"/>
  <c r="N10" i="4"/>
  <c r="N9" i="4"/>
  <c r="L24" i="4"/>
  <c r="N15" i="4"/>
  <c r="N7" i="4"/>
  <c r="J16" i="4"/>
  <c r="M16" i="8" s="1"/>
  <c r="I16" i="4"/>
  <c r="M5" i="8" s="1"/>
  <c r="H16" i="4"/>
  <c r="G16" i="4"/>
  <c r="G15" i="4"/>
  <c r="H15" i="4"/>
  <c r="J15" i="4"/>
  <c r="L16" i="8" s="1"/>
  <c r="I15" i="4"/>
  <c r="L5" i="8" s="1"/>
  <c r="N11" i="4"/>
  <c r="N5" i="4"/>
  <c r="K24" i="4"/>
  <c r="N16" i="4"/>
  <c r="N6" i="4"/>
  <c r="J12" i="4"/>
  <c r="I16" i="8" s="1"/>
  <c r="J11" i="4"/>
  <c r="H16" i="8" s="1"/>
  <c r="J10" i="4"/>
  <c r="G16" i="8" s="1"/>
  <c r="J14" i="4"/>
  <c r="K16" i="8" s="1"/>
  <c r="G14" i="4"/>
  <c r="H14" i="4"/>
  <c r="I14" i="4"/>
  <c r="K5" i="8" s="1"/>
  <c r="I12" i="4"/>
  <c r="I5" i="8" s="1"/>
  <c r="J8" i="4"/>
  <c r="E16" i="8" s="1"/>
  <c r="J13" i="4"/>
  <c r="J16" i="8" s="1"/>
  <c r="I5" i="4"/>
  <c r="J9" i="4"/>
  <c r="F16" i="8" s="1"/>
  <c r="J5" i="4"/>
  <c r="B16" i="8" s="1"/>
  <c r="J7" i="4"/>
  <c r="D16" i="8" s="1"/>
  <c r="J6" i="4"/>
  <c r="C16" i="8" s="1"/>
  <c r="G11" i="4"/>
  <c r="G6" i="4"/>
  <c r="I7" i="4"/>
  <c r="D5" i="8" s="1"/>
  <c r="H5" i="4"/>
  <c r="H9" i="4"/>
  <c r="H10" i="4"/>
  <c r="H13" i="4"/>
  <c r="H7" i="4"/>
  <c r="H8" i="4"/>
  <c r="H11" i="4"/>
  <c r="H6" i="4"/>
  <c r="H12" i="4"/>
  <c r="G9" i="4"/>
  <c r="G12" i="4"/>
  <c r="I8" i="4"/>
  <c r="E5" i="8" s="1"/>
  <c r="I9" i="4"/>
  <c r="F5" i="8" s="1"/>
  <c r="I13" i="4"/>
  <c r="J5" i="8" s="1"/>
  <c r="I10" i="4"/>
  <c r="G5" i="8" s="1"/>
  <c r="I11" i="4"/>
  <c r="H5" i="8" s="1"/>
  <c r="G5" i="4"/>
  <c r="G8" i="4"/>
  <c r="I6" i="4"/>
  <c r="G13" i="4"/>
  <c r="G10" i="4"/>
  <c r="G7" i="4"/>
  <c r="H24" i="4" l="1"/>
  <c r="I24" i="4"/>
  <c r="G24" i="4"/>
  <c r="N24" i="4"/>
</calcChain>
</file>

<file path=xl/sharedStrings.xml><?xml version="1.0" encoding="utf-8"?>
<sst xmlns="http://schemas.openxmlformats.org/spreadsheetml/2006/main" count="248" uniqueCount="91">
  <si>
    <t>IPREM</t>
  </si>
  <si>
    <t xml:space="preserve">Período </t>
  </si>
  <si>
    <t>Aplicações</t>
  </si>
  <si>
    <t>Resgates</t>
  </si>
  <si>
    <t>Patrimonio</t>
  </si>
  <si>
    <t>Carteira</t>
  </si>
  <si>
    <t>C/PL</t>
  </si>
  <si>
    <t>V/PL</t>
  </si>
  <si>
    <t>Churn % ((C+V)/PL)</t>
  </si>
  <si>
    <t>TR</t>
  </si>
  <si>
    <t>C/Carteira</t>
  </si>
  <si>
    <t>V/Carteira</t>
  </si>
  <si>
    <t xml:space="preserve">(C+V)/Carteira </t>
  </si>
  <si>
    <t>[(C+V)-(Cp+Rg)]/ 
Carteira</t>
  </si>
  <si>
    <t>Total</t>
  </si>
  <si>
    <t>Média totais</t>
  </si>
  <si>
    <t>Fonte: Extrato BB</t>
  </si>
  <si>
    <t>FUNPREV</t>
  </si>
  <si>
    <t>FUNFIN</t>
  </si>
  <si>
    <t>Churning</t>
  </si>
  <si>
    <t>ago-22</t>
  </si>
  <si>
    <t>set-22</t>
  </si>
  <si>
    <t>out-22</t>
  </si>
  <si>
    <t>nov-22</t>
  </si>
  <si>
    <t>dez-22</t>
  </si>
  <si>
    <t>jan-23</t>
  </si>
  <si>
    <t>fev-23</t>
  </si>
  <si>
    <t>mar-23</t>
  </si>
  <si>
    <t>abr-23</t>
  </si>
  <si>
    <t>O resultado mostra claramente que os fundos de investimento apresentam um alto giro na movimentação da carteira. Dado que foram verificados, os fundos FUNFIN, FUNPREV e IPREM, os indicadores foram calculados utilizando-se apenas as três categorias a partir de agosto/2022.</t>
  </si>
  <si>
    <t>Turnover Ratio</t>
  </si>
  <si>
    <t>Para taxas de turnover inferiores a 2, descarta-se a possibilidade de ocorrência de churning</t>
  </si>
  <si>
    <t>Giro da carteira - Aplicações e Resgates apartir de agosto/2022.</t>
  </si>
  <si>
    <t>IRF-M1</t>
  </si>
  <si>
    <t>%PL</t>
  </si>
  <si>
    <t>Rendimento</t>
  </si>
  <si>
    <t>DI</t>
  </si>
  <si>
    <t>IMA-B5</t>
  </si>
  <si>
    <t>DI TP</t>
  </si>
  <si>
    <t>milênio</t>
  </si>
  <si>
    <t>$ Rendimento</t>
  </si>
  <si>
    <t>-</t>
  </si>
  <si>
    <t>Indicador</t>
  </si>
  <si>
    <t>Descrição</t>
  </si>
  <si>
    <t>Compras totais/patrimônio líq. Médio</t>
  </si>
  <si>
    <t>Vendas totais/patrimônio líq. médio</t>
  </si>
  <si>
    <t>(C+V)/PL</t>
  </si>
  <si>
    <t>Média das compras e vendas totais/patrimônio líq. Médio</t>
  </si>
  <si>
    <r>
      <t xml:space="preserve">TR = </t>
    </r>
    <r>
      <rPr>
        <b/>
        <u/>
        <sz val="11"/>
        <color theme="1"/>
        <rFont val="Calibri"/>
        <family val="2"/>
        <scheme val="minor"/>
      </rPr>
      <t xml:space="preserve">       C        </t>
    </r>
    <r>
      <rPr>
        <b/>
        <sz val="11"/>
        <color theme="1"/>
        <rFont val="Calibri"/>
        <family val="2"/>
        <scheme val="minor"/>
      </rPr>
      <t xml:space="preserve"> x </t>
    </r>
    <r>
      <rPr>
        <b/>
        <u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 xml:space="preserve">
         PL médio     n</t>
    </r>
  </si>
  <si>
    <t xml:space="preserve">Indicadores de giro da carteira (Turnover Ratio) = Compras totais/patrimônio líq. Médio x período analisado / número de meses de funcionamento </t>
  </si>
  <si>
    <r>
      <t xml:space="preserve">
Cost/Equityratio% (C/E)= </t>
    </r>
    <r>
      <rPr>
        <b/>
        <u/>
        <sz val="8"/>
        <color theme="1"/>
        <rFont val="Calibri"/>
        <family val="2"/>
        <scheme val="minor"/>
      </rPr>
      <t>Corretagens + Comissões</t>
    </r>
    <r>
      <rPr>
        <b/>
        <sz val="8"/>
        <color theme="1"/>
        <rFont val="Calibri"/>
        <family val="2"/>
        <scheme val="minor"/>
      </rPr>
      <t xml:space="preserve"> x </t>
    </r>
    <r>
      <rPr>
        <b/>
        <u/>
        <sz val="8"/>
        <color theme="1"/>
        <rFont val="Calibri"/>
        <family val="2"/>
        <scheme val="minor"/>
      </rPr>
      <t>12</t>
    </r>
    <r>
      <rPr>
        <b/>
        <sz val="8"/>
        <color theme="1"/>
        <rFont val="Calibri"/>
        <family val="2"/>
        <scheme val="minor"/>
      </rPr>
      <t xml:space="preserve"> x 100
       PL médio             n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
</t>
    </r>
  </si>
  <si>
    <t>(corretagens + comissões) / patrimônio líq. Médio x período analisado /número de meses de funcionamento x 100</t>
  </si>
  <si>
    <t>[(C+V)-(Cp+Rg)]/PL</t>
  </si>
  <si>
    <t>Média das compras e vendas totais ajustada para captações e resgates/patrimônio líq. médio</t>
  </si>
  <si>
    <t>Compras totais/carteira média</t>
  </si>
  <si>
    <t>Vendas totais/ carteira média</t>
  </si>
  <si>
    <t>(C+V)/Carteira</t>
  </si>
  <si>
    <t>Média das compras e vendas totais/ carteira média</t>
  </si>
  <si>
    <t>[(C+V)-(Cp+Rg)]/ Carteira</t>
  </si>
  <si>
    <t>Média das compras e vendas totais ajustada para captações e resgates/ carteira média</t>
  </si>
  <si>
    <t>Fonte:</t>
  </si>
  <si>
    <t>Indicadores de Churning (cvm.gov.br)</t>
  </si>
  <si>
    <t xml:space="preserve">Obs.: </t>
  </si>
  <si>
    <t>Para taxas de turnover inferiores a 2, descarta-se a possibilidade de 
ocorrência de churning.</t>
  </si>
  <si>
    <t>Na norma brasileira, a prática de churning pode ser enquadrada, à exemplo do que ocorre em outras jurisdições, como quebra do dever fiduciário e atuação contrária ao melhor interesse do cliente (infração ao Art. 4º, Par. Único da IN CVM 387/03). Pode ser enquadrada, ainda, como operação fraudulenta, nos termos dos itens I e II, alínea “c” da IN CVM 8/79.</t>
  </si>
  <si>
    <t>PL fundo</t>
  </si>
  <si>
    <t>funfin</t>
  </si>
  <si>
    <t>funprev</t>
  </si>
  <si>
    <t>iprem</t>
  </si>
  <si>
    <t>irfm1</t>
  </si>
  <si>
    <t>imab5</t>
  </si>
  <si>
    <t>Milênio</t>
  </si>
  <si>
    <t>PL%</t>
  </si>
  <si>
    <t>%</t>
  </si>
  <si>
    <t>ima-b5</t>
  </si>
  <si>
    <t>PL %</t>
  </si>
  <si>
    <t>pl</t>
  </si>
  <si>
    <t>Fonte: Extrato do Cotista - Banco do Brasil</t>
  </si>
  <si>
    <t>mai-23</t>
  </si>
  <si>
    <t>jun-23</t>
  </si>
  <si>
    <t>jul-23</t>
  </si>
  <si>
    <t>ago-23</t>
  </si>
  <si>
    <t>IMAB 5+</t>
  </si>
  <si>
    <t>set-24</t>
  </si>
  <si>
    <t>out-25</t>
  </si>
  <si>
    <t>nov-23</t>
  </si>
  <si>
    <t>set-23</t>
  </si>
  <si>
    <t>out-23</t>
  </si>
  <si>
    <t>dez-23</t>
  </si>
  <si>
    <t>jan-24</t>
  </si>
  <si>
    <t>fev-24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</si>
</sst>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[$-416]d\-mmm\-yy;@"/>
    <numFmt numFmtId="165" formatCode="[$-416]mmm\-yy;@"/>
    <numFmt numFmtId="166" formatCode="0.000%"/>
    <numFmt numFmtId="167" formatCode="0.0%"/>
    <numFmt numFmtId="168" formatCode="0.0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8"/>
      <name val="Calibri"/>
      <family val="2"/>
      <scheme val="minor"/>
    </font>
    <font>
      <sz val="7"/>
      <color rgb="FF484A4D"/>
      <name val="Lato"/>
      <family val="2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4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3" borderId="0" xfId="2" applyNumberFormat="1" applyFont="1" applyFill="1" applyBorder="1" applyAlignment="1">
      <alignment horizontal="center" vertical="center"/>
    </xf>
    <xf numFmtId="10" fontId="0" fillId="4" borderId="0" xfId="2" applyNumberFormat="1" applyFon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4" borderId="0" xfId="0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5" fontId="0" fillId="4" borderId="6" xfId="0" applyNumberFormat="1" applyFill="1" applyBorder="1" applyAlignment="1">
      <alignment horizontal="center" vertical="center"/>
    </xf>
    <xf numFmtId="167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10" fontId="3" fillId="3" borderId="0" xfId="2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10" fontId="3" fillId="4" borderId="0" xfId="2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7" xfId="0" applyFont="1" applyBorder="1" applyAlignment="1">
      <alignment vertical="center"/>
    </xf>
    <xf numFmtId="44" fontId="0" fillId="4" borderId="0" xfId="1" applyFont="1" applyFill="1" applyBorder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44" fontId="3" fillId="3" borderId="0" xfId="1" applyFont="1" applyFill="1" applyBorder="1" applyAlignment="1">
      <alignment horizontal="center" vertical="center"/>
    </xf>
    <xf numFmtId="44" fontId="3" fillId="4" borderId="0" xfId="1" applyFont="1" applyFill="1" applyBorder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0" fontId="3" fillId="4" borderId="0" xfId="1" applyNumberFormat="1" applyFont="1" applyFill="1" applyBorder="1" applyAlignment="1">
      <alignment horizontal="center" vertical="center"/>
    </xf>
    <xf numFmtId="10" fontId="3" fillId="3" borderId="0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4" fontId="3" fillId="7" borderId="2" xfId="0" applyNumberFormat="1" applyFont="1" applyFill="1" applyBorder="1" applyAlignment="1">
      <alignment horizontal="center" vertical="center"/>
    </xf>
    <xf numFmtId="10" fontId="3" fillId="7" borderId="2" xfId="2" applyNumberFormat="1" applyFont="1" applyFill="1" applyBorder="1" applyAlignment="1">
      <alignment horizontal="center" vertical="center"/>
    </xf>
    <xf numFmtId="10" fontId="0" fillId="7" borderId="2" xfId="2" applyNumberFormat="1" applyFont="1" applyFill="1" applyBorder="1" applyAlignment="1">
      <alignment horizontal="center" vertical="center"/>
    </xf>
    <xf numFmtId="2" fontId="0" fillId="7" borderId="2" xfId="2" applyNumberFormat="1" applyFont="1" applyFill="1" applyBorder="1" applyAlignment="1">
      <alignment horizontal="center" vertical="center"/>
    </xf>
    <xf numFmtId="10" fontId="0" fillId="7" borderId="6" xfId="2" applyNumberFormat="1" applyFont="1" applyFill="1" applyBorder="1" applyAlignment="1">
      <alignment horizontal="center" vertical="center"/>
    </xf>
    <xf numFmtId="10" fontId="0" fillId="7" borderId="0" xfId="2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10" fontId="3" fillId="8" borderId="2" xfId="2" applyNumberFormat="1" applyFont="1" applyFill="1" applyBorder="1" applyAlignment="1">
      <alignment horizontal="center" vertical="center"/>
    </xf>
    <xf numFmtId="10" fontId="0" fillId="8" borderId="2" xfId="2" applyNumberFormat="1" applyFont="1" applyFill="1" applyBorder="1" applyAlignment="1">
      <alignment horizontal="center" vertical="center"/>
    </xf>
    <xf numFmtId="2" fontId="0" fillId="8" borderId="6" xfId="2" applyNumberFormat="1" applyFont="1" applyFill="1" applyBorder="1" applyAlignment="1">
      <alignment horizontal="center" vertical="center"/>
    </xf>
    <xf numFmtId="10" fontId="0" fillId="8" borderId="6" xfId="2" applyNumberFormat="1" applyFont="1" applyFill="1" applyBorder="1" applyAlignment="1">
      <alignment horizontal="center" vertical="center"/>
    </xf>
    <xf numFmtId="10" fontId="0" fillId="8" borderId="0" xfId="2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4" fontId="12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0" fontId="12" fillId="6" borderId="1" xfId="2" applyNumberFormat="1" applyFont="1" applyFill="1" applyBorder="1" applyAlignment="1">
      <alignment horizontal="center" vertical="center"/>
    </xf>
    <xf numFmtId="2" fontId="12" fillId="6" borderId="1" xfId="2" applyNumberFormat="1" applyFont="1" applyFill="1" applyBorder="1" applyAlignment="1">
      <alignment horizontal="center" vertical="center"/>
    </xf>
    <xf numFmtId="166" fontId="12" fillId="6" borderId="1" xfId="2" applyNumberFormat="1" applyFont="1" applyFill="1" applyBorder="1" applyAlignment="1">
      <alignment horizontal="center" vertical="center"/>
    </xf>
    <xf numFmtId="164" fontId="12" fillId="6" borderId="3" xfId="0" applyNumberFormat="1" applyFont="1" applyFill="1" applyBorder="1" applyAlignment="1">
      <alignment horizontal="center" vertical="center"/>
    </xf>
    <xf numFmtId="4" fontId="12" fillId="6" borderId="3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 wrapText="1"/>
    </xf>
    <xf numFmtId="10" fontId="2" fillId="0" borderId="10" xfId="2" applyNumberFormat="1" applyFont="1" applyBorder="1" applyAlignment="1">
      <alignment horizontal="center" vertical="center"/>
    </xf>
    <xf numFmtId="2" fontId="14" fillId="0" borderId="0" xfId="2" applyNumberFormat="1" applyFont="1" applyAlignment="1">
      <alignment horizontal="center"/>
    </xf>
    <xf numFmtId="0" fontId="0" fillId="5" borderId="0" xfId="0" applyFill="1"/>
    <xf numFmtId="165" fontId="2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vertical="center"/>
    </xf>
    <xf numFmtId="2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/>
    </xf>
    <xf numFmtId="2" fontId="0" fillId="0" borderId="0" xfId="2" applyNumberFormat="1" applyFont="1" applyAlignment="1">
      <alignment horizontal="center"/>
    </xf>
    <xf numFmtId="2" fontId="15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3" applyAlignment="1" applyProtection="1">
      <alignment horizontal="center"/>
    </xf>
    <xf numFmtId="0" fontId="0" fillId="3" borderId="4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42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416]mmm\-yy;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16]mmm\-yy;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5:T19" totalsRowShown="0" headerRowDxfId="41" dataDxfId="40" dataCellStyle="Porcentagem">
  <tableColumns count="20">
    <tableColumn id="1" xr3:uid="{00000000-0010-0000-0000-000001000000}" name="Turnover Ratio"/>
    <tableColumn id="2" xr3:uid="{00000000-0010-0000-0000-000002000000}" name="ago-22" dataDxfId="39" dataCellStyle="Porcentagem"/>
    <tableColumn id="3" xr3:uid="{00000000-0010-0000-0000-000003000000}" name="set-22" dataDxfId="38" dataCellStyle="Porcentagem"/>
    <tableColumn id="4" xr3:uid="{00000000-0010-0000-0000-000004000000}" name="out-22" dataDxfId="37" dataCellStyle="Porcentagem"/>
    <tableColumn id="5" xr3:uid="{00000000-0010-0000-0000-000005000000}" name="nov-22" dataDxfId="36" dataCellStyle="Porcentagem"/>
    <tableColumn id="6" xr3:uid="{00000000-0010-0000-0000-000006000000}" name="dez-22" dataDxfId="35" dataCellStyle="Porcentagem"/>
    <tableColumn id="7" xr3:uid="{00000000-0010-0000-0000-000007000000}" name="jan-23" dataDxfId="34" dataCellStyle="Porcentagem"/>
    <tableColumn id="8" xr3:uid="{00000000-0010-0000-0000-000008000000}" name="fev-23" dataDxfId="33" dataCellStyle="Porcentagem"/>
    <tableColumn id="9" xr3:uid="{00000000-0010-0000-0000-000009000000}" name="mar-23" dataDxfId="32" dataCellStyle="Porcentagem"/>
    <tableColumn id="10" xr3:uid="{00000000-0010-0000-0000-00000A000000}" name="abr-23" dataDxfId="31" dataCellStyle="Porcentagem"/>
    <tableColumn id="11" xr3:uid="{00000000-0010-0000-0000-00000B000000}" name="mai-23" dataDxfId="30" dataCellStyle="Porcentagem"/>
    <tableColumn id="12" xr3:uid="{00000000-0010-0000-0000-00000C000000}" name="jun-23" dataDxfId="29" dataCellStyle="Porcentagem"/>
    <tableColumn id="13" xr3:uid="{00000000-0010-0000-0000-00000D000000}" name="jul-23" dataDxfId="28" dataCellStyle="Porcentagem"/>
    <tableColumn id="14" xr3:uid="{F835ADCA-33F4-4EAE-9101-98E257141CC4}" name="ago-23" dataDxfId="27" dataCellStyle="Porcentagem"/>
    <tableColumn id="15" xr3:uid="{4956FA97-C6A1-4F7D-A487-046881194833}" name="set-23" dataDxfId="26" dataCellStyle="Porcentagem">
      <calculatedColumnFormula>IPREM!J16</calculatedColumnFormula>
    </tableColumn>
    <tableColumn id="16" xr3:uid="{10303E48-3648-4F81-A5AC-199AA82A3C1A}" name="out-23" dataDxfId="25" dataCellStyle="Porcentagem"/>
    <tableColumn id="17" xr3:uid="{38E52A33-CC45-4F8F-BA5B-3C1900985A13}" name="nov-23" dataDxfId="24" dataCellStyle="Porcentagem"/>
    <tableColumn id="18" xr3:uid="{7059068E-B39B-4F08-BF2F-A619201AA5BA}" name="dez-23" dataDxfId="23" dataCellStyle="Porcentagem"/>
    <tableColumn id="19" xr3:uid="{EAEFB584-41F4-454E-AFDF-61136527C94D}" name="jan-24" dataDxfId="22" dataCellStyle="Porcentagem">
      <calculatedColumnFormula>FUNFIN!J20</calculatedColumnFormula>
    </tableColumn>
    <tableColumn id="20" xr3:uid="{359FB01D-172D-4761-BA24-A9993BDC23B6}" name="fev-24" dataDxfId="19" dataCellStyle="Porcentage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4:T7" totalsRowShown="0" headerRowDxfId="21" dataDxfId="20" dataCellStyle="Porcentagem">
  <tableColumns count="20">
    <tableColumn id="1" xr3:uid="{00000000-0010-0000-0100-000001000000}" name="Churning"/>
    <tableColumn id="2" xr3:uid="{00000000-0010-0000-0100-000002000000}" name="ago-22" dataDxfId="18" dataCellStyle="Porcentagem"/>
    <tableColumn id="3" xr3:uid="{00000000-0010-0000-0100-000003000000}" name="set-22" dataDxfId="17" dataCellStyle="Porcentagem"/>
    <tableColumn id="4" xr3:uid="{00000000-0010-0000-0100-000004000000}" name="out-22" dataDxfId="16" dataCellStyle="Porcentagem"/>
    <tableColumn id="5" xr3:uid="{00000000-0010-0000-0100-000005000000}" name="nov-22" dataDxfId="15" dataCellStyle="Porcentagem"/>
    <tableColumn id="6" xr3:uid="{00000000-0010-0000-0100-000006000000}" name="dez-22" dataDxfId="14" dataCellStyle="Porcentagem"/>
    <tableColumn id="7" xr3:uid="{00000000-0010-0000-0100-000007000000}" name="jan-23" dataDxfId="13" dataCellStyle="Porcentagem"/>
    <tableColumn id="8" xr3:uid="{00000000-0010-0000-0100-000008000000}" name="fev-23" dataDxfId="12" dataCellStyle="Porcentagem"/>
    <tableColumn id="9" xr3:uid="{00000000-0010-0000-0100-000009000000}" name="mar-23" dataDxfId="11" dataCellStyle="Porcentagem"/>
    <tableColumn id="10" xr3:uid="{00000000-0010-0000-0100-00000A000000}" name="abr-23" dataDxfId="10" dataCellStyle="Porcentagem"/>
    <tableColumn id="11" xr3:uid="{00000000-0010-0000-0100-00000B000000}" name="mai-23" dataDxfId="9" dataCellStyle="Porcentagem"/>
    <tableColumn id="12" xr3:uid="{00000000-0010-0000-0100-00000C000000}" name="jun-23" dataDxfId="8" dataCellStyle="Porcentagem"/>
    <tableColumn id="13" xr3:uid="{00000000-0010-0000-0100-00000D000000}" name="jul-23" dataDxfId="7" dataCellStyle="Porcentagem"/>
    <tableColumn id="14" xr3:uid="{12594149-C34E-44DD-A3FA-E8569E403D73}" name="ago-23" dataDxfId="6" dataCellStyle="Porcentagem"/>
    <tableColumn id="15" xr3:uid="{2C1DC49C-589F-4D99-8E52-CC2257EF0257}" name="set-24" dataDxfId="5" dataCellStyle="Porcentagem"/>
    <tableColumn id="16" xr3:uid="{CC0BBBAC-DE2C-49E4-B30F-A6663F4E1CE1}" name="out-25" dataDxfId="4" dataCellStyle="Porcentagem"/>
    <tableColumn id="17" xr3:uid="{AADC1C78-D63A-4C5C-A0D3-AE3034284965}" name="nov-23" dataDxfId="3" dataCellStyle="Porcentagem"/>
    <tableColumn id="18" xr3:uid="{EAB5C611-98AB-4AE2-B867-09E95CFF8179}" name="dez-23" dataDxfId="2" dataCellStyle="Porcentagem"/>
    <tableColumn id="19" xr3:uid="{50102F74-1C45-4EEF-9C0C-48989198AF12}" name="jan-24" dataDxfId="1" dataCellStyle="Porcentagem"/>
    <tableColumn id="20" xr3:uid="{40FBF89F-BE0B-48FB-8DDF-8A8B156D5E71}" name="fev-24" dataDxfId="0" dataCellStyle="Porcentage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nbima.com.br/pt_br/index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bima.com.br/pt_br/index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nbima.com.br/pt_br/index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conteudo.cvm.gov.br/export/sites/cvm/menu/acesso_informacao/serieshistoricas/estudos/anexos/Estudo_Churn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27"/>
  <sheetViews>
    <sheetView tabSelected="1" zoomScale="130" zoomScaleNormal="130" workbookViewId="0">
      <selection activeCell="J23" sqref="J23"/>
    </sheetView>
  </sheetViews>
  <sheetFormatPr defaultColWidth="8.7265625" defaultRowHeight="14.5" outlineLevelRow="1" x14ac:dyDescent="0.35"/>
  <cols>
    <col min="1" max="1" width="8.7265625" style="3"/>
    <col min="2" max="2" width="12.26953125" style="3" bestFit="1" customWidth="1"/>
    <col min="3" max="3" width="14.90625" style="3" bestFit="1" customWidth="1"/>
    <col min="4" max="4" width="16.26953125" style="3" bestFit="1" customWidth="1"/>
    <col min="5" max="5" width="13.08984375" style="3" bestFit="1" customWidth="1"/>
    <col min="6" max="6" width="15.26953125" style="3" bestFit="1" customWidth="1"/>
    <col min="7" max="7" width="10.54296875" style="3" bestFit="1" customWidth="1"/>
    <col min="8" max="8" width="10.81640625" style="3" bestFit="1" customWidth="1"/>
    <col min="9" max="9" width="11.08984375" style="3" bestFit="1" customWidth="1"/>
    <col min="10" max="10" width="6.90625" style="3" bestFit="1" customWidth="1"/>
    <col min="11" max="12" width="9.90625" style="3" bestFit="1" customWidth="1"/>
    <col min="13" max="13" width="16" style="3" bestFit="1" customWidth="1"/>
    <col min="14" max="14" width="14.81640625" style="3" bestFit="1" customWidth="1"/>
    <col min="15" max="15" width="8.7265625" style="3"/>
    <col min="16" max="16" width="8.81640625" style="3" bestFit="1" customWidth="1"/>
    <col min="17" max="16384" width="8.7265625" style="3"/>
  </cols>
  <sheetData>
    <row r="2" spans="2:14" x14ac:dyDescent="0.35">
      <c r="B2" s="77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2:14" x14ac:dyDescent="0.35">
      <c r="B3" s="2"/>
      <c r="E3" s="4"/>
    </row>
    <row r="4" spans="2:14" ht="29" x14ac:dyDescent="0.35">
      <c r="B4" s="55" t="s">
        <v>1</v>
      </c>
      <c r="C4" s="55" t="s">
        <v>2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7</v>
      </c>
      <c r="I4" s="61" t="s">
        <v>8</v>
      </c>
      <c r="J4" s="62" t="s">
        <v>9</v>
      </c>
      <c r="K4" s="62" t="s">
        <v>10</v>
      </c>
      <c r="L4" s="62" t="s">
        <v>11</v>
      </c>
      <c r="M4" s="55" t="s">
        <v>12</v>
      </c>
      <c r="N4" s="63" t="s">
        <v>13</v>
      </c>
    </row>
    <row r="5" spans="2:14" outlineLevel="1" x14ac:dyDescent="0.35">
      <c r="B5" s="39">
        <v>44800</v>
      </c>
      <c r="C5" s="40">
        <f>346034532.6</f>
        <v>346034532.60000002</v>
      </c>
      <c r="D5" s="40">
        <f>16443151.52+346034532.6</f>
        <v>362477684.12</v>
      </c>
      <c r="E5" s="40"/>
      <c r="F5" s="40">
        <f>SUM('PL Carteira'!U5,'PL Carteira'!X5)</f>
        <v>145576.87</v>
      </c>
      <c r="G5" s="41">
        <f t="shared" ref="G5:G23" si="0">C5/$E$25</f>
        <v>26.838068688410807</v>
      </c>
      <c r="H5" s="41">
        <f t="shared" ref="H5:H23" si="1">D5/$E$25</f>
        <v>28.113381954494084</v>
      </c>
      <c r="I5" s="42">
        <f t="shared" ref="I5:I23" si="2">IFERROR((D5+C5)/$E$25,"-")</f>
        <v>54.951450642904895</v>
      </c>
      <c r="J5" s="43">
        <f t="shared" ref="J5:J23" si="3">IFERROR((C5/$E$25)*(12/MONTH(B5)),"-")</f>
        <v>40.257103032616214</v>
      </c>
      <c r="K5" s="42">
        <f t="shared" ref="K5:K23" si="4">C5/$F$25</f>
        <v>13.781710948102845</v>
      </c>
      <c r="L5" s="44">
        <f t="shared" ref="L5:L23" si="5">D5/$F$25</f>
        <v>14.436601544199663</v>
      </c>
      <c r="M5" s="45">
        <f t="shared" ref="M5:M23" si="6">(C5+D5)/$F$25</f>
        <v>28.218312492302509</v>
      </c>
      <c r="N5" s="44">
        <f t="shared" ref="N5:N23" si="7">(($C$25+$D$25)-(C5+D5))/$F$25</f>
        <v>-23.290322527608918</v>
      </c>
    </row>
    <row r="6" spans="2:14" outlineLevel="1" x14ac:dyDescent="0.35">
      <c r="B6" s="46">
        <v>44832</v>
      </c>
      <c r="C6" s="47">
        <f>37466363.41+34562405.44</f>
        <v>72028768.849999994</v>
      </c>
      <c r="D6" s="47">
        <f>1085648695.94+19574268.12</f>
        <v>1105222964.0599999</v>
      </c>
      <c r="E6" s="47"/>
      <c r="F6" s="47">
        <f>SUM('PL Carteira'!U6,'PL Carteira'!X6)</f>
        <v>14193739.470000001</v>
      </c>
      <c r="G6" s="48">
        <f t="shared" si="0"/>
        <v>5.5864743654719407</v>
      </c>
      <c r="H6" s="48">
        <f t="shared" si="1"/>
        <v>85.719912410416072</v>
      </c>
      <c r="I6" s="49">
        <f t="shared" si="2"/>
        <v>91.306386775888015</v>
      </c>
      <c r="J6" s="50">
        <f t="shared" si="3"/>
        <v>7.4486324872959209</v>
      </c>
      <c r="K6" s="49">
        <f t="shared" si="4"/>
        <v>2.8687300795666717</v>
      </c>
      <c r="L6" s="51">
        <f t="shared" si="5"/>
        <v>44.018333399943387</v>
      </c>
      <c r="M6" s="52">
        <f t="shared" si="6"/>
        <v>46.887063479510054</v>
      </c>
      <c r="N6" s="51">
        <f t="shared" si="7"/>
        <v>-41.95907351481646</v>
      </c>
    </row>
    <row r="7" spans="2:14" outlineLevel="1" x14ac:dyDescent="0.35">
      <c r="B7" s="39">
        <v>44863</v>
      </c>
      <c r="C7" s="40">
        <f>7627949.89</f>
        <v>7627949.8899999997</v>
      </c>
      <c r="D7" s="40">
        <v>6156348.3600000003</v>
      </c>
      <c r="E7" s="40"/>
      <c r="F7" s="40">
        <f>SUM('PL Carteira'!U7,'PL Carteira'!X7)</f>
        <v>16836530.900000002</v>
      </c>
      <c r="G7" s="41">
        <f t="shared" si="0"/>
        <v>0.59161564472012362</v>
      </c>
      <c r="H7" s="41">
        <f t="shared" si="1"/>
        <v>0.47747980212846891</v>
      </c>
      <c r="I7" s="42">
        <f t="shared" si="2"/>
        <v>1.0690954468485925</v>
      </c>
      <c r="J7" s="43">
        <f t="shared" si="3"/>
        <v>0.70993877366414837</v>
      </c>
      <c r="K7" s="42">
        <f t="shared" si="4"/>
        <v>0.30380262836979316</v>
      </c>
      <c r="L7" s="44">
        <f t="shared" si="5"/>
        <v>0.24519233082272723</v>
      </c>
      <c r="M7" s="45">
        <f t="shared" si="6"/>
        <v>0.54899495919252039</v>
      </c>
      <c r="N7" s="44">
        <f t="shared" si="7"/>
        <v>4.3789950055010705</v>
      </c>
    </row>
    <row r="8" spans="2:14" outlineLevel="1" x14ac:dyDescent="0.35">
      <c r="B8" s="46">
        <v>44895</v>
      </c>
      <c r="C8" s="47">
        <f>19332146.31</f>
        <v>19332146.309999999</v>
      </c>
      <c r="D8" s="47">
        <f>8021517.76</f>
        <v>8021517.7599999998</v>
      </c>
      <c r="E8" s="47"/>
      <c r="F8" s="47">
        <f>SUM('PL Carteira'!U8,'PL Carteira'!X8)</f>
        <v>28369255.490000002</v>
      </c>
      <c r="G8" s="48">
        <f t="shared" si="0"/>
        <v>1.499380615754728</v>
      </c>
      <c r="H8" s="48">
        <f t="shared" si="1"/>
        <v>0.62214034827860176</v>
      </c>
      <c r="I8" s="49">
        <f t="shared" si="2"/>
        <v>2.1215209640333299</v>
      </c>
      <c r="J8" s="50">
        <f t="shared" si="3"/>
        <v>1.6356879444597032</v>
      </c>
      <c r="K8" s="49">
        <f t="shared" si="4"/>
        <v>0.76995220809026554</v>
      </c>
      <c r="L8" s="51">
        <f t="shared" si="5"/>
        <v>0.31947747614306571</v>
      </c>
      <c r="M8" s="52">
        <f t="shared" si="6"/>
        <v>1.0894296842333313</v>
      </c>
      <c r="N8" s="51">
        <f t="shared" si="7"/>
        <v>3.8385602804602601</v>
      </c>
    </row>
    <row r="9" spans="2:14" outlineLevel="1" x14ac:dyDescent="0.35">
      <c r="B9" s="39">
        <v>44926</v>
      </c>
      <c r="C9" s="40">
        <f>658252.48+3903788.52</f>
        <v>4562041</v>
      </c>
      <c r="D9" s="40">
        <f>22824392.8</f>
        <v>22824392.800000001</v>
      </c>
      <c r="E9" s="40"/>
      <c r="F9" s="40">
        <f>SUM('PL Carteira'!U9,'PL Carteira'!X9)</f>
        <v>10360057.550000001</v>
      </c>
      <c r="G9" s="41">
        <f t="shared" si="0"/>
        <v>0.35382702644558639</v>
      </c>
      <c r="H9" s="41">
        <f t="shared" si="1"/>
        <v>1.7702355228394597</v>
      </c>
      <c r="I9" s="42">
        <f t="shared" si="2"/>
        <v>2.1240625492850462</v>
      </c>
      <c r="J9" s="43">
        <f t="shared" si="3"/>
        <v>0.35382702644558639</v>
      </c>
      <c r="K9" s="42">
        <f t="shared" si="4"/>
        <v>0.18169495952611189</v>
      </c>
      <c r="L9" s="44">
        <f t="shared" si="5"/>
        <v>0.9090398630797224</v>
      </c>
      <c r="M9" s="45">
        <f t="shared" si="6"/>
        <v>1.0907348226058342</v>
      </c>
      <c r="N9" s="44">
        <f t="shared" si="7"/>
        <v>3.837255142087757</v>
      </c>
    </row>
    <row r="10" spans="2:14" outlineLevel="1" x14ac:dyDescent="0.35">
      <c r="B10" s="46">
        <v>44927</v>
      </c>
      <c r="C10" s="47">
        <v>15255100.289999999</v>
      </c>
      <c r="D10" s="47">
        <f>658252.48+7143345.77</f>
        <v>7801598.25</v>
      </c>
      <c r="E10" s="47"/>
      <c r="F10" s="47">
        <f>SUM('PL Carteira'!U10,'PL Carteira'!X10)</f>
        <v>17975731.920000002</v>
      </c>
      <c r="G10" s="48">
        <f t="shared" si="0"/>
        <v>1.1831692818499224</v>
      </c>
      <c r="H10" s="48">
        <f t="shared" si="1"/>
        <v>0.60508362601751942</v>
      </c>
      <c r="I10" s="49">
        <f t="shared" si="2"/>
        <v>1.7882529078674418</v>
      </c>
      <c r="J10" s="50">
        <f t="shared" si="3"/>
        <v>14.198031382199069</v>
      </c>
      <c r="K10" s="49">
        <f t="shared" si="4"/>
        <v>0.60757341500401418</v>
      </c>
      <c r="L10" s="51">
        <f t="shared" si="5"/>
        <v>0.31071861876575319</v>
      </c>
      <c r="M10" s="52">
        <f t="shared" si="6"/>
        <v>0.91829203376976731</v>
      </c>
      <c r="N10" s="51">
        <f t="shared" si="7"/>
        <v>4.0096979309238243</v>
      </c>
    </row>
    <row r="11" spans="2:14" outlineLevel="1" x14ac:dyDescent="0.35">
      <c r="B11" s="39">
        <v>44959</v>
      </c>
      <c r="C11" s="40">
        <v>9572164.8399999999</v>
      </c>
      <c r="D11" s="40">
        <v>10129845.35</v>
      </c>
      <c r="E11" s="40"/>
      <c r="F11" s="40">
        <f>SUM('PL Carteira'!U11,'PL Carteira'!X11)</f>
        <v>17597257.25</v>
      </c>
      <c r="G11" s="41">
        <f t="shared" si="0"/>
        <v>0.74240687928587057</v>
      </c>
      <c r="H11" s="41">
        <f t="shared" si="1"/>
        <v>0.78565998388531588</v>
      </c>
      <c r="I11" s="42">
        <f t="shared" si="2"/>
        <v>1.5280668631711862</v>
      </c>
      <c r="J11" s="43">
        <f t="shared" si="3"/>
        <v>4.4544412757152232</v>
      </c>
      <c r="K11" s="42">
        <f t="shared" si="4"/>
        <v>0.38123596503869023</v>
      </c>
      <c r="L11" s="44">
        <f t="shared" si="5"/>
        <v>0.40344701875191885</v>
      </c>
      <c r="M11" s="45">
        <f t="shared" si="6"/>
        <v>0.78468298379060897</v>
      </c>
      <c r="N11" s="44">
        <f t="shared" si="7"/>
        <v>4.1433069809029819</v>
      </c>
    </row>
    <row r="12" spans="2:14" outlineLevel="1" x14ac:dyDescent="0.35">
      <c r="B12" s="46">
        <v>44988</v>
      </c>
      <c r="C12" s="47">
        <v>12148320.449999999</v>
      </c>
      <c r="D12" s="47">
        <v>8722339.3599999994</v>
      </c>
      <c r="E12" s="47"/>
      <c r="F12" s="47">
        <f>SUM('PL Carteira'!U12,'PL Carteira'!X12)</f>
        <v>21291940.650000002</v>
      </c>
      <c r="G12" s="48">
        <f t="shared" si="0"/>
        <v>0.94221075635479989</v>
      </c>
      <c r="H12" s="48">
        <f t="shared" si="1"/>
        <v>0.67649532290439718</v>
      </c>
      <c r="I12" s="49">
        <f t="shared" si="2"/>
        <v>1.618706079259197</v>
      </c>
      <c r="J12" s="50">
        <f t="shared" si="3"/>
        <v>3.7688430254191996</v>
      </c>
      <c r="K12" s="49">
        <f t="shared" si="4"/>
        <v>0.48383795596597823</v>
      </c>
      <c r="L12" s="51">
        <f t="shared" si="5"/>
        <v>0.34738949014009579</v>
      </c>
      <c r="M12" s="52">
        <f t="shared" si="6"/>
        <v>0.83122744610607402</v>
      </c>
      <c r="N12" s="51">
        <f t="shared" si="7"/>
        <v>4.0967625185875169</v>
      </c>
    </row>
    <row r="13" spans="2:14" outlineLevel="1" x14ac:dyDescent="0.35">
      <c r="B13" s="39">
        <v>45017</v>
      </c>
      <c r="C13" s="40">
        <v>16381643.33</v>
      </c>
      <c r="D13" s="40">
        <v>18854038.030000001</v>
      </c>
      <c r="E13" s="40"/>
      <c r="F13" s="40">
        <f>SUM('PL Carteira'!U13,'PL Carteira'!X13)</f>
        <v>19017664.359999999</v>
      </c>
      <c r="G13" s="41">
        <f t="shared" si="0"/>
        <v>1.2705427565745406</v>
      </c>
      <c r="H13" s="41">
        <f t="shared" si="1"/>
        <v>1.4622990483090577</v>
      </c>
      <c r="I13" s="42">
        <f t="shared" si="2"/>
        <v>2.7328418048835981</v>
      </c>
      <c r="J13" s="43">
        <f t="shared" si="3"/>
        <v>3.8116282697236219</v>
      </c>
      <c r="K13" s="42">
        <f t="shared" si="4"/>
        <v>0.65244087499773695</v>
      </c>
      <c r="L13" s="44">
        <f t="shared" si="5"/>
        <v>0.75091032210465114</v>
      </c>
      <c r="M13" s="45">
        <f t="shared" si="6"/>
        <v>1.403351197102388</v>
      </c>
      <c r="N13" s="44">
        <f t="shared" si="7"/>
        <v>3.5246387675912034</v>
      </c>
    </row>
    <row r="14" spans="2:14" outlineLevel="1" x14ac:dyDescent="0.35">
      <c r="B14" s="46">
        <v>45075</v>
      </c>
      <c r="C14" s="47">
        <f>13337822.01</f>
        <v>13337822.01</v>
      </c>
      <c r="D14" s="47">
        <f>5978656.59</f>
        <v>5978656.5899999999</v>
      </c>
      <c r="E14" s="47"/>
      <c r="F14" s="47">
        <f>SUM('PL Carteira'!U14,'PL Carteira'!X14)</f>
        <v>26648035.080000002</v>
      </c>
      <c r="G14" s="48">
        <f t="shared" si="0"/>
        <v>1.0344672266336041</v>
      </c>
      <c r="H14" s="48">
        <f t="shared" si="1"/>
        <v>0.46369821827094698</v>
      </c>
      <c r="I14" s="49">
        <f t="shared" si="2"/>
        <v>1.4981654449045514</v>
      </c>
      <c r="J14" s="50">
        <f t="shared" si="3"/>
        <v>2.4827213439206499</v>
      </c>
      <c r="K14" s="49">
        <f t="shared" si="4"/>
        <v>0.531212900163202</v>
      </c>
      <c r="L14" s="51">
        <f t="shared" si="5"/>
        <v>0.23811530127427002</v>
      </c>
      <c r="M14" s="52">
        <f t="shared" si="6"/>
        <v>0.76932820143747216</v>
      </c>
      <c r="N14" s="51">
        <f t="shared" si="7"/>
        <v>4.1586617632561191</v>
      </c>
    </row>
    <row r="15" spans="2:14" outlineLevel="1" x14ac:dyDescent="0.35">
      <c r="B15" s="39">
        <v>45104</v>
      </c>
      <c r="C15" s="40">
        <v>14802206.439999999</v>
      </c>
      <c r="D15" s="40">
        <v>15762380.140000001</v>
      </c>
      <c r="E15" s="40"/>
      <c r="F15" s="40">
        <f>SUM('PL Carteira'!U15,'PL Carteira'!X15)</f>
        <v>26003508.299999997</v>
      </c>
      <c r="G15" s="41">
        <f t="shared" si="0"/>
        <v>1.1480433186591066</v>
      </c>
      <c r="H15" s="41">
        <f t="shared" si="1"/>
        <v>1.2225133651015336</v>
      </c>
      <c r="I15" s="42">
        <f t="shared" si="2"/>
        <v>2.3705566837606402</v>
      </c>
      <c r="J15" s="43">
        <f t="shared" si="3"/>
        <v>2.2960866373182132</v>
      </c>
      <c r="K15" s="42">
        <f t="shared" si="4"/>
        <v>0.58953575823035187</v>
      </c>
      <c r="L15" s="44">
        <f t="shared" si="5"/>
        <v>0.62777713343051722</v>
      </c>
      <c r="M15" s="45">
        <f t="shared" si="6"/>
        <v>1.2173128916608691</v>
      </c>
      <c r="N15" s="44">
        <f t="shared" si="7"/>
        <v>3.7106770730327221</v>
      </c>
    </row>
    <row r="16" spans="2:14" outlineLevel="1" x14ac:dyDescent="0.35">
      <c r="B16" s="46">
        <v>45133</v>
      </c>
      <c r="C16" s="47">
        <f>16566480.48</f>
        <v>16566480.48</v>
      </c>
      <c r="D16" s="47">
        <f>15339577.75</f>
        <v>15339577.75</v>
      </c>
      <c r="E16" s="47"/>
      <c r="F16" s="47">
        <f>SUM('PL Carteira'!U16,'PL Carteira'!X16)</f>
        <v>27552531.329999998</v>
      </c>
      <c r="G16" s="48">
        <f t="shared" si="0"/>
        <v>1.2848785284716315</v>
      </c>
      <c r="H16" s="48">
        <f t="shared" si="1"/>
        <v>1.1897212634023628</v>
      </c>
      <c r="I16" s="49">
        <f t="shared" si="2"/>
        <v>2.4745997918739944</v>
      </c>
      <c r="J16" s="50">
        <f t="shared" si="3"/>
        <v>2.2026489059513681</v>
      </c>
      <c r="K16" s="49">
        <f t="shared" si="4"/>
        <v>0.65980248759354043</v>
      </c>
      <c r="L16" s="51">
        <f t="shared" si="5"/>
        <v>0.61093794607148344</v>
      </c>
      <c r="M16" s="52">
        <f t="shared" si="6"/>
        <v>1.2707404336650239</v>
      </c>
      <c r="N16" s="51">
        <f t="shared" si="7"/>
        <v>3.6572495310285671</v>
      </c>
    </row>
    <row r="17" spans="2:14" outlineLevel="1" x14ac:dyDescent="0.35">
      <c r="B17" s="39">
        <v>45162</v>
      </c>
      <c r="C17" s="40">
        <v>8482476.6099999994</v>
      </c>
      <c r="D17" s="40">
        <v>10520649.539999999</v>
      </c>
      <c r="E17" s="40"/>
      <c r="F17" s="40">
        <f>SUM('PL Carteira'!U17,'PL Carteira'!X17)</f>
        <v>25832441.640000001</v>
      </c>
      <c r="G17" s="41">
        <f t="shared" si="0"/>
        <v>0.65789182425377979</v>
      </c>
      <c r="H17" s="41">
        <f t="shared" si="1"/>
        <v>0.81597033937536423</v>
      </c>
      <c r="I17" s="42">
        <f t="shared" si="2"/>
        <v>1.473862163629144</v>
      </c>
      <c r="J17" s="43">
        <f t="shared" si="3"/>
        <v>0.98683773638066974</v>
      </c>
      <c r="K17" s="42">
        <f t="shared" si="4"/>
        <v>0.33783634218437336</v>
      </c>
      <c r="L17" s="44">
        <f t="shared" si="5"/>
        <v>0.41901179589545723</v>
      </c>
      <c r="M17" s="45">
        <f t="shared" si="6"/>
        <v>0.75684813807983053</v>
      </c>
      <c r="N17" s="44">
        <f t="shared" si="7"/>
        <v>4.1711418266137601</v>
      </c>
    </row>
    <row r="18" spans="2:14" outlineLevel="1" x14ac:dyDescent="0.35">
      <c r="B18" s="46">
        <v>45191</v>
      </c>
      <c r="C18" s="47">
        <v>13385145.640000001</v>
      </c>
      <c r="D18" s="47">
        <v>3430851.14</v>
      </c>
      <c r="E18" s="47"/>
      <c r="F18" s="47">
        <f>SUM('PL Carteira'!U18,'PL Carteira'!X18)</f>
        <v>36017909.640000001</v>
      </c>
      <c r="G18" s="48">
        <f t="shared" si="0"/>
        <v>1.0381375968217528</v>
      </c>
      <c r="H18" s="48">
        <f t="shared" si="1"/>
        <v>0.26609314932585004</v>
      </c>
      <c r="I18" s="49">
        <f t="shared" si="2"/>
        <v>1.3042307461476028</v>
      </c>
      <c r="J18" s="50">
        <f t="shared" si="3"/>
        <v>1.3841834624290037</v>
      </c>
      <c r="K18" s="49">
        <f t="shared" si="4"/>
        <v>0.53309768485441344</v>
      </c>
      <c r="L18" s="51">
        <f t="shared" si="5"/>
        <v>0.13664242803219323</v>
      </c>
      <c r="M18" s="52">
        <f t="shared" si="6"/>
        <v>0.66974011288660673</v>
      </c>
      <c r="N18" s="51">
        <f t="shared" si="7"/>
        <v>4.2582498518069842</v>
      </c>
    </row>
    <row r="19" spans="2:14" outlineLevel="1" x14ac:dyDescent="0.35">
      <c r="B19" s="39">
        <v>45220</v>
      </c>
      <c r="C19" s="40">
        <v>41487684.259999998</v>
      </c>
      <c r="D19" s="40">
        <v>31505652.379999999</v>
      </c>
      <c r="E19" s="40"/>
      <c r="F19" s="40">
        <f>SUM('PL Carteira'!U19,'PL Carteira'!X19)</f>
        <v>46433217.899999999</v>
      </c>
      <c r="G19" s="41">
        <f t="shared" si="0"/>
        <v>3.2177404709491118</v>
      </c>
      <c r="H19" s="41">
        <f t="shared" si="1"/>
        <v>2.4435447418915595</v>
      </c>
      <c r="I19" s="42">
        <f t="shared" si="2"/>
        <v>5.6612852128406717</v>
      </c>
      <c r="J19" s="43">
        <f t="shared" si="3"/>
        <v>3.8612885651389339</v>
      </c>
      <c r="K19" s="42">
        <f t="shared" si="4"/>
        <v>1.6523532148117057</v>
      </c>
      <c r="L19" s="44">
        <f t="shared" si="5"/>
        <v>1.2547932458362059</v>
      </c>
      <c r="M19" s="45">
        <f t="shared" si="6"/>
        <v>2.9071464606479118</v>
      </c>
      <c r="N19" s="44">
        <f t="shared" si="7"/>
        <v>2.0208435040456796</v>
      </c>
    </row>
    <row r="20" spans="2:14" outlineLevel="1" x14ac:dyDescent="0.35">
      <c r="B20" s="46">
        <v>45249</v>
      </c>
      <c r="C20" s="47">
        <v>12599300.57</v>
      </c>
      <c r="D20" s="47">
        <v>4996627.08</v>
      </c>
      <c r="E20" s="47"/>
      <c r="F20" s="47">
        <f>SUM('PL Carteira'!U20,'PL Carteira'!X20)</f>
        <v>54513426.439999998</v>
      </c>
      <c r="G20" s="48">
        <f t="shared" si="0"/>
        <v>0.97718829269120588</v>
      </c>
      <c r="H20" s="48">
        <f t="shared" si="1"/>
        <v>0.38753305855293563</v>
      </c>
      <c r="I20" s="49">
        <f t="shared" si="2"/>
        <v>1.3647213512441414</v>
      </c>
      <c r="J20" s="50">
        <f t="shared" si="3"/>
        <v>1.06602359202677</v>
      </c>
      <c r="K20" s="49">
        <f t="shared" si="4"/>
        <v>0.50179939354413272</v>
      </c>
      <c r="L20" s="51">
        <f t="shared" si="5"/>
        <v>0.1990034625001561</v>
      </c>
      <c r="M20" s="52">
        <f t="shared" si="6"/>
        <v>0.70080285604428871</v>
      </c>
      <c r="N20" s="51">
        <f t="shared" si="7"/>
        <v>4.2271871086493027</v>
      </c>
    </row>
    <row r="21" spans="2:14" outlineLevel="1" x14ac:dyDescent="0.35">
      <c r="B21" s="39">
        <v>45278</v>
      </c>
      <c r="C21" s="40">
        <v>14202042.289999999</v>
      </c>
      <c r="D21" s="40">
        <v>33808622.939999998</v>
      </c>
      <c r="E21" s="40"/>
      <c r="F21" s="40">
        <f>SUM('PL Carteira'!U21,'PL Carteira'!X21)</f>
        <v>35366627.600000001</v>
      </c>
      <c r="G21" s="41">
        <f t="shared" si="0"/>
        <v>1.1014952283254722</v>
      </c>
      <c r="H21" s="41">
        <f t="shared" si="1"/>
        <v>2.6221606783192519</v>
      </c>
      <c r="I21" s="42">
        <f t="shared" si="2"/>
        <v>3.7236559066447241</v>
      </c>
      <c r="J21" s="43">
        <f t="shared" si="3"/>
        <v>1.1014952283254722</v>
      </c>
      <c r="K21" s="42">
        <f t="shared" si="4"/>
        <v>0.56563268481578299</v>
      </c>
      <c r="L21" s="44">
        <f t="shared" si="5"/>
        <v>1.3465149429206966</v>
      </c>
      <c r="M21" s="45">
        <f t="shared" si="6"/>
        <v>1.9121476277364795</v>
      </c>
      <c r="N21" s="44">
        <f t="shared" si="7"/>
        <v>3.0158423369571121</v>
      </c>
    </row>
    <row r="22" spans="2:14" x14ac:dyDescent="0.35">
      <c r="B22" s="46">
        <v>45307</v>
      </c>
      <c r="C22" s="47">
        <v>11388740.17</v>
      </c>
      <c r="D22" s="47">
        <v>16994838.52</v>
      </c>
      <c r="E22" s="47"/>
      <c r="F22" s="47">
        <f>SUM('PL Carteira'!U22,'PL Carteira'!X22)</f>
        <v>30064695.099999998</v>
      </c>
      <c r="G22" s="48">
        <f t="shared" si="0"/>
        <v>0.88329852127863429</v>
      </c>
      <c r="H22" s="48">
        <f t="shared" si="1"/>
        <v>1.3181015204498403</v>
      </c>
      <c r="I22" s="49">
        <f t="shared" si="2"/>
        <v>2.2014000417284745</v>
      </c>
      <c r="J22" s="50">
        <f t="shared" si="3"/>
        <v>10.599582255343611</v>
      </c>
      <c r="K22" s="49">
        <f t="shared" si="4"/>
        <v>0.45358572714308237</v>
      </c>
      <c r="L22" s="51">
        <f t="shared" si="5"/>
        <v>0.67686294293370164</v>
      </c>
      <c r="M22" s="52">
        <f t="shared" si="6"/>
        <v>1.130448670076784</v>
      </c>
      <c r="N22" s="51">
        <f t="shared" si="7"/>
        <v>3.7975412946168072</v>
      </c>
    </row>
    <row r="23" spans="2:14" x14ac:dyDescent="0.35">
      <c r="B23" s="39">
        <v>45336</v>
      </c>
      <c r="C23" s="40">
        <v>2867047.98</v>
      </c>
      <c r="D23" s="40">
        <v>10319922.16</v>
      </c>
      <c r="E23" s="40"/>
      <c r="F23" s="40">
        <f>SUM('PL Carteira'!U23,'PL Carteira'!X23)</f>
        <v>22836449.049999997</v>
      </c>
      <c r="G23" s="41">
        <f>C23/$E$25</f>
        <v>0.22236517853307874</v>
      </c>
      <c r="H23" s="41">
        <f>D23/$E$25</f>
        <v>0.80040213821460904</v>
      </c>
      <c r="I23" s="42">
        <f t="shared" si="2"/>
        <v>1.0227673167476878</v>
      </c>
      <c r="J23" s="43">
        <f>IFERROR((C23/$E$25)*(12/MONTH(B23)),"-")</f>
        <v>1.3341910711984726</v>
      </c>
      <c r="K23" s="42">
        <f t="shared" si="4"/>
        <v>0.11418752411158095</v>
      </c>
      <c r="L23" s="44">
        <f t="shared" si="5"/>
        <v>0.41101731421831267</v>
      </c>
      <c r="M23" s="45">
        <f t="shared" si="6"/>
        <v>0.52520483832989362</v>
      </c>
      <c r="N23" s="44">
        <f t="shared" si="7"/>
        <v>4.4027851263636979</v>
      </c>
    </row>
    <row r="24" spans="2:14" x14ac:dyDescent="0.35">
      <c r="B24" s="53" t="s">
        <v>14</v>
      </c>
      <c r="C24" s="54">
        <f>SUM(C5:C23)</f>
        <v>652061614.00999999</v>
      </c>
      <c r="D24" s="54">
        <f>SUM(D5:D23)</f>
        <v>1698868506.3299997</v>
      </c>
      <c r="E24" s="55"/>
      <c r="F24" s="54"/>
      <c r="G24" s="56">
        <f>SUM(G5:G23)</f>
        <v>50.573202201485699</v>
      </c>
      <c r="H24" s="56">
        <f>$D$24/$E$25</f>
        <v>131.76242649217721</v>
      </c>
      <c r="I24" s="56">
        <f>IFERROR(($D$24+$C$24)/$E$25,"-")</f>
        <v>182.33562869366293</v>
      </c>
      <c r="J24" s="57">
        <f>IFERROR(($C$24/$E$25)*(12/12),"-")</f>
        <v>50.573202201485699</v>
      </c>
      <c r="K24" s="56">
        <f>$C$24/$F$25</f>
        <v>25.970022752114271</v>
      </c>
      <c r="L24" s="56">
        <f>$D$24/$F$25</f>
        <v>67.661786577063964</v>
      </c>
      <c r="M24" s="56"/>
      <c r="N24" s="58">
        <f>SUM(N5:N23)</f>
        <v>-1.3322676295501878E-14</v>
      </c>
    </row>
    <row r="25" spans="2:14" x14ac:dyDescent="0.35">
      <c r="B25" s="59" t="s">
        <v>15</v>
      </c>
      <c r="C25" s="60">
        <f>AVERAGE(C5:C23)</f>
        <v>34319032.316315793</v>
      </c>
      <c r="D25" s="60">
        <f>AVERAGE(D5:D23)</f>
        <v>89414131.912105247</v>
      </c>
      <c r="E25" s="54">
        <f>AVERAGE('PL Carteira'!U5:U23,'PL Carteira'!X5:X23)</f>
        <v>12893421.528108107</v>
      </c>
      <c r="F25" s="54">
        <f>AVERAGE(F5:F23)</f>
        <v>25108241.923157897</v>
      </c>
      <c r="G25" s="5"/>
      <c r="H25" s="5"/>
      <c r="I25" s="6"/>
      <c r="J25" s="6"/>
      <c r="K25" s="6"/>
      <c r="L25" s="6"/>
      <c r="M25" s="56">
        <f>($C$25+$D$25)/$F$25</f>
        <v>4.927989964693591</v>
      </c>
      <c r="N25" s="64"/>
    </row>
    <row r="26" spans="2:14" ht="7.5" customHeight="1" x14ac:dyDescent="0.35"/>
    <row r="27" spans="2:14" x14ac:dyDescent="0.35">
      <c r="B27" s="76" t="s">
        <v>77</v>
      </c>
      <c r="C27" s="76"/>
      <c r="D27" s="76"/>
      <c r="E27" s="76"/>
      <c r="F27" s="76"/>
    </row>
  </sheetData>
  <mergeCells count="2">
    <mergeCell ref="B27:F27"/>
    <mergeCell ref="B2:N2"/>
  </mergeCells>
  <hyperlinks>
    <hyperlink ref="C27" r:id="rId1" display="Anbima" xr:uid="{00000000-0004-0000-0000-000000000000}"/>
  </hyperlinks>
  <pageMargins left="0.51181102362204722" right="0.51181102362204722" top="0.78740157480314965" bottom="0.78740157480314965" header="0.31496062992125984" footer="0.31496062992125984"/>
  <pageSetup paperSize="9" scale="7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30"/>
  <sheetViews>
    <sheetView showGridLines="0" zoomScale="130" zoomScaleNormal="130" zoomScalePageLayoutView="115" workbookViewId="0">
      <selection activeCell="D24" sqref="D24"/>
    </sheetView>
  </sheetViews>
  <sheetFormatPr defaultColWidth="8.7265625" defaultRowHeight="14.5" outlineLevelRow="1" x14ac:dyDescent="0.35"/>
  <cols>
    <col min="1" max="1" width="8.7265625" style="3"/>
    <col min="2" max="2" width="12.1796875" style="3" bestFit="1" customWidth="1"/>
    <col min="3" max="3" width="16.7265625" style="3" bestFit="1" customWidth="1"/>
    <col min="4" max="4" width="16.453125" style="3" bestFit="1" customWidth="1"/>
    <col min="5" max="5" width="14.54296875" style="3" bestFit="1" customWidth="1"/>
    <col min="6" max="6" width="16" style="3" bestFit="1" customWidth="1"/>
    <col min="7" max="7" width="9.54296875" style="3" bestFit="1" customWidth="1"/>
    <col min="8" max="9" width="9.81640625" style="3" bestFit="1" customWidth="1"/>
    <col min="10" max="10" width="6.1796875" style="3" bestFit="1" customWidth="1"/>
    <col min="11" max="12" width="9.54296875" style="3" bestFit="1" customWidth="1"/>
    <col min="13" max="13" width="13.54296875" style="3" bestFit="1" customWidth="1"/>
    <col min="14" max="14" width="14.7265625" style="3" bestFit="1" customWidth="1"/>
    <col min="15" max="15" width="12.7265625" style="3" bestFit="1" customWidth="1"/>
    <col min="16" max="16384" width="8.7265625" style="3"/>
  </cols>
  <sheetData>
    <row r="1" spans="2:14" x14ac:dyDescent="0.35">
      <c r="F1" s="1"/>
    </row>
    <row r="2" spans="2:14" x14ac:dyDescent="0.35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4" spans="2:14" ht="29" x14ac:dyDescent="0.35">
      <c r="B4" s="55" t="s">
        <v>1</v>
      </c>
      <c r="C4" s="55" t="s">
        <v>2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7</v>
      </c>
      <c r="I4" s="61" t="s">
        <v>8</v>
      </c>
      <c r="J4" s="62" t="s">
        <v>9</v>
      </c>
      <c r="K4" s="62" t="s">
        <v>10</v>
      </c>
      <c r="L4" s="62" t="s">
        <v>11</v>
      </c>
      <c r="M4" s="55" t="s">
        <v>12</v>
      </c>
      <c r="N4" s="63" t="s">
        <v>13</v>
      </c>
    </row>
    <row r="5" spans="2:14" outlineLevel="1" x14ac:dyDescent="0.35">
      <c r="B5" s="39">
        <v>44800</v>
      </c>
      <c r="C5" s="40">
        <f>15949857.27+243681035.43</f>
        <v>259630892.70000002</v>
      </c>
      <c r="D5" s="40">
        <f>7395.89</f>
        <v>7395.89</v>
      </c>
      <c r="E5" s="40"/>
      <c r="F5" s="40">
        <f>SUM('PL Carteira'!L5,'PL Carteira'!O5,'PL Carteira'!R5)</f>
        <v>260010441.33000004</v>
      </c>
      <c r="G5" s="41">
        <f t="shared" ref="G5:H13" si="0">C5/$E$25</f>
        <v>1.6360266207341263</v>
      </c>
      <c r="H5" s="41">
        <f>D5/$E$25</f>
        <v>4.6604134038866313E-5</v>
      </c>
      <c r="I5" s="42">
        <f>IFERROR((D5+C5)/$E$25,"-")</f>
        <v>1.6360732248681651</v>
      </c>
      <c r="J5" s="43">
        <f>IFERROR((C5/$E$25)*(12/MONTH(B5)),"-")</f>
        <v>2.4540399311011893</v>
      </c>
      <c r="K5" s="42">
        <f t="shared" ref="K5:K9" si="1">C5/$F$25</f>
        <v>0.54534220691137536</v>
      </c>
      <c r="L5" s="44">
        <f t="shared" ref="L5:L9" si="2">D5/$F$25</f>
        <v>1.5534711346288765E-5</v>
      </c>
      <c r="M5" s="45">
        <f>(C5+D5)/$F$25</f>
        <v>0.54535774162272155</v>
      </c>
      <c r="N5" s="44">
        <f t="shared" ref="N5:N9" si="3">(($C$25+$D$25)-(C5+D5))/$F$25</f>
        <v>1.0620796592920647</v>
      </c>
    </row>
    <row r="6" spans="2:14" outlineLevel="1" x14ac:dyDescent="0.35">
      <c r="B6" s="46">
        <v>44832</v>
      </c>
      <c r="C6" s="47">
        <f>992434257.72</f>
        <v>992434257.72000003</v>
      </c>
      <c r="D6" s="47">
        <f>136836353.84</f>
        <v>136836353.84</v>
      </c>
      <c r="E6" s="47"/>
      <c r="F6" s="47">
        <f>SUM('PL Carteira'!L6,'PL Carteira'!O6,'PL Carteira'!R6)</f>
        <v>1123922387.3499999</v>
      </c>
      <c r="G6" s="48">
        <f t="shared" si="0"/>
        <v>6.253681324566168</v>
      </c>
      <c r="H6" s="48">
        <f>D6/$E$25</f>
        <v>0.8622545462072988</v>
      </c>
      <c r="I6" s="49">
        <f>IFERROR((D6+C6)/$E$25,"-")</f>
        <v>7.1159358707734661</v>
      </c>
      <c r="J6" s="50">
        <f t="shared" ref="J6:J14" si="4">IFERROR((C6/$E$25)*(12/MONTH(B6)),"-")</f>
        <v>8.338241766088224</v>
      </c>
      <c r="K6" s="49">
        <f t="shared" si="1"/>
        <v>2.0845604415220556</v>
      </c>
      <c r="L6" s="51">
        <f t="shared" si="2"/>
        <v>0.28741818206909953</v>
      </c>
      <c r="M6" s="52">
        <f t="shared" ref="M6:M23" si="5">(C6+D6)/$F$25</f>
        <v>2.3719786235911546</v>
      </c>
      <c r="N6" s="51">
        <f t="shared" si="3"/>
        <v>-0.76454122267636848</v>
      </c>
    </row>
    <row r="7" spans="2:14" outlineLevel="1" x14ac:dyDescent="0.35">
      <c r="B7" s="39">
        <v>44863</v>
      </c>
      <c r="C7" s="40">
        <f>18279761.94</f>
        <v>18279761.940000001</v>
      </c>
      <c r="D7" s="40">
        <f>343289319.89</f>
        <v>343289319.88999999</v>
      </c>
      <c r="E7" s="40"/>
      <c r="F7" s="40">
        <f>SUM('PL Carteira'!L7,'PL Carteira'!O7,'PL Carteira'!R7)</f>
        <v>809827412.79999995</v>
      </c>
      <c r="G7" s="41">
        <f t="shared" si="0"/>
        <v>0.11518728316001549</v>
      </c>
      <c r="H7" s="41">
        <f>D7/$E$25</f>
        <v>2.1631881326337754</v>
      </c>
      <c r="I7" s="42">
        <f t="shared" ref="I7:I9" si="6">IFERROR((D7+C7)/$E$25,"-")</f>
        <v>2.278375415793791</v>
      </c>
      <c r="J7" s="43">
        <f t="shared" si="4"/>
        <v>0.13822473979201857</v>
      </c>
      <c r="K7" s="42">
        <f t="shared" si="1"/>
        <v>3.8395761053338487E-2</v>
      </c>
      <c r="L7" s="44">
        <f t="shared" si="2"/>
        <v>0.72106271087792495</v>
      </c>
      <c r="M7" s="45">
        <f t="shared" si="5"/>
        <v>0.75945847193126348</v>
      </c>
      <c r="N7" s="44">
        <f t="shared" si="3"/>
        <v>0.84797892898352278</v>
      </c>
    </row>
    <row r="8" spans="2:14" outlineLevel="1" x14ac:dyDescent="0.35">
      <c r="B8" s="46">
        <v>44895</v>
      </c>
      <c r="C8" s="47">
        <f>380113986.91</f>
        <v>380113986.91000003</v>
      </c>
      <c r="D8" s="47">
        <f>351912804.12</f>
        <v>351912804.12</v>
      </c>
      <c r="E8" s="47"/>
      <c r="F8" s="47">
        <f>SUM('PL Carteira'!L8,'PL Carteira'!O8,'PL Carteira'!R8)</f>
        <v>848077536.38999999</v>
      </c>
      <c r="G8" s="48">
        <f t="shared" si="0"/>
        <v>2.3952334602058056</v>
      </c>
      <c r="H8" s="48">
        <f t="shared" si="0"/>
        <v>2.2175277746426438</v>
      </c>
      <c r="I8" s="49">
        <f t="shared" si="6"/>
        <v>4.612761234848449</v>
      </c>
      <c r="J8" s="50">
        <f t="shared" si="4"/>
        <v>2.6129819565881514</v>
      </c>
      <c r="K8" s="49">
        <f t="shared" si="1"/>
        <v>0.79841115340193503</v>
      </c>
      <c r="L8" s="51">
        <f t="shared" si="2"/>
        <v>0.73917592488088113</v>
      </c>
      <c r="M8" s="52">
        <f t="shared" si="5"/>
        <v>1.537587078282816</v>
      </c>
      <c r="N8" s="51">
        <f t="shared" si="3"/>
        <v>6.9850322631970219E-2</v>
      </c>
    </row>
    <row r="9" spans="2:14" outlineLevel="1" x14ac:dyDescent="0.35">
      <c r="B9" s="39">
        <v>44926</v>
      </c>
      <c r="C9" s="40">
        <f>578469147.72</f>
        <v>578469147.72000003</v>
      </c>
      <c r="D9" s="40">
        <f>713281151.74</f>
        <v>713281151.74000001</v>
      </c>
      <c r="E9" s="40"/>
      <c r="F9" s="40">
        <f>SUM('PL Carteira'!L9,'PL Carteira'!O9,'PL Carteira'!R9)</f>
        <v>722018780</v>
      </c>
      <c r="G9" s="41">
        <f t="shared" si="0"/>
        <v>3.6451398949540401</v>
      </c>
      <c r="H9" s="41">
        <f t="shared" si="0"/>
        <v>4.4946382927663739</v>
      </c>
      <c r="I9" s="42">
        <f t="shared" si="6"/>
        <v>8.1397781877204149</v>
      </c>
      <c r="J9" s="43">
        <f t="shared" si="4"/>
        <v>3.6451398949540401</v>
      </c>
      <c r="K9" s="42">
        <f t="shared" si="1"/>
        <v>1.2150466316513464</v>
      </c>
      <c r="L9" s="44">
        <f t="shared" si="2"/>
        <v>1.4982127642554577</v>
      </c>
      <c r="M9" s="45">
        <f t="shared" si="5"/>
        <v>2.7132593959068041</v>
      </c>
      <c r="N9" s="44">
        <f t="shared" si="3"/>
        <v>-1.1058219949920181</v>
      </c>
    </row>
    <row r="10" spans="2:14" outlineLevel="1" x14ac:dyDescent="0.35">
      <c r="B10" s="46">
        <v>44927</v>
      </c>
      <c r="C10" s="47">
        <v>188444449.77000001</v>
      </c>
      <c r="D10" s="47">
        <v>360405273.74000001</v>
      </c>
      <c r="E10" s="47"/>
      <c r="F10" s="47">
        <f>SUM('PL Carteira'!L10,'PL Carteira'!O10,'PL Carteira'!R10)</f>
        <v>557973175.29999995</v>
      </c>
      <c r="G10" s="48">
        <f t="shared" ref="G10:G13" si="7">C10/$E$25</f>
        <v>1.187455518668002</v>
      </c>
      <c r="H10" s="48">
        <f t="shared" si="0"/>
        <v>2.2710418469843745</v>
      </c>
      <c r="I10" s="49">
        <f t="shared" ref="I10:I13" si="8">IFERROR((D10+C10)/$E$25,"-")</f>
        <v>3.4584973656523763</v>
      </c>
      <c r="J10" s="50">
        <f t="shared" si="4"/>
        <v>14.249466224016025</v>
      </c>
      <c r="K10" s="49">
        <f t="shared" ref="K10:K13" si="9">C10/$F$25</f>
        <v>0.39581850622266729</v>
      </c>
      <c r="L10" s="51">
        <f t="shared" ref="L10:L13" si="10">D10/$F$25</f>
        <v>0.75701394899479124</v>
      </c>
      <c r="M10" s="52">
        <f t="shared" si="5"/>
        <v>1.1528324552174585</v>
      </c>
      <c r="N10" s="51">
        <f t="shared" ref="N10:N15" si="11">(($C$25+$D$25)-(C10+D10))/$F$25</f>
        <v>0.45460494569732773</v>
      </c>
    </row>
    <row r="11" spans="2:14" outlineLevel="1" x14ac:dyDescent="0.35">
      <c r="B11" s="39">
        <v>44959</v>
      </c>
      <c r="C11" s="40">
        <v>11906925</v>
      </c>
      <c r="D11" s="40">
        <v>355453963.24000001</v>
      </c>
      <c r="E11" s="40"/>
      <c r="F11" s="40">
        <f>SUM('PL Carteira'!L11,'PL Carteira'!O11,'PL Carteira'!R11)</f>
        <v>219872111</v>
      </c>
      <c r="G11" s="41">
        <f t="shared" si="7"/>
        <v>7.5029770411773056E-2</v>
      </c>
      <c r="H11" s="41">
        <f t="shared" si="0"/>
        <v>2.2398418780543272</v>
      </c>
      <c r="I11" s="42">
        <f t="shared" si="8"/>
        <v>2.3148716484661005</v>
      </c>
      <c r="J11" s="43">
        <f t="shared" si="4"/>
        <v>0.45017862247063833</v>
      </c>
      <c r="K11" s="42">
        <f t="shared" si="9"/>
        <v>2.5009923470591014E-2</v>
      </c>
      <c r="L11" s="44">
        <f t="shared" si="10"/>
        <v>0.74661395935144226</v>
      </c>
      <c r="M11" s="45">
        <f t="shared" si="5"/>
        <v>0.77162388282203331</v>
      </c>
      <c r="N11" s="44">
        <f t="shared" si="11"/>
        <v>0.83581351809275295</v>
      </c>
    </row>
    <row r="12" spans="2:14" outlineLevel="1" x14ac:dyDescent="0.35">
      <c r="B12" s="46">
        <v>44988</v>
      </c>
      <c r="C12" s="47">
        <v>354534453.70999998</v>
      </c>
      <c r="D12" s="47">
        <v>364041908.26999998</v>
      </c>
      <c r="E12" s="47"/>
      <c r="F12" s="47">
        <f>SUM('PL Carteira'!L12,'PL Carteira'!O12,'PL Carteira'!R12)</f>
        <v>206524730.93000001</v>
      </c>
      <c r="G12" s="48">
        <f t="shared" si="7"/>
        <v>2.2340477213826979</v>
      </c>
      <c r="H12" s="48">
        <f t="shared" si="0"/>
        <v>2.2939575749206322</v>
      </c>
      <c r="I12" s="49">
        <f>IFERROR((D12+C12)/$E$25,"-")</f>
        <v>4.5280052963033306</v>
      </c>
      <c r="J12" s="50">
        <f t="shared" si="4"/>
        <v>8.9361908855307917</v>
      </c>
      <c r="K12" s="49">
        <f t="shared" si="9"/>
        <v>0.74468257379423253</v>
      </c>
      <c r="L12" s="51">
        <f t="shared" si="10"/>
        <v>0.76465252497354386</v>
      </c>
      <c r="M12" s="52">
        <f t="shared" si="5"/>
        <v>1.5093350987677765</v>
      </c>
      <c r="N12" s="51">
        <f t="shared" si="11"/>
        <v>9.8102302147009823E-2</v>
      </c>
    </row>
    <row r="13" spans="2:14" outlineLevel="1" x14ac:dyDescent="0.35">
      <c r="B13" s="39">
        <v>45017</v>
      </c>
      <c r="C13" s="40">
        <f>273931859.39</f>
        <v>273931859.38999999</v>
      </c>
      <c r="D13" s="40">
        <f>163726125.36+191015155.9</f>
        <v>354741281.25999999</v>
      </c>
      <c r="E13" s="40"/>
      <c r="F13" s="40">
        <f>SUM('PL Carteira'!L13,'PL Carteira'!O13,'PL Carteira'!R13)</f>
        <v>139740021.26999998</v>
      </c>
      <c r="G13" s="41">
        <f t="shared" si="7"/>
        <v>1.7261420995346657</v>
      </c>
      <c r="H13" s="41">
        <f t="shared" si="0"/>
        <v>2.2353510153558549</v>
      </c>
      <c r="I13" s="42">
        <f t="shared" si="8"/>
        <v>3.9614931148905206</v>
      </c>
      <c r="J13" s="43">
        <f t="shared" si="4"/>
        <v>5.1784262986039966</v>
      </c>
      <c r="K13" s="42">
        <f t="shared" si="9"/>
        <v>0.57538069984488838</v>
      </c>
      <c r="L13" s="44">
        <f t="shared" si="10"/>
        <v>0.74511700511861811</v>
      </c>
      <c r="M13" s="45">
        <f t="shared" si="5"/>
        <v>1.3204977049635065</v>
      </c>
      <c r="N13" s="44">
        <f t="shared" si="11"/>
        <v>0.28693969595127977</v>
      </c>
    </row>
    <row r="14" spans="2:14" outlineLevel="1" x14ac:dyDescent="0.35">
      <c r="B14" s="46">
        <v>45075</v>
      </c>
      <c r="C14" s="47">
        <f>373686524.5</f>
        <v>373686524.5</v>
      </c>
      <c r="D14" s="47">
        <f>358898632.56</f>
        <v>358898632.56</v>
      </c>
      <c r="E14" s="47"/>
      <c r="F14" s="47">
        <f>SUM('PL Carteira'!L14,'PL Carteira'!O14,'PL Carteira'!R14)</f>
        <v>139845073.22</v>
      </c>
      <c r="G14" s="48">
        <f t="shared" ref="G14" si="12">C14/$E$25</f>
        <v>2.3547317329376316</v>
      </c>
      <c r="H14" s="48">
        <f t="shared" ref="H14" si="13">D14/$E$25</f>
        <v>2.2615479649091683</v>
      </c>
      <c r="I14" s="49">
        <f t="shared" ref="I14" si="14">IFERROR((D14+C14)/$E$25,"-")</f>
        <v>4.6162796978467995</v>
      </c>
      <c r="J14" s="50">
        <f t="shared" si="4"/>
        <v>5.6513561590503159</v>
      </c>
      <c r="K14" s="49">
        <f t="shared" ref="K14" si="15">C14/$F$25</f>
        <v>0.78491057764587702</v>
      </c>
      <c r="L14" s="51">
        <f t="shared" ref="L14" si="16">D14/$F$25</f>
        <v>0.75384932163638929</v>
      </c>
      <c r="M14" s="52">
        <f t="shared" si="5"/>
        <v>1.5387598992822662</v>
      </c>
      <c r="N14" s="51">
        <f t="shared" si="11"/>
        <v>6.8677501632520149E-2</v>
      </c>
    </row>
    <row r="15" spans="2:14" outlineLevel="1" x14ac:dyDescent="0.35">
      <c r="B15" s="39">
        <v>45104</v>
      </c>
      <c r="C15" s="40">
        <v>295378623.49000001</v>
      </c>
      <c r="D15" s="40">
        <v>353701700.67000002</v>
      </c>
      <c r="E15" s="40"/>
      <c r="F15" s="40">
        <f>SUM('PL Carteira'!L15,'PL Carteira'!O15,'PL Carteira'!R15)</f>
        <v>105241586.43000001</v>
      </c>
      <c r="G15" s="41">
        <f t="shared" ref="G15" si="17">C15/$E$25</f>
        <v>1.8612857899919801</v>
      </c>
      <c r="H15" s="41">
        <f t="shared" ref="H15" si="18">D15/$E$25</f>
        <v>2.2288002482188958</v>
      </c>
      <c r="I15" s="42">
        <f t="shared" ref="I15" si="19">IFERROR((D15+C15)/$E$25,"-")</f>
        <v>4.0900860382108766</v>
      </c>
      <c r="J15" s="43">
        <f t="shared" ref="J15" si="20">IFERROR((C15/$E$25)*(12/MONTH(B15)),"-")</f>
        <v>3.7225715799839603</v>
      </c>
      <c r="K15" s="42">
        <f t="shared" ref="K15" si="21">C15/$F$25</f>
        <v>0.62042859666399319</v>
      </c>
      <c r="L15" s="44">
        <f t="shared" ref="L15" si="22">D15/$F$25</f>
        <v>0.74293341607296515</v>
      </c>
      <c r="M15" s="45">
        <f t="shared" si="5"/>
        <v>1.3633620127369586</v>
      </c>
      <c r="N15" s="44">
        <f t="shared" si="11"/>
        <v>0.24407538817782778</v>
      </c>
    </row>
    <row r="16" spans="2:14" outlineLevel="1" x14ac:dyDescent="0.35">
      <c r="B16" s="46">
        <v>45133</v>
      </c>
      <c r="C16" s="47">
        <v>304953438.83999997</v>
      </c>
      <c r="D16" s="47">
        <v>386219595.63</v>
      </c>
      <c r="E16" s="47"/>
      <c r="F16" s="47">
        <f>SUM('PL Carteira'!L16,'PL Carteira'!O16,'PL Carteira'!R16)</f>
        <v>27951483.990000002</v>
      </c>
      <c r="G16" s="48">
        <f t="shared" ref="G16:G23" si="23">C16/$E$25</f>
        <v>1.9216201078318604</v>
      </c>
      <c r="H16" s="48">
        <f t="shared" ref="H16:H23" si="24">D16/$E$25</f>
        <v>2.4337070728711847</v>
      </c>
      <c r="I16" s="49">
        <f t="shared" ref="I16:I23" si="25">IFERROR((D16+C16)/$E$25,"-")</f>
        <v>4.3553271807030454</v>
      </c>
      <c r="J16" s="50">
        <f t="shared" ref="J16:J23" si="26">IFERROR((C16/$E$25)*(12/MONTH(B16)),"-")</f>
        <v>3.2942058991403318</v>
      </c>
      <c r="K16" s="49">
        <f t="shared" ref="K16:K23" si="27">C16/$F$25</f>
        <v>0.64054003594395337</v>
      </c>
      <c r="L16" s="51">
        <f t="shared" ref="L16:L23" si="28">D16/$F$25</f>
        <v>0.81123569095706127</v>
      </c>
      <c r="M16" s="52">
        <f t="shared" si="5"/>
        <v>1.4517757269010148</v>
      </c>
      <c r="N16" s="51">
        <f t="shared" ref="N16:N23" si="29">(($C$25+$D$25)-(C16+D16))/$F$25</f>
        <v>0.15566167401377148</v>
      </c>
    </row>
    <row r="17" spans="2:14" outlineLevel="1" x14ac:dyDescent="0.35">
      <c r="B17" s="39">
        <v>45162</v>
      </c>
      <c r="C17" s="40">
        <v>385302113.63999999</v>
      </c>
      <c r="D17" s="40">
        <v>354370056.47000003</v>
      </c>
      <c r="E17" s="40"/>
      <c r="F17" s="40">
        <f>SUM('PL Carteira'!L17,'PL Carteira'!O17,'PL Carteira'!R17)</f>
        <v>62949423.350000001</v>
      </c>
      <c r="G17" s="41">
        <f t="shared" si="23"/>
        <v>2.4279256924504096</v>
      </c>
      <c r="H17" s="41">
        <f t="shared" si="24"/>
        <v>2.2330117958877844</v>
      </c>
      <c r="I17" s="42">
        <f t="shared" si="25"/>
        <v>4.6609374883381935</v>
      </c>
      <c r="J17" s="43">
        <f t="shared" si="26"/>
        <v>3.6418885386756141</v>
      </c>
      <c r="K17" s="42">
        <f t="shared" si="27"/>
        <v>0.8093085641501363</v>
      </c>
      <c r="L17" s="44">
        <f t="shared" si="28"/>
        <v>0.74433726529592792</v>
      </c>
      <c r="M17" s="45">
        <f t="shared" si="5"/>
        <v>1.5536458294460642</v>
      </c>
      <c r="N17" s="44">
        <f t="shared" si="29"/>
        <v>5.3791571468722058E-2</v>
      </c>
    </row>
    <row r="18" spans="2:14" outlineLevel="1" x14ac:dyDescent="0.35">
      <c r="B18" s="46">
        <v>45191</v>
      </c>
      <c r="C18" s="47">
        <v>414855021.88</v>
      </c>
      <c r="D18" s="47">
        <v>353477043.73000002</v>
      </c>
      <c r="E18" s="47"/>
      <c r="F18" s="47">
        <f>SUM('PL Carteira'!L18,'PL Carteira'!O18,'PL Carteira'!R18)</f>
        <v>128541706.80000001</v>
      </c>
      <c r="G18" s="48">
        <f t="shared" si="23"/>
        <v>2.6141490809614982</v>
      </c>
      <c r="H18" s="48">
        <f t="shared" si="24"/>
        <v>2.2273846049163968</v>
      </c>
      <c r="I18" s="49">
        <f t="shared" si="25"/>
        <v>4.841533685877895</v>
      </c>
      <c r="J18" s="50">
        <f t="shared" si="26"/>
        <v>3.4855321079486643</v>
      </c>
      <c r="K18" s="49">
        <f t="shared" si="27"/>
        <v>0.87138302698716585</v>
      </c>
      <c r="L18" s="51">
        <f t="shared" si="28"/>
        <v>0.74246153497213208</v>
      </c>
      <c r="M18" s="52">
        <f t="shared" si="5"/>
        <v>1.613844561959298</v>
      </c>
      <c r="N18" s="51">
        <f t="shared" si="29"/>
        <v>-6.407161044511691E-3</v>
      </c>
    </row>
    <row r="19" spans="2:14" outlineLevel="1" x14ac:dyDescent="0.35">
      <c r="B19" s="39">
        <v>45220</v>
      </c>
      <c r="C19" s="40">
        <v>702931142.44000006</v>
      </c>
      <c r="D19" s="40">
        <v>349399446.87</v>
      </c>
      <c r="E19" s="40"/>
      <c r="F19" s="40">
        <f>SUM('PL Carteira'!L19,'PL Carteira'!O19,'PL Carteira'!R19)</f>
        <v>488892329.25999999</v>
      </c>
      <c r="G19" s="41">
        <f t="shared" si="23"/>
        <v>4.4294192020659029</v>
      </c>
      <c r="H19" s="41">
        <f t="shared" si="24"/>
        <v>2.2016902164628229</v>
      </c>
      <c r="I19" s="42">
        <f t="shared" si="25"/>
        <v>6.6311094185287258</v>
      </c>
      <c r="J19" s="43">
        <f t="shared" si="26"/>
        <v>5.3153030424790835</v>
      </c>
      <c r="K19" s="42">
        <f t="shared" si="27"/>
        <v>1.4764730673553006</v>
      </c>
      <c r="L19" s="44">
        <f t="shared" si="28"/>
        <v>0.73389673882094086</v>
      </c>
      <c r="M19" s="45">
        <f t="shared" si="5"/>
        <v>2.2103698061762413</v>
      </c>
      <c r="N19" s="44">
        <f t="shared" si="29"/>
        <v>-0.60293240526145508</v>
      </c>
    </row>
    <row r="20" spans="2:14" outlineLevel="1" x14ac:dyDescent="0.35">
      <c r="B20" s="46">
        <v>45249</v>
      </c>
      <c r="C20" s="47">
        <v>337971882.75999999</v>
      </c>
      <c r="D20" s="47">
        <v>344486312.76999998</v>
      </c>
      <c r="E20" s="47"/>
      <c r="F20" s="47">
        <f>SUM('PL Carteira'!L20,'PL Carteira'!O20,'PL Carteira'!R20)</f>
        <v>489204124.59999996</v>
      </c>
      <c r="G20" s="48">
        <f t="shared" si="23"/>
        <v>2.1296810695555299</v>
      </c>
      <c r="H20" s="48">
        <f t="shared" si="24"/>
        <v>2.170730810610745</v>
      </c>
      <c r="I20" s="49">
        <f t="shared" si="25"/>
        <v>4.3004118801662754</v>
      </c>
      <c r="J20" s="50">
        <f t="shared" si="26"/>
        <v>2.3232884395151232</v>
      </c>
      <c r="K20" s="49">
        <f t="shared" si="27"/>
        <v>0.7098936898518432</v>
      </c>
      <c r="L20" s="51">
        <f t="shared" si="28"/>
        <v>0.72357693687024816</v>
      </c>
      <c r="M20" s="52">
        <f t="shared" si="5"/>
        <v>1.4334706267220914</v>
      </c>
      <c r="N20" s="51">
        <f t="shared" si="29"/>
        <v>0.17396677419269493</v>
      </c>
    </row>
    <row r="21" spans="2:14" outlineLevel="1" x14ac:dyDescent="0.35">
      <c r="B21" s="39">
        <v>45278</v>
      </c>
      <c r="C21" s="40">
        <v>1330039270.1300001</v>
      </c>
      <c r="D21" s="40">
        <v>709374052.97000003</v>
      </c>
      <c r="E21" s="40"/>
      <c r="F21" s="40">
        <f>SUM('PL Carteira'!L21,'PL Carteira'!O21,'PL Carteira'!R21)</f>
        <v>1113909119.3099999</v>
      </c>
      <c r="G21" s="41">
        <f t="shared" si="23"/>
        <v>8.3810506135291956</v>
      </c>
      <c r="H21" s="41">
        <f t="shared" si="24"/>
        <v>4.4700182734339924</v>
      </c>
      <c r="I21" s="42">
        <f t="shared" si="25"/>
        <v>12.851068886963189</v>
      </c>
      <c r="J21" s="43">
        <f t="shared" si="26"/>
        <v>8.3810506135291956</v>
      </c>
      <c r="K21" s="42">
        <f t="shared" si="27"/>
        <v>2.7936835378430644</v>
      </c>
      <c r="L21" s="44">
        <f t="shared" si="28"/>
        <v>1.4900060911446638</v>
      </c>
      <c r="M21" s="45">
        <f t="shared" si="5"/>
        <v>4.2836896289877284</v>
      </c>
      <c r="N21" s="44">
        <f t="shared" si="29"/>
        <v>-2.6762522280729422</v>
      </c>
    </row>
    <row r="22" spans="2:14" x14ac:dyDescent="0.35">
      <c r="B22" s="46">
        <v>45307</v>
      </c>
      <c r="C22" s="47">
        <v>79857095.980000004</v>
      </c>
      <c r="D22" s="47">
        <v>379203332.56999999</v>
      </c>
      <c r="E22" s="47"/>
      <c r="F22" s="47">
        <f>SUM('PL Carteira'!L22,'PL Carteira'!O22,'PL Carteira'!R22)</f>
        <v>825079781.94999993</v>
      </c>
      <c r="G22" s="48">
        <f t="shared" si="23"/>
        <v>0.50320797159050934</v>
      </c>
      <c r="H22" s="48">
        <f t="shared" si="24"/>
        <v>2.3894951032366731</v>
      </c>
      <c r="I22" s="49">
        <f t="shared" si="25"/>
        <v>2.8927030748271827</v>
      </c>
      <c r="J22" s="50">
        <f t="shared" si="26"/>
        <v>6.0384956590861121</v>
      </c>
      <c r="K22" s="49">
        <f t="shared" si="27"/>
        <v>0.16773599053016974</v>
      </c>
      <c r="L22" s="51">
        <f t="shared" si="28"/>
        <v>0.79649836774555749</v>
      </c>
      <c r="M22" s="52">
        <f t="shared" si="5"/>
        <v>0.96423435827572734</v>
      </c>
      <c r="N22" s="51">
        <f t="shared" si="29"/>
        <v>0.64320304263905892</v>
      </c>
    </row>
    <row r="23" spans="2:14" x14ac:dyDescent="0.35">
      <c r="B23" s="39">
        <v>45336</v>
      </c>
      <c r="C23" s="40">
        <v>315841667.63</v>
      </c>
      <c r="D23" s="40">
        <v>372690024.25</v>
      </c>
      <c r="E23" s="40"/>
      <c r="F23" s="40">
        <f>SUM('PL Carteira'!L23,'PL Carteira'!O23,'PL Carteira'!R23)</f>
        <v>776091196.14999998</v>
      </c>
      <c r="G23" s="41">
        <f t="shared" si="23"/>
        <v>1.9902307110148452</v>
      </c>
      <c r="H23" s="41">
        <f t="shared" si="24"/>
        <v>2.3484524303491989</v>
      </c>
      <c r="I23" s="42">
        <f t="shared" si="25"/>
        <v>4.3386831413640436</v>
      </c>
      <c r="J23" s="43">
        <f t="shared" si="26"/>
        <v>11.94138426608907</v>
      </c>
      <c r="K23" s="42">
        <f t="shared" si="27"/>
        <v>0.66341023700494817</v>
      </c>
      <c r="L23" s="44">
        <f t="shared" si="28"/>
        <v>0.78281747678306601</v>
      </c>
      <c r="M23" s="45">
        <f t="shared" si="5"/>
        <v>1.4462277137880142</v>
      </c>
      <c r="N23" s="44">
        <f t="shared" si="29"/>
        <v>0.161209687126772</v>
      </c>
    </row>
    <row r="24" spans="2:14" x14ac:dyDescent="0.35">
      <c r="B24" s="53" t="s">
        <v>14</v>
      </c>
      <c r="C24" s="54">
        <f>SUM(C5:C23)</f>
        <v>7598562516.1500015</v>
      </c>
      <c r="D24" s="54">
        <f>SUM(D5:D23)</f>
        <v>6941789650.4799986</v>
      </c>
      <c r="E24" s="55"/>
      <c r="F24" s="54"/>
      <c r="G24" s="56">
        <f>SUM(G5:G23)</f>
        <v>47.881245665546665</v>
      </c>
      <c r="H24" s="56">
        <f>SUM(H5:H23)</f>
        <v>43.742686186596181</v>
      </c>
      <c r="I24" s="56">
        <f>SUM(I5:I23)</f>
        <v>91.623931852142846</v>
      </c>
      <c r="J24" s="57">
        <f>IFERROR(($C$24/$E$25)*(12/12),"-")</f>
        <v>47.881245665546665</v>
      </c>
      <c r="K24" s="56">
        <f>$C$24/$F$25</f>
        <v>15.960415221848885</v>
      </c>
      <c r="L24" s="56">
        <f>$D$24/$F$25</f>
        <v>14.580895395532053</v>
      </c>
      <c r="M24" s="56"/>
      <c r="N24" s="58">
        <f>SUM(N5:N23)</f>
        <v>-5.2735593669694936E-16</v>
      </c>
    </row>
    <row r="25" spans="2:14" x14ac:dyDescent="0.35">
      <c r="B25" s="59" t="s">
        <v>15</v>
      </c>
      <c r="C25" s="60">
        <f>AVERAGE(C5:C23)</f>
        <v>399924342.95526326</v>
      </c>
      <c r="D25" s="60">
        <f>AVERAGE(D5:D23)</f>
        <v>365357350.02526307</v>
      </c>
      <c r="E25" s="54">
        <f>AVERAGE('PL Carteira'!L5:L23,'PL Carteira'!O5:O23,'PL Carteira'!R5:R23)</f>
        <v>158696007.39350873</v>
      </c>
      <c r="F25" s="54">
        <f>AVERAGE(F5:F23)</f>
        <v>476088022.18052632</v>
      </c>
      <c r="G25" s="5"/>
      <c r="H25" s="5"/>
      <c r="I25" s="6"/>
      <c r="J25" s="6"/>
      <c r="K25" s="6"/>
      <c r="L25" s="6"/>
      <c r="M25" s="56">
        <f>($C$25+$D$25)/$F$25</f>
        <v>1.6074374009147863</v>
      </c>
      <c r="N25" s="64"/>
    </row>
    <row r="26" spans="2:14" ht="7.5" customHeight="1" x14ac:dyDescent="0.35"/>
    <row r="27" spans="2:14" x14ac:dyDescent="0.35">
      <c r="B27" s="76" t="str">
        <f>IPREM!B27</f>
        <v>Fonte: Extrato do Cotista - Banco do Brasil</v>
      </c>
      <c r="C27" s="76"/>
      <c r="D27" s="76"/>
      <c r="E27" s="76"/>
      <c r="F27" s="76"/>
    </row>
    <row r="30" spans="2:14" x14ac:dyDescent="0.35">
      <c r="L30" s="35"/>
    </row>
  </sheetData>
  <mergeCells count="2">
    <mergeCell ref="B2:N2"/>
    <mergeCell ref="B27:F27"/>
  </mergeCells>
  <hyperlinks>
    <hyperlink ref="C27" r:id="rId1" display="Anbima" xr:uid="{00000000-0004-0000-0100-000000000000}"/>
  </hyperlinks>
  <pageMargins left="0.51181102362204722" right="0.51181102362204722" top="0.78740157480314965" bottom="0.78740157480314965" header="0.31496062992125984" footer="0.31496062992125984"/>
  <pageSetup paperSize="9" scale="7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P28"/>
  <sheetViews>
    <sheetView showGridLines="0" showWhiteSpace="0" zoomScale="130" zoomScaleNormal="130" workbookViewId="0">
      <selection activeCell="G28" sqref="G28"/>
    </sheetView>
  </sheetViews>
  <sheetFormatPr defaultColWidth="8.7265625" defaultRowHeight="14.5" outlineLevelRow="1" x14ac:dyDescent="0.35"/>
  <cols>
    <col min="1" max="1" width="8.7265625" style="3"/>
    <col min="2" max="2" width="12.26953125" style="3" bestFit="1" customWidth="1"/>
    <col min="3" max="4" width="15.54296875" style="3" bestFit="1" customWidth="1"/>
    <col min="5" max="5" width="14.54296875" style="3" bestFit="1" customWidth="1"/>
    <col min="6" max="6" width="14.90625" style="3" bestFit="1" customWidth="1"/>
    <col min="7" max="8" width="8.90625" style="3" bestFit="1" customWidth="1"/>
    <col min="9" max="9" width="10.1796875" style="3" customWidth="1"/>
    <col min="10" max="10" width="5.54296875" style="3" bestFit="1" customWidth="1"/>
    <col min="11" max="12" width="9.6328125" style="3" bestFit="1" customWidth="1"/>
    <col min="13" max="13" width="13.6328125" style="3" bestFit="1" customWidth="1"/>
    <col min="14" max="14" width="14.81640625" style="3" bestFit="1" customWidth="1"/>
    <col min="15" max="16384" width="8.7265625" style="3"/>
  </cols>
  <sheetData>
    <row r="2" spans="2:16" x14ac:dyDescent="0.35">
      <c r="B2" s="78" t="s">
        <v>18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4" spans="2:16" ht="29" x14ac:dyDescent="0.35">
      <c r="B4" s="55" t="s">
        <v>1</v>
      </c>
      <c r="C4" s="55" t="s">
        <v>2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7</v>
      </c>
      <c r="I4" s="61" t="s">
        <v>8</v>
      </c>
      <c r="J4" s="62" t="s">
        <v>9</v>
      </c>
      <c r="K4" s="62" t="s">
        <v>10</v>
      </c>
      <c r="L4" s="62" t="s">
        <v>11</v>
      </c>
      <c r="M4" s="55" t="s">
        <v>12</v>
      </c>
      <c r="N4" s="63" t="s">
        <v>13</v>
      </c>
    </row>
    <row r="5" spans="2:16" outlineLevel="1" x14ac:dyDescent="0.35">
      <c r="B5" s="39">
        <v>44800</v>
      </c>
      <c r="C5" s="40">
        <f>4523145.66</f>
        <v>4523145.66</v>
      </c>
      <c r="D5" s="40">
        <f>36284.19</f>
        <v>36284.19</v>
      </c>
      <c r="E5" s="40"/>
      <c r="F5" s="40">
        <f>SUM('PL Carteira'!C5,'PL Carteira'!F5)</f>
        <v>4498588.95</v>
      </c>
      <c r="G5" s="41">
        <f t="shared" ref="G5:G23" si="0">C5/$E$25</f>
        <v>2.3038189585613315E-2</v>
      </c>
      <c r="H5" s="41">
        <f t="shared" ref="H5:H23" si="1">D5/$E$25</f>
        <v>1.8480988918239143E-4</v>
      </c>
      <c r="I5" s="42">
        <f t="shared" ref="I5:I23" si="2">IFERROR((D5+C5)/$E$25,"-")</f>
        <v>2.3222999474795707E-2</v>
      </c>
      <c r="J5" s="43">
        <f t="shared" ref="J5:J23" si="3">IFERROR((C5/$E$25)*(12/MONTH(B5)),"-")</f>
        <v>3.455728437841997E-2</v>
      </c>
      <c r="K5" s="42">
        <f t="shared" ref="K5:K23" si="4">C5/$F$25</f>
        <v>1.4120180713762993E-2</v>
      </c>
      <c r="L5" s="44">
        <f t="shared" ref="L5:L23" si="5">D5/$F$25</f>
        <v>1.1327057724082051E-4</v>
      </c>
      <c r="M5" s="45">
        <f t="shared" ref="M5:M23" si="6">(C5+D5)/$F$25</f>
        <v>1.4233451291003814E-2</v>
      </c>
      <c r="N5" s="44">
        <f t="shared" ref="N5:N23" si="7">(($C$25+$D$25)-(C5+D5))/$F$25</f>
        <v>0.54149449674238515</v>
      </c>
    </row>
    <row r="6" spans="2:16" outlineLevel="1" x14ac:dyDescent="0.35">
      <c r="B6" s="46">
        <v>44832</v>
      </c>
      <c r="C6" s="47">
        <f>205127270.41</f>
        <v>205127270.41</v>
      </c>
      <c r="D6" s="47">
        <f>22294247.12</f>
        <v>22294247.120000001</v>
      </c>
      <c r="E6" s="47"/>
      <c r="F6" s="47">
        <f>SUM('PL Carteira'!C6,'PL Carteira'!F6)</f>
        <v>188200876.13</v>
      </c>
      <c r="G6" s="48">
        <f t="shared" si="0"/>
        <v>1.0447952155679523</v>
      </c>
      <c r="H6" s="48">
        <f t="shared" si="1"/>
        <v>0.11355351572274451</v>
      </c>
      <c r="I6" s="49">
        <f t="shared" si="2"/>
        <v>1.1583487312906968</v>
      </c>
      <c r="J6" s="50">
        <f t="shared" si="3"/>
        <v>1.3930602874239364</v>
      </c>
      <c r="K6" s="49">
        <f t="shared" si="4"/>
        <v>0.64035835792874474</v>
      </c>
      <c r="L6" s="51">
        <f t="shared" si="5"/>
        <v>6.9597316088133701E-2</v>
      </c>
      <c r="M6" s="52">
        <f t="shared" si="6"/>
        <v>0.70995567401687842</v>
      </c>
      <c r="N6" s="51">
        <f t="shared" si="7"/>
        <v>-0.15422772598348949</v>
      </c>
    </row>
    <row r="7" spans="2:16" outlineLevel="1" x14ac:dyDescent="0.35">
      <c r="B7" s="39">
        <v>44863</v>
      </c>
      <c r="C7" s="40">
        <f>49804330.32</f>
        <v>49804330.32</v>
      </c>
      <c r="D7" s="40">
        <f>21751161.92</f>
        <v>21751161.920000002</v>
      </c>
      <c r="E7" s="40"/>
      <c r="F7" s="40">
        <f>SUM('PL Carteira'!C7,'PL Carteira'!F7)</f>
        <v>218189184.29000002</v>
      </c>
      <c r="G7" s="41">
        <f t="shared" si="0"/>
        <v>0.25367337033684417</v>
      </c>
      <c r="H7" s="41">
        <f t="shared" si="1"/>
        <v>0.11078736562738352</v>
      </c>
      <c r="I7" s="42">
        <f t="shared" si="2"/>
        <v>0.36446073596422773</v>
      </c>
      <c r="J7" s="43">
        <f t="shared" si="3"/>
        <v>0.30440804440421299</v>
      </c>
      <c r="K7" s="42">
        <f t="shared" si="4"/>
        <v>0.15547722698064637</v>
      </c>
      <c r="L7" s="44">
        <f t="shared" si="5"/>
        <v>6.7901933771622125E-2</v>
      </c>
      <c r="M7" s="45">
        <f t="shared" si="6"/>
        <v>0.22337916075226849</v>
      </c>
      <c r="N7" s="44">
        <f t="shared" si="7"/>
        <v>0.33234878728112044</v>
      </c>
    </row>
    <row r="8" spans="2:16" outlineLevel="1" x14ac:dyDescent="0.35">
      <c r="B8" s="46">
        <v>44895</v>
      </c>
      <c r="C8" s="47">
        <f>26933091.79</f>
        <v>26933091.789999999</v>
      </c>
      <c r="D8" s="47">
        <f>21019926.04</f>
        <v>21019926.039999999</v>
      </c>
      <c r="E8" s="47"/>
      <c r="F8" s="47">
        <f>SUM('PL Carteira'!C8,'PL Carteira'!F8)</f>
        <v>226139827.19</v>
      </c>
      <c r="G8" s="48">
        <f t="shared" si="0"/>
        <v>0.13718100663261537</v>
      </c>
      <c r="H8" s="48">
        <f t="shared" si="1"/>
        <v>0.10706288888010078</v>
      </c>
      <c r="I8" s="49">
        <f t="shared" si="2"/>
        <v>0.24424389551271614</v>
      </c>
      <c r="J8" s="50">
        <f t="shared" si="3"/>
        <v>0.14965200723558039</v>
      </c>
      <c r="K8" s="49">
        <f t="shared" si="4"/>
        <v>8.407868148450616E-2</v>
      </c>
      <c r="L8" s="51">
        <f t="shared" si="5"/>
        <v>6.5619189958771418E-2</v>
      </c>
      <c r="M8" s="52">
        <f t="shared" si="6"/>
        <v>0.14969787144327756</v>
      </c>
      <c r="N8" s="51">
        <f t="shared" si="7"/>
        <v>0.40603007659011137</v>
      </c>
    </row>
    <row r="9" spans="2:16" outlineLevel="1" x14ac:dyDescent="0.35">
      <c r="B9" s="39">
        <v>44926</v>
      </c>
      <c r="C9" s="40">
        <f>129163555.37</f>
        <v>129163555.37</v>
      </c>
      <c r="D9" s="40">
        <f>46124135.75</f>
        <v>46124135.75</v>
      </c>
      <c r="E9" s="40"/>
      <c r="F9" s="40">
        <f>SUM('PL Carteira'!C9,'PL Carteira'!F9)</f>
        <v>312349160</v>
      </c>
      <c r="G9" s="41">
        <f t="shared" si="0"/>
        <v>0.65788163810004796</v>
      </c>
      <c r="H9" s="41">
        <f t="shared" si="1"/>
        <v>0.23492866773630824</v>
      </c>
      <c r="I9" s="42">
        <f t="shared" si="2"/>
        <v>0.89281030583635623</v>
      </c>
      <c r="J9" s="43">
        <f t="shared" si="3"/>
        <v>0.65788163810004796</v>
      </c>
      <c r="K9" s="42">
        <f t="shared" si="4"/>
        <v>0.40321777819035182</v>
      </c>
      <c r="L9" s="44">
        <f t="shared" si="5"/>
        <v>0.14398853828999533</v>
      </c>
      <c r="M9" s="45">
        <f t="shared" si="6"/>
        <v>0.54720631648034712</v>
      </c>
      <c r="N9" s="44">
        <f t="shared" si="7"/>
        <v>8.521631553041786E-3</v>
      </c>
      <c r="P9" s="38"/>
    </row>
    <row r="10" spans="2:16" outlineLevel="1" x14ac:dyDescent="0.35">
      <c r="B10" s="46">
        <v>44927</v>
      </c>
      <c r="C10" s="47">
        <v>27575180</v>
      </c>
      <c r="D10" s="47">
        <v>23990740.449999999</v>
      </c>
      <c r="E10" s="47"/>
      <c r="F10" s="47">
        <f>SUM('PL Carteira'!C10,'PL Carteira'!F10)</f>
        <v>319248358.23000002</v>
      </c>
      <c r="G10" s="48">
        <f t="shared" si="0"/>
        <v>0.14045141864774979</v>
      </c>
      <c r="H10" s="48">
        <f t="shared" si="1"/>
        <v>0.122194434655094</v>
      </c>
      <c r="I10" s="49">
        <f t="shared" si="2"/>
        <v>0.26264585330284379</v>
      </c>
      <c r="J10" s="50">
        <f t="shared" si="3"/>
        <v>1.6854170237729975</v>
      </c>
      <c r="K10" s="49">
        <f t="shared" si="4"/>
        <v>8.6083127558298222E-2</v>
      </c>
      <c r="L10" s="51">
        <f t="shared" si="5"/>
        <v>7.4893363175702748E-2</v>
      </c>
      <c r="M10" s="52">
        <f t="shared" si="6"/>
        <v>0.16097649073400097</v>
      </c>
      <c r="N10" s="51">
        <f t="shared" si="7"/>
        <v>0.39475145729938793</v>
      </c>
      <c r="P10" s="38"/>
    </row>
    <row r="11" spans="2:16" outlineLevel="1" x14ac:dyDescent="0.35">
      <c r="B11" s="39">
        <v>44959</v>
      </c>
      <c r="C11" s="40">
        <v>18559748.780000001</v>
      </c>
      <c r="D11" s="40">
        <v>23125690.739999998</v>
      </c>
      <c r="E11" s="40"/>
      <c r="F11" s="40">
        <f>SUM('PL Carteira'!C11,'PL Carteira'!F11)</f>
        <v>317754684</v>
      </c>
      <c r="G11" s="41">
        <f t="shared" si="0"/>
        <v>9.4532222306321967E-2</v>
      </c>
      <c r="H11" s="41">
        <f t="shared" si="1"/>
        <v>0.1177883905614444</v>
      </c>
      <c r="I11" s="42">
        <f t="shared" si="2"/>
        <v>0.21232061286776635</v>
      </c>
      <c r="J11" s="43">
        <f t="shared" si="3"/>
        <v>0.5671933338379318</v>
      </c>
      <c r="K11" s="42">
        <f t="shared" si="4"/>
        <v>5.7939103994197313E-2</v>
      </c>
      <c r="L11" s="44">
        <f t="shared" si="5"/>
        <v>7.2192884537659444E-2</v>
      </c>
      <c r="M11" s="45">
        <f t="shared" si="6"/>
        <v>0.13013198853185673</v>
      </c>
      <c r="N11" s="44">
        <f t="shared" si="7"/>
        <v>0.42559595950153223</v>
      </c>
      <c r="P11" s="38"/>
    </row>
    <row r="12" spans="2:16" outlineLevel="1" x14ac:dyDescent="0.35">
      <c r="B12" s="46">
        <v>44988</v>
      </c>
      <c r="C12" s="47">
        <v>27813522.559999999</v>
      </c>
      <c r="D12" s="47">
        <v>24422344.949999999</v>
      </c>
      <c r="E12" s="47"/>
      <c r="F12" s="47">
        <f>SUM('PL Carteira'!C12,'PL Carteira'!F12)</f>
        <v>324975224.23000002</v>
      </c>
      <c r="G12" s="48">
        <f t="shared" si="0"/>
        <v>0.14166539261550398</v>
      </c>
      <c r="H12" s="48">
        <f t="shared" si="1"/>
        <v>0.12439276896586741</v>
      </c>
      <c r="I12" s="49">
        <f t="shared" si="2"/>
        <v>0.26605816158137141</v>
      </c>
      <c r="J12" s="50">
        <f t="shared" si="3"/>
        <v>0.56666157046201593</v>
      </c>
      <c r="K12" s="49">
        <f t="shared" si="4"/>
        <v>8.6827176119179825E-2</v>
      </c>
      <c r="L12" s="51">
        <f t="shared" si="5"/>
        <v>7.6240729366176763E-2</v>
      </c>
      <c r="M12" s="52">
        <f t="shared" si="6"/>
        <v>0.1630679054853566</v>
      </c>
      <c r="N12" s="51">
        <f t="shared" si="7"/>
        <v>0.39266004254803233</v>
      </c>
      <c r="P12" s="38"/>
    </row>
    <row r="13" spans="2:16" outlineLevel="1" x14ac:dyDescent="0.35">
      <c r="B13" s="39">
        <v>45017</v>
      </c>
      <c r="C13" s="40">
        <f>23960190.81</f>
        <v>23960190.809999999</v>
      </c>
      <c r="D13" s="40">
        <v>23246866.640000001</v>
      </c>
      <c r="E13" s="40"/>
      <c r="F13" s="40">
        <f>SUM('PL Carteira'!C13,'PL Carteira'!F13)</f>
        <v>328412207.52999997</v>
      </c>
      <c r="G13" s="41">
        <f t="shared" si="0"/>
        <v>0.12203883312222356</v>
      </c>
      <c r="H13" s="41">
        <f t="shared" si="1"/>
        <v>0.11840558787659948</v>
      </c>
      <c r="I13" s="42">
        <f t="shared" si="2"/>
        <v>0.24044442099882307</v>
      </c>
      <c r="J13" s="43">
        <f t="shared" si="3"/>
        <v>0.36611649936667068</v>
      </c>
      <c r="K13" s="42">
        <f t="shared" si="4"/>
        <v>7.4797994494266024E-2</v>
      </c>
      <c r="L13" s="44">
        <f t="shared" si="5"/>
        <v>7.2571166763077066E-2</v>
      </c>
      <c r="M13" s="45">
        <f t="shared" si="6"/>
        <v>0.14736916125734312</v>
      </c>
      <c r="N13" s="44">
        <f t="shared" si="7"/>
        <v>0.40835878677604581</v>
      </c>
      <c r="P13" s="38"/>
    </row>
    <row r="14" spans="2:16" outlineLevel="1" x14ac:dyDescent="0.35">
      <c r="B14" s="46">
        <v>45075</v>
      </c>
      <c r="C14" s="47">
        <f>76830399.44</f>
        <v>76830399.439999998</v>
      </c>
      <c r="D14" s="47">
        <f>22092258.4+1911111.75</f>
        <v>24003370.149999999</v>
      </c>
      <c r="E14" s="47"/>
      <c r="F14" s="47">
        <f>SUM('PL Carteira'!C14,'PL Carteira'!F14)</f>
        <v>385046878.72000003</v>
      </c>
      <c r="G14" s="48">
        <f t="shared" si="0"/>
        <v>0.39132794769141238</v>
      </c>
      <c r="H14" s="48">
        <f t="shared" si="1"/>
        <v>0.12225876276762473</v>
      </c>
      <c r="I14" s="49">
        <f t="shared" si="2"/>
        <v>0.51358671045903714</v>
      </c>
      <c r="J14" s="50">
        <f t="shared" si="3"/>
        <v>0.93918707445938965</v>
      </c>
      <c r="K14" s="49">
        <f t="shared" si="4"/>
        <v>0.23984616148828489</v>
      </c>
      <c r="L14" s="51">
        <f t="shared" si="5"/>
        <v>7.4932790083382869E-2</v>
      </c>
      <c r="M14" s="52">
        <f t="shared" si="6"/>
        <v>0.3147789515716678</v>
      </c>
      <c r="N14" s="51">
        <f t="shared" si="7"/>
        <v>0.24094899646172113</v>
      </c>
      <c r="P14" s="38"/>
    </row>
    <row r="15" spans="2:16" outlineLevel="1" x14ac:dyDescent="0.35">
      <c r="B15" s="39">
        <v>45104</v>
      </c>
      <c r="C15" s="40">
        <f>35689952.05</f>
        <v>35689952.049999997</v>
      </c>
      <c r="D15" s="40">
        <f>24916144.59</f>
        <v>24916144.59</v>
      </c>
      <c r="E15" s="40"/>
      <c r="F15" s="40">
        <f>SUM('PL Carteira'!C15,'PL Carteira'!F15)</f>
        <v>400288429.35000002</v>
      </c>
      <c r="G15" s="41">
        <f t="shared" si="0"/>
        <v>0.18178319767605017</v>
      </c>
      <c r="H15" s="41">
        <f t="shared" si="1"/>
        <v>0.12690788799557995</v>
      </c>
      <c r="I15" s="42">
        <f t="shared" si="2"/>
        <v>0.30869108567163012</v>
      </c>
      <c r="J15" s="43">
        <f t="shared" si="3"/>
        <v>0.36356639535210034</v>
      </c>
      <c r="K15" s="42">
        <f t="shared" si="4"/>
        <v>0.11141550825306297</v>
      </c>
      <c r="L15" s="44">
        <f t="shared" si="5"/>
        <v>7.778225393277477E-2</v>
      </c>
      <c r="M15" s="45">
        <f t="shared" si="6"/>
        <v>0.18919776218583775</v>
      </c>
      <c r="N15" s="44">
        <f t="shared" si="7"/>
        <v>0.3665301858475512</v>
      </c>
      <c r="P15" s="38"/>
    </row>
    <row r="16" spans="2:16" outlineLevel="1" x14ac:dyDescent="0.35">
      <c r="B16" s="46">
        <v>45133</v>
      </c>
      <c r="C16" s="47">
        <v>30182299.43</v>
      </c>
      <c r="D16" s="47">
        <v>25069600.329999998</v>
      </c>
      <c r="E16" s="47"/>
      <c r="F16" s="47">
        <f>SUM('PL Carteira'!C16,'PL Carteira'!F16)</f>
        <v>409660040.31999999</v>
      </c>
      <c r="G16" s="48">
        <f t="shared" si="0"/>
        <v>0.15373052045334498</v>
      </c>
      <c r="H16" s="48">
        <f t="shared" si="1"/>
        <v>0.12768949944408689</v>
      </c>
      <c r="I16" s="49">
        <f t="shared" si="2"/>
        <v>0.28142001989743187</v>
      </c>
      <c r="J16" s="50">
        <f t="shared" si="3"/>
        <v>0.2635380350628771</v>
      </c>
      <c r="K16" s="49">
        <f t="shared" si="4"/>
        <v>9.4221931890759794E-2</v>
      </c>
      <c r="L16" s="51">
        <f t="shared" si="5"/>
        <v>7.8261306110891937E-2</v>
      </c>
      <c r="M16" s="52">
        <f t="shared" si="6"/>
        <v>0.17248323800165172</v>
      </c>
      <c r="N16" s="51">
        <f t="shared" si="7"/>
        <v>0.38324471003173721</v>
      </c>
      <c r="P16" s="38"/>
    </row>
    <row r="17" spans="2:16" outlineLevel="1" x14ac:dyDescent="0.35">
      <c r="B17" s="39">
        <v>45162</v>
      </c>
      <c r="C17" s="40">
        <v>31986125.329999998</v>
      </c>
      <c r="D17" s="40">
        <f>22913316.74+302378723.86</f>
        <v>325292040.60000002</v>
      </c>
      <c r="E17" s="40"/>
      <c r="F17" s="40">
        <f>SUM('PL Carteira'!C17,'PL Carteira'!F17)</f>
        <v>117703170.15000001</v>
      </c>
      <c r="G17" s="41">
        <f t="shared" si="0"/>
        <v>0.16291812708541609</v>
      </c>
      <c r="H17" s="41">
        <f t="shared" si="1"/>
        <v>1.6568424422647985</v>
      </c>
      <c r="I17" s="42">
        <f t="shared" si="2"/>
        <v>1.8197605693502144</v>
      </c>
      <c r="J17" s="43">
        <f t="shared" si="3"/>
        <v>0.24437719062812413</v>
      </c>
      <c r="K17" s="42">
        <f t="shared" si="4"/>
        <v>9.9853045632996906E-2</v>
      </c>
      <c r="L17" s="44">
        <f t="shared" si="5"/>
        <v>1.0154840775171341</v>
      </c>
      <c r="M17" s="45">
        <f t="shared" si="6"/>
        <v>1.115337123150131</v>
      </c>
      <c r="N17" s="44">
        <f t="shared" si="7"/>
        <v>-0.55960917511674202</v>
      </c>
      <c r="P17" s="38"/>
    </row>
    <row r="18" spans="2:16" outlineLevel="1" x14ac:dyDescent="0.35">
      <c r="B18" s="46">
        <v>45191</v>
      </c>
      <c r="C18" s="47">
        <v>321814054.81999999</v>
      </c>
      <c r="D18" s="47">
        <f>297943213.82+24759785.76</f>
        <v>322702999.57999998</v>
      </c>
      <c r="E18" s="47"/>
      <c r="F18" s="47">
        <f>SUM('PL Carteira'!C18,'PL Carteira'!F18)</f>
        <v>418653582.23000002</v>
      </c>
      <c r="G18" s="48">
        <f t="shared" si="0"/>
        <v>1.6391276698920449</v>
      </c>
      <c r="H18" s="48">
        <f t="shared" si="1"/>
        <v>1.6436554210306225</v>
      </c>
      <c r="I18" s="49">
        <f t="shared" si="2"/>
        <v>3.2827830909226674</v>
      </c>
      <c r="J18" s="50">
        <f t="shared" si="3"/>
        <v>2.1855035598560599</v>
      </c>
      <c r="K18" s="49">
        <f t="shared" si="4"/>
        <v>1.0046266363854466</v>
      </c>
      <c r="L18" s="51">
        <f t="shared" si="5"/>
        <v>1.0074017096639296</v>
      </c>
      <c r="M18" s="52">
        <f t="shared" si="6"/>
        <v>2.0120283460493762</v>
      </c>
      <c r="N18" s="51">
        <f t="shared" si="7"/>
        <v>-1.456300398015987</v>
      </c>
      <c r="P18" s="38"/>
    </row>
    <row r="19" spans="2:16" outlineLevel="1" x14ac:dyDescent="0.35">
      <c r="B19" s="39">
        <v>45220</v>
      </c>
      <c r="C19" s="40">
        <v>37698555.729999997</v>
      </c>
      <c r="D19" s="40">
        <v>26469243.48</v>
      </c>
      <c r="E19" s="40"/>
      <c r="F19" s="40">
        <f>SUM('PL Carteira'!C19,'PL Carteira'!F19)</f>
        <v>434040918.00999999</v>
      </c>
      <c r="G19" s="41">
        <f t="shared" si="0"/>
        <v>0.19201381942927503</v>
      </c>
      <c r="H19" s="41">
        <f t="shared" si="1"/>
        <v>0.13481844170368792</v>
      </c>
      <c r="I19" s="42">
        <f t="shared" si="2"/>
        <v>0.32683226113296293</v>
      </c>
      <c r="J19" s="43">
        <f t="shared" si="3"/>
        <v>0.23041658331513004</v>
      </c>
      <c r="K19" s="42">
        <f t="shared" si="4"/>
        <v>0.11768588932762013</v>
      </c>
      <c r="L19" s="44">
        <f t="shared" si="5"/>
        <v>8.2630657818389353E-2</v>
      </c>
      <c r="M19" s="45">
        <f t="shared" si="6"/>
        <v>0.20031654714600947</v>
      </c>
      <c r="N19" s="44">
        <f t="shared" si="7"/>
        <v>0.35541140088737944</v>
      </c>
      <c r="P19" s="38"/>
    </row>
    <row r="20" spans="2:16" outlineLevel="1" x14ac:dyDescent="0.35">
      <c r="B20" s="46">
        <v>45249</v>
      </c>
      <c r="C20" s="47">
        <v>24260167.48</v>
      </c>
      <c r="D20" s="47">
        <v>23240430.940000001</v>
      </c>
      <c r="E20" s="47"/>
      <c r="F20" s="47">
        <f>SUM('PL Carteira'!C20,'PL Carteira'!F20)</f>
        <v>439012293.69999999</v>
      </c>
      <c r="G20" s="48">
        <f t="shared" si="0"/>
        <v>0.12356673425877927</v>
      </c>
      <c r="H20" s="41">
        <f t="shared" si="1"/>
        <v>0.11837280828295799</v>
      </c>
      <c r="I20" s="42">
        <f t="shared" si="2"/>
        <v>0.24193954254173725</v>
      </c>
      <c r="J20" s="50">
        <f t="shared" si="3"/>
        <v>0.1348000737368501</v>
      </c>
      <c r="K20" s="49">
        <f t="shared" si="4"/>
        <v>7.5734450029574366E-2</v>
      </c>
      <c r="L20" s="44">
        <f t="shared" si="5"/>
        <v>7.2551076044393578E-2</v>
      </c>
      <c r="M20" s="45">
        <f t="shared" si="6"/>
        <v>0.14828552607396794</v>
      </c>
      <c r="N20" s="44">
        <f t="shared" si="7"/>
        <v>0.40744242195942099</v>
      </c>
      <c r="P20" s="38"/>
    </row>
    <row r="21" spans="2:16" outlineLevel="1" x14ac:dyDescent="0.35">
      <c r="B21" s="39">
        <v>45278</v>
      </c>
      <c r="C21" s="40">
        <v>113758374.05</v>
      </c>
      <c r="D21" s="40">
        <v>49316751.200000003</v>
      </c>
      <c r="E21" s="40"/>
      <c r="F21" s="40">
        <f>SUM('PL Carteira'!C21,'PL Carteira'!F21)</f>
        <v>507717100.25</v>
      </c>
      <c r="G21" s="41">
        <f t="shared" si="0"/>
        <v>0.57941688933250357</v>
      </c>
      <c r="H21" s="41">
        <f t="shared" si="1"/>
        <v>0.25118993490298586</v>
      </c>
      <c r="I21" s="42">
        <f t="shared" si="2"/>
        <v>0.83060682423548937</v>
      </c>
      <c r="J21" s="43">
        <f t="shared" si="3"/>
        <v>0.57941688933250357</v>
      </c>
      <c r="K21" s="42">
        <f t="shared" si="4"/>
        <v>0.35512648055863105</v>
      </c>
      <c r="L21" s="44">
        <f t="shared" si="5"/>
        <v>0.15395512139215256</v>
      </c>
      <c r="M21" s="45">
        <f t="shared" si="6"/>
        <v>0.50908160195078356</v>
      </c>
      <c r="N21" s="44">
        <f t="shared" si="7"/>
        <v>4.6646346082605317E-2</v>
      </c>
      <c r="P21" s="38"/>
    </row>
    <row r="22" spans="2:16" x14ac:dyDescent="0.35">
      <c r="B22" s="46">
        <v>45307</v>
      </c>
      <c r="C22" s="47">
        <v>398841672.49000001</v>
      </c>
      <c r="D22" s="47">
        <v>358702342.45999998</v>
      </c>
      <c r="E22" s="47"/>
      <c r="F22" s="47">
        <f>SUM('PL Carteira'!C22,'PL Carteira'!F22)</f>
        <v>552671354.96000004</v>
      </c>
      <c r="G22" s="48">
        <f t="shared" si="0"/>
        <v>2.0314601288935088</v>
      </c>
      <c r="H22" s="48">
        <f t="shared" si="1"/>
        <v>1.8270144699246922</v>
      </c>
      <c r="I22" s="49">
        <f t="shared" si="2"/>
        <v>3.858474598818201</v>
      </c>
      <c r="J22" s="50">
        <f>IFERROR((C22/$E$25)*(12/MONTH(B22)),"-")</f>
        <v>24.377521546722107</v>
      </c>
      <c r="K22" s="49">
        <f t="shared" si="4"/>
        <v>1.2450884660960209</v>
      </c>
      <c r="L22" s="51">
        <f t="shared" si="5"/>
        <v>1.1197830622119076</v>
      </c>
      <c r="M22" s="52">
        <f t="shared" si="6"/>
        <v>2.3648715283079285</v>
      </c>
      <c r="N22" s="51">
        <f t="shared" si="7"/>
        <v>-1.8091435802745395</v>
      </c>
      <c r="P22" s="38"/>
    </row>
    <row r="23" spans="2:16" x14ac:dyDescent="0.35">
      <c r="B23" s="39">
        <v>45336</v>
      </c>
      <c r="C23" s="40">
        <v>18595875.129999999</v>
      </c>
      <c r="D23" s="40">
        <v>393489572.00999999</v>
      </c>
      <c r="E23" s="40"/>
      <c r="F23" s="40">
        <f>SUM('PL Carteira'!C23,'PL Carteira'!F23)</f>
        <v>181746029.72</v>
      </c>
      <c r="G23" s="41">
        <f t="shared" si="0"/>
        <v>9.4716228253266463E-2</v>
      </c>
      <c r="H23" s="41">
        <f t="shared" si="1"/>
        <v>2.0041997409228296</v>
      </c>
      <c r="I23" s="42">
        <f t="shared" si="2"/>
        <v>2.0989159691760961</v>
      </c>
      <c r="J23" s="43">
        <f>IFERROR((C23/$E$25)*(12/MONTH(B23)),"-")</f>
        <v>0.56829736951959875</v>
      </c>
      <c r="K23" s="42">
        <f>C23/$F$25</f>
        <v>5.8051881832647166E-2</v>
      </c>
      <c r="L23" s="44">
        <f t="shared" si="5"/>
        <v>1.2283804863720564</v>
      </c>
      <c r="M23" s="45">
        <f t="shared" si="6"/>
        <v>1.2864323682047036</v>
      </c>
      <c r="N23" s="44">
        <f t="shared" si="7"/>
        <v>-0.73070442017131465</v>
      </c>
      <c r="P23" s="38"/>
    </row>
    <row r="24" spans="2:16" x14ac:dyDescent="0.35">
      <c r="B24" s="53" t="s">
        <v>14</v>
      </c>
      <c r="C24" s="54">
        <f>SUM(C5:C23)</f>
        <v>1603117511.6500001</v>
      </c>
      <c r="D24" s="54">
        <f>SUM(D5:D23)</f>
        <v>1779213893.1400001</v>
      </c>
      <c r="E24" s="55"/>
      <c r="F24" s="54"/>
      <c r="G24" s="56">
        <f>SUM(G5:G23)</f>
        <v>8.1653185498804746</v>
      </c>
      <c r="H24" s="56">
        <f>SUM(H5:H23)</f>
        <v>9.0622478391545904</v>
      </c>
      <c r="I24" s="56">
        <f>SUM(I5:I23)</f>
        <v>17.227566389035069</v>
      </c>
      <c r="J24" s="57">
        <f>IFERROR(($C$24/$E$25)*(12/12),"-")</f>
        <v>8.1653185498804746</v>
      </c>
      <c r="K24" s="56">
        <f>$C$24/$F$25</f>
        <v>5.0045500789589985</v>
      </c>
      <c r="L24" s="56">
        <f>$D$24/$F$25</f>
        <v>5.5542809336753924</v>
      </c>
      <c r="M24" s="56"/>
      <c r="N24" s="58">
        <f>SUM(N5:N23)</f>
        <v>0</v>
      </c>
    </row>
    <row r="25" spans="2:16" x14ac:dyDescent="0.35">
      <c r="B25" s="59" t="s">
        <v>15</v>
      </c>
      <c r="C25" s="60">
        <f>AVERAGE(C5:C23)</f>
        <v>84374605.876315787</v>
      </c>
      <c r="D25" s="60">
        <f>AVERAGE(D5:D23)</f>
        <v>93642836.481052637</v>
      </c>
      <c r="E25" s="54">
        <f>AVERAGE('PL Carteira'!C5:C23,'PL Carteira'!F5:F23)</f>
        <v>196332513.15999997</v>
      </c>
      <c r="F25" s="54">
        <f>AVERAGE(F5:F23)</f>
        <v>320331995.15578955</v>
      </c>
      <c r="G25" s="5"/>
      <c r="H25" s="5"/>
      <c r="I25" s="6"/>
      <c r="J25" s="6"/>
      <c r="K25" s="6"/>
      <c r="L25" s="6"/>
      <c r="M25" s="56">
        <f>($C$24+$D$24)/$F$25</f>
        <v>10.558831012634391</v>
      </c>
      <c r="N25" s="64"/>
    </row>
    <row r="27" spans="2:16" ht="7.5" customHeight="1" x14ac:dyDescent="0.35"/>
    <row r="28" spans="2:16" x14ac:dyDescent="0.35">
      <c r="B28" s="76" t="str">
        <f>IPREM!B27</f>
        <v>Fonte: Extrato do Cotista - Banco do Brasil</v>
      </c>
      <c r="C28" s="76"/>
      <c r="D28" s="76"/>
      <c r="E28" s="76"/>
      <c r="F28" s="76"/>
    </row>
  </sheetData>
  <mergeCells count="2">
    <mergeCell ref="B2:N2"/>
    <mergeCell ref="B28:F28"/>
  </mergeCells>
  <hyperlinks>
    <hyperlink ref="C28" r:id="rId1" display="Anbima" xr:uid="{00000000-0004-0000-0200-000000000000}"/>
  </hyperlinks>
  <pageMargins left="0.51181102362204722" right="0.51181102362204722" top="0.78740157480314965" bottom="0.78740157480314965" header="0.31496062992125984" footer="0.31496062992125984"/>
  <pageSetup paperSize="9" scale="7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V27"/>
  <sheetViews>
    <sheetView zoomScale="70" zoomScaleNormal="70" workbookViewId="0">
      <pane xSplit="1" topLeftCell="B1" activePane="topRight" state="frozen"/>
      <selection pane="topRight" activeCell="N30" sqref="N30"/>
    </sheetView>
  </sheetViews>
  <sheetFormatPr defaultColWidth="15.90625" defaultRowHeight="14.5" outlineLevelCol="3" x14ac:dyDescent="0.35"/>
  <cols>
    <col min="1" max="1" width="27.36328125" customWidth="1"/>
    <col min="2" max="6" width="15.90625" customWidth="1" outlineLevel="3"/>
    <col min="7" max="7" width="15.90625" customWidth="1" outlineLevel="3" collapsed="1"/>
    <col min="8" max="17" width="15.90625" customWidth="1" outlineLevel="3"/>
    <col min="18" max="18" width="14.453125" customWidth="1" outlineLevel="3"/>
  </cols>
  <sheetData>
    <row r="4" spans="1:20" x14ac:dyDescent="0.35">
      <c r="A4" s="9" t="s">
        <v>19</v>
      </c>
      <c r="B4" s="9" t="s">
        <v>20</v>
      </c>
      <c r="C4" s="18" t="s">
        <v>21</v>
      </c>
      <c r="D4" s="9" t="s">
        <v>22</v>
      </c>
      <c r="E4" s="18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78</v>
      </c>
      <c r="L4" s="9" t="s">
        <v>79</v>
      </c>
      <c r="M4" s="9" t="s">
        <v>80</v>
      </c>
      <c r="N4" s="9" t="s">
        <v>81</v>
      </c>
      <c r="O4" s="9" t="s">
        <v>83</v>
      </c>
      <c r="P4" s="9" t="s">
        <v>84</v>
      </c>
      <c r="Q4" s="9" t="s">
        <v>85</v>
      </c>
      <c r="R4" s="9" t="s">
        <v>88</v>
      </c>
      <c r="S4" s="9" t="s">
        <v>89</v>
      </c>
      <c r="T4" s="9" t="s">
        <v>90</v>
      </c>
    </row>
    <row r="5" spans="1:20" x14ac:dyDescent="0.35">
      <c r="A5" s="66" t="s">
        <v>17</v>
      </c>
      <c r="B5" s="38">
        <f>FUNPREV!I5</f>
        <v>1.6360732248681651</v>
      </c>
      <c r="C5" s="38">
        <f>FUNPREV!I6</f>
        <v>7.1159358707734661</v>
      </c>
      <c r="D5" s="38">
        <f>FUNPREV!I7</f>
        <v>2.278375415793791</v>
      </c>
      <c r="E5" s="38">
        <f>FUNPREV!I8</f>
        <v>4.612761234848449</v>
      </c>
      <c r="F5" s="38">
        <f>FUNPREV!I9</f>
        <v>8.1397781877204149</v>
      </c>
      <c r="G5" s="38">
        <f>FUNPREV!I10</f>
        <v>3.4584973656523763</v>
      </c>
      <c r="H5" s="38">
        <f>FUNPREV!I11</f>
        <v>2.3148716484661005</v>
      </c>
      <c r="I5" s="38">
        <f>FUNPREV!I12</f>
        <v>4.5280052963033306</v>
      </c>
      <c r="J5" s="38">
        <f>FUNPREV!I13</f>
        <v>3.9614931148905206</v>
      </c>
      <c r="K5" s="38">
        <f>FUNPREV!I14</f>
        <v>4.6162796978467995</v>
      </c>
      <c r="L5" s="38">
        <f>FUNPREV!I15</f>
        <v>4.0900860382108766</v>
      </c>
      <c r="M5" s="38">
        <f>FUNPREV!I16</f>
        <v>4.3553271807030454</v>
      </c>
      <c r="N5" s="38">
        <f>FUNPREV!I17</f>
        <v>4.6609374883381935</v>
      </c>
      <c r="O5" s="38">
        <f>FUNPREV!I18</f>
        <v>4.841533685877895</v>
      </c>
      <c r="P5" s="38">
        <f>FUNPREV!I19</f>
        <v>6.6311094185287258</v>
      </c>
      <c r="Q5" s="74">
        <f>FUNPREV!I20</f>
        <v>4.3004118801662754</v>
      </c>
      <c r="R5" s="74">
        <f>FUNPREV!I21</f>
        <v>12.851068886963189</v>
      </c>
      <c r="S5" s="74">
        <f>FUNPREV!I22</f>
        <v>2.8927030748271827</v>
      </c>
      <c r="T5" s="74">
        <f>FUNPREV!I23</f>
        <v>4.3386831413640436</v>
      </c>
    </row>
    <row r="6" spans="1:20" x14ac:dyDescent="0.35">
      <c r="A6" t="s">
        <v>18</v>
      </c>
      <c r="B6" s="38">
        <f>FUNFIN!I5</f>
        <v>2.3222999474795707E-2</v>
      </c>
      <c r="C6" s="38">
        <f>FUNFIN!I6</f>
        <v>1.1583487312906968</v>
      </c>
      <c r="D6" s="38">
        <f>FUNFIN!I7</f>
        <v>0.36446073596422773</v>
      </c>
      <c r="E6" s="38">
        <f>FUNFIN!I8</f>
        <v>0.24424389551271614</v>
      </c>
      <c r="F6" s="38">
        <f>FUNFIN!I9</f>
        <v>0.89281030583635623</v>
      </c>
      <c r="G6" s="38">
        <f>FUNFIN!I10</f>
        <v>0.26264585330284379</v>
      </c>
      <c r="H6" s="38">
        <f>FUNFIN!I11</f>
        <v>0.21232061286776635</v>
      </c>
      <c r="I6" s="38">
        <f>FUNFIN!I12</f>
        <v>0.26605816158137141</v>
      </c>
      <c r="J6" s="38">
        <f>FUNFIN!I13</f>
        <v>0.24044442099882307</v>
      </c>
      <c r="K6" s="38">
        <f>FUNFIN!I14</f>
        <v>0.51358671045903714</v>
      </c>
      <c r="L6" s="38">
        <f>FUNFIN!I15</f>
        <v>0.30869108567163012</v>
      </c>
      <c r="M6" s="38">
        <f>FUNFIN!I16</f>
        <v>0.28142001989743187</v>
      </c>
      <c r="N6" s="38">
        <f>FUNFIN!I17</f>
        <v>1.8197605693502144</v>
      </c>
      <c r="O6" s="38">
        <f>FUNFIN!I18</f>
        <v>3.2827830909226674</v>
      </c>
      <c r="P6" s="38">
        <f>FUNFIN!I19</f>
        <v>0.32683226113296293</v>
      </c>
      <c r="Q6" s="38">
        <f>FUNFIN!I20</f>
        <v>0.24193954254173725</v>
      </c>
      <c r="R6" s="38">
        <f>FUNFIN!I21</f>
        <v>0.83060682423548937</v>
      </c>
      <c r="S6" s="38">
        <f>FUNFIN!I22</f>
        <v>3.858474598818201</v>
      </c>
      <c r="T6" s="38">
        <f>FUNFIN!I23</f>
        <v>2.0989159691760961</v>
      </c>
    </row>
    <row r="7" spans="1:20" x14ac:dyDescent="0.35">
      <c r="A7" s="66" t="s">
        <v>0</v>
      </c>
      <c r="B7" s="38">
        <f>IPREM!I5</f>
        <v>54.951450642904895</v>
      </c>
      <c r="C7" s="38">
        <f>IPREM!I6</f>
        <v>91.306386775888015</v>
      </c>
      <c r="D7" s="38">
        <f>IPREM!I7</f>
        <v>1.0690954468485925</v>
      </c>
      <c r="E7" s="38">
        <f>IPREM!I8</f>
        <v>2.1215209640333299</v>
      </c>
      <c r="F7" s="38">
        <f>IPREM!I9</f>
        <v>2.1240625492850462</v>
      </c>
      <c r="G7" s="38">
        <f>IPREM!I10</f>
        <v>1.7882529078674418</v>
      </c>
      <c r="H7" s="38">
        <f>IPREM!I11</f>
        <v>1.5280668631711862</v>
      </c>
      <c r="I7" s="38">
        <f>IPREM!I12</f>
        <v>1.618706079259197</v>
      </c>
      <c r="J7" s="38">
        <f>IPREM!I13</f>
        <v>2.7328418048835981</v>
      </c>
      <c r="K7" s="38">
        <f>IPREM!I14</f>
        <v>1.4981654449045514</v>
      </c>
      <c r="L7" s="38">
        <f>IPREM!I15</f>
        <v>2.3705566837606402</v>
      </c>
      <c r="M7" s="38">
        <f>IPREM!I16</f>
        <v>2.4745997918739944</v>
      </c>
      <c r="N7" s="38">
        <f>IPREM!I17</f>
        <v>1.473862163629144</v>
      </c>
      <c r="O7" s="38">
        <f>IPREM!I18</f>
        <v>1.3042307461476028</v>
      </c>
      <c r="P7" s="38">
        <f>IPREM!I19</f>
        <v>5.6612852128406717</v>
      </c>
      <c r="Q7" s="38">
        <f>IPREM!I20</f>
        <v>1.3647213512441414</v>
      </c>
      <c r="R7" s="38">
        <f>IPREM!I21</f>
        <v>3.7236559066447241</v>
      </c>
      <c r="S7" s="38">
        <f>IPREM!I22</f>
        <v>2.2014000417284745</v>
      </c>
      <c r="T7" s="38">
        <f>IPREM!I23</f>
        <v>1.0227673167476878</v>
      </c>
    </row>
    <row r="8" spans="1:20" x14ac:dyDescent="0.35">
      <c r="A8" s="66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71"/>
      <c r="P8" s="70"/>
    </row>
    <row r="9" spans="1:20" x14ac:dyDescent="0.35">
      <c r="A9" t="s">
        <v>16</v>
      </c>
      <c r="P9" s="70"/>
      <c r="R9" s="20"/>
    </row>
    <row r="10" spans="1:20" ht="14.5" customHeight="1" x14ac:dyDescent="0.35">
      <c r="B10" s="79" t="s">
        <v>29</v>
      </c>
      <c r="C10" s="79"/>
      <c r="D10" s="79"/>
      <c r="E10" s="79"/>
      <c r="F10" s="79"/>
      <c r="G10" s="79"/>
      <c r="H10" s="79"/>
      <c r="I10" s="79"/>
      <c r="J10" s="75"/>
      <c r="K10" s="75"/>
      <c r="L10" s="75"/>
      <c r="M10" s="75"/>
      <c r="N10" s="75"/>
      <c r="O10" s="75"/>
      <c r="P10" s="75"/>
      <c r="Q10" s="75"/>
      <c r="R10" s="75"/>
    </row>
    <row r="11" spans="1:20" ht="14.5" customHeight="1" x14ac:dyDescent="0.35">
      <c r="B11" s="79"/>
      <c r="C11" s="79"/>
      <c r="D11" s="79"/>
      <c r="E11" s="79"/>
      <c r="F11" s="79"/>
      <c r="G11" s="79"/>
      <c r="H11" s="79"/>
      <c r="I11" s="79"/>
      <c r="J11" s="75"/>
      <c r="K11" s="75"/>
      <c r="L11" s="75"/>
      <c r="M11" s="75"/>
      <c r="N11" s="75"/>
      <c r="O11" s="75"/>
      <c r="P11" s="75"/>
      <c r="Q11" s="75"/>
      <c r="R11" s="75"/>
    </row>
    <row r="12" spans="1:20" x14ac:dyDescent="0.35">
      <c r="B12" s="79"/>
      <c r="C12" s="79"/>
      <c r="D12" s="79"/>
      <c r="E12" s="79"/>
      <c r="F12" s="79"/>
      <c r="G12" s="79"/>
      <c r="H12" s="79"/>
      <c r="I12" s="79"/>
      <c r="J12" s="75"/>
      <c r="K12" s="75"/>
      <c r="L12" s="75"/>
      <c r="M12" s="75"/>
      <c r="N12" s="75"/>
      <c r="O12" s="75"/>
      <c r="P12" s="75"/>
      <c r="Q12" s="75"/>
      <c r="R12" s="75"/>
    </row>
    <row r="13" spans="1:20" x14ac:dyDescent="0.35">
      <c r="B13" s="79"/>
      <c r="C13" s="79"/>
      <c r="D13" s="79"/>
      <c r="E13" s="79"/>
      <c r="F13" s="79"/>
      <c r="G13" s="79"/>
      <c r="H13" s="79"/>
      <c r="I13" s="79"/>
      <c r="J13" s="68"/>
      <c r="K13" s="68"/>
      <c r="L13" s="68"/>
      <c r="P13" s="70"/>
      <c r="R13" s="20"/>
    </row>
    <row r="14" spans="1:20" x14ac:dyDescent="0.35">
      <c r="B14" s="19"/>
      <c r="C14" s="68"/>
      <c r="D14" s="68"/>
      <c r="E14" s="68"/>
      <c r="F14" s="68"/>
      <c r="G14" s="68"/>
      <c r="H14" s="68"/>
      <c r="I14" s="68"/>
      <c r="J14" s="68"/>
      <c r="K14" s="68"/>
      <c r="L14" s="68"/>
      <c r="P14" s="70"/>
      <c r="R14" s="20"/>
    </row>
    <row r="15" spans="1:20" x14ac:dyDescent="0.35">
      <c r="A15" s="67" t="s">
        <v>30</v>
      </c>
      <c r="B15" s="67" t="s">
        <v>20</v>
      </c>
      <c r="C15" s="67" t="s">
        <v>21</v>
      </c>
      <c r="D15" s="67" t="s">
        <v>22</v>
      </c>
      <c r="E15" s="67" t="s">
        <v>23</v>
      </c>
      <c r="F15" s="67" t="s">
        <v>24</v>
      </c>
      <c r="G15" s="67" t="s">
        <v>25</v>
      </c>
      <c r="H15" s="67" t="s">
        <v>26</v>
      </c>
      <c r="I15" s="67" t="s">
        <v>27</v>
      </c>
      <c r="J15" s="67" t="s">
        <v>28</v>
      </c>
      <c r="K15" s="67" t="s">
        <v>78</v>
      </c>
      <c r="L15" s="67" t="s">
        <v>79</v>
      </c>
      <c r="M15" s="67" t="s">
        <v>80</v>
      </c>
      <c r="N15" s="67" t="s">
        <v>81</v>
      </c>
      <c r="O15" s="67" t="s">
        <v>86</v>
      </c>
      <c r="P15" s="67" t="s">
        <v>87</v>
      </c>
      <c r="Q15" s="67" t="s">
        <v>85</v>
      </c>
      <c r="R15" s="67" t="s">
        <v>88</v>
      </c>
      <c r="S15" s="9" t="s">
        <v>89</v>
      </c>
      <c r="T15" s="9" t="s">
        <v>90</v>
      </c>
    </row>
    <row r="16" spans="1:20" x14ac:dyDescent="0.35">
      <c r="A16" s="66" t="s">
        <v>17</v>
      </c>
      <c r="B16" s="70">
        <f>FUNPREV!J5</f>
        <v>2.4540399311011893</v>
      </c>
      <c r="C16" s="70">
        <f>FUNPREV!J6</f>
        <v>8.338241766088224</v>
      </c>
      <c r="D16" s="70">
        <f>FUNPREV!J7</f>
        <v>0.13822473979201857</v>
      </c>
      <c r="E16" s="70">
        <f>FUNPREV!J8</f>
        <v>2.6129819565881514</v>
      </c>
      <c r="F16" s="70">
        <f>FUNPREV!J9</f>
        <v>3.6451398949540401</v>
      </c>
      <c r="G16" s="70">
        <f>FUNPREV!J10</f>
        <v>14.249466224016025</v>
      </c>
      <c r="H16" s="70">
        <f>FUNPREV!J11</f>
        <v>0.45017862247063833</v>
      </c>
      <c r="I16" s="70">
        <f>FUNPREV!J12</f>
        <v>8.9361908855307917</v>
      </c>
      <c r="J16" s="70">
        <f>FUNPREV!J13</f>
        <v>5.1784262986039966</v>
      </c>
      <c r="K16" s="70">
        <f>FUNPREV!J14</f>
        <v>5.6513561590503159</v>
      </c>
      <c r="L16" s="70">
        <f>FUNPREV!J15</f>
        <v>3.7225715799839603</v>
      </c>
      <c r="M16" s="70">
        <f>FUNPREV!J16</f>
        <v>3.2942058991403318</v>
      </c>
      <c r="N16" s="70">
        <f>FUNPREV!J17</f>
        <v>3.6418885386756141</v>
      </c>
      <c r="O16" s="70">
        <f>FUNPREV!J18</f>
        <v>3.4855321079486643</v>
      </c>
      <c r="P16" s="70">
        <f>FUNPREV!J19</f>
        <v>5.3153030424790835</v>
      </c>
      <c r="Q16" s="70">
        <f>FUNPREV!J20</f>
        <v>2.3232884395151232</v>
      </c>
      <c r="R16" s="70">
        <f>FUNPREV!J21</f>
        <v>8.3810506135291956</v>
      </c>
      <c r="S16" s="70">
        <f>FUNPREV!J22</f>
        <v>6.0384956590861121</v>
      </c>
      <c r="T16" s="70">
        <f>FUNPREV!J23</f>
        <v>11.94138426608907</v>
      </c>
    </row>
    <row r="17" spans="1:22" x14ac:dyDescent="0.35">
      <c r="A17" t="s">
        <v>18</v>
      </c>
      <c r="B17" s="70">
        <f>FUNFIN!J5</f>
        <v>3.455728437841997E-2</v>
      </c>
      <c r="C17" s="70">
        <f>FUNFIN!J6</f>
        <v>1.3930602874239364</v>
      </c>
      <c r="D17" s="70">
        <f>FUNFIN!J7</f>
        <v>0.30440804440421299</v>
      </c>
      <c r="E17" s="70">
        <f>FUNFIN!J8</f>
        <v>0.14965200723558039</v>
      </c>
      <c r="F17" s="70">
        <f>FUNFIN!J9</f>
        <v>0.65788163810004796</v>
      </c>
      <c r="G17" s="70">
        <f>FUNFIN!J10</f>
        <v>1.6854170237729975</v>
      </c>
      <c r="H17" s="70">
        <f>FUNFIN!J11</f>
        <v>0.5671933338379318</v>
      </c>
      <c r="I17" s="70">
        <f>FUNFIN!J12</f>
        <v>0.56666157046201593</v>
      </c>
      <c r="J17" s="70">
        <f>FUNFIN!J13</f>
        <v>0.36611649936667068</v>
      </c>
      <c r="K17" s="70">
        <f>FUNFIN!J14</f>
        <v>0.93918707445938965</v>
      </c>
      <c r="L17" s="70">
        <f>FUNFIN!J15</f>
        <v>0.36356639535210034</v>
      </c>
      <c r="M17" s="70">
        <f>FUNFIN!J16</f>
        <v>0.2635380350628771</v>
      </c>
      <c r="N17" s="70">
        <f>FUNFIN!J17</f>
        <v>0.24437719062812413</v>
      </c>
      <c r="O17" s="70">
        <f>FUNFIN!J18</f>
        <v>2.1855035598560599</v>
      </c>
      <c r="P17" s="70">
        <f>FUNFIN!J19</f>
        <v>0.23041658331513004</v>
      </c>
      <c r="Q17" s="70">
        <f>FUNFIN!J20</f>
        <v>0.1348000737368501</v>
      </c>
      <c r="R17" s="70">
        <f>FUNFIN!J21</f>
        <v>0.57941688933250357</v>
      </c>
      <c r="S17" s="70">
        <f>FUNFIN!J22</f>
        <v>24.377521546722107</v>
      </c>
      <c r="T17" s="70">
        <f>FUNFIN!J23</f>
        <v>0.56829736951959875</v>
      </c>
    </row>
    <row r="18" spans="1:22" x14ac:dyDescent="0.35">
      <c r="A18" s="66" t="s">
        <v>0</v>
      </c>
      <c r="B18" s="70">
        <f>IPREM!J5</f>
        <v>40.257103032616214</v>
      </c>
      <c r="C18" s="70">
        <f>IPREM!J6</f>
        <v>7.4486324872959209</v>
      </c>
      <c r="D18" s="70">
        <f>IPREM!J7</f>
        <v>0.70993877366414837</v>
      </c>
      <c r="E18" s="70">
        <f>IPREM!J8</f>
        <v>1.6356879444597032</v>
      </c>
      <c r="F18" s="70">
        <f>IPREM!J9</f>
        <v>0.35382702644558639</v>
      </c>
      <c r="G18" s="70">
        <f>IPREM!J10</f>
        <v>14.198031382199069</v>
      </c>
      <c r="H18" s="70">
        <f>IPREM!J11</f>
        <v>4.4544412757152232</v>
      </c>
      <c r="I18" s="70">
        <f>IPREM!J12</f>
        <v>3.7688430254191996</v>
      </c>
      <c r="J18" s="70">
        <f>IPREM!J13</f>
        <v>3.8116282697236219</v>
      </c>
      <c r="K18" s="70">
        <f>IPREM!J14</f>
        <v>2.4827213439206499</v>
      </c>
      <c r="L18" s="70">
        <f>IPREM!J15</f>
        <v>2.2960866373182132</v>
      </c>
      <c r="M18" s="70">
        <f>IPREM!J16</f>
        <v>2.2026489059513681</v>
      </c>
      <c r="N18" s="70">
        <f>IPREM!J17</f>
        <v>0.98683773638066974</v>
      </c>
      <c r="O18" s="70">
        <f>IPREM!J18</f>
        <v>1.3841834624290037</v>
      </c>
      <c r="P18" s="70">
        <f>IPREM!J19</f>
        <v>3.8612885651389339</v>
      </c>
      <c r="Q18" s="70">
        <f>IPREM!J20</f>
        <v>1.06602359202677</v>
      </c>
      <c r="R18" s="70">
        <f>IPREM!J21</f>
        <v>1.1014952283254722</v>
      </c>
      <c r="S18" s="70">
        <f>IPREM!J22</f>
        <v>10.599582255343611</v>
      </c>
      <c r="T18" s="70">
        <f>IPREM!I23</f>
        <v>1.0227673167476878</v>
      </c>
    </row>
    <row r="19" spans="1:22" x14ac:dyDescent="0.35">
      <c r="B19" s="65"/>
      <c r="C19" s="65"/>
      <c r="D19" s="65"/>
      <c r="E19" s="65"/>
      <c r="F19" s="65"/>
      <c r="G19" s="65"/>
      <c r="H19" s="65"/>
      <c r="I19" s="65"/>
      <c r="J19" s="65"/>
      <c r="K19" s="38"/>
      <c r="L19" s="65"/>
      <c r="M19" s="65"/>
      <c r="N19" s="65"/>
      <c r="O19" s="65"/>
      <c r="P19" s="65"/>
      <c r="Q19" s="72"/>
      <c r="R19" s="73"/>
      <c r="S19" s="73"/>
      <c r="T19" s="73"/>
    </row>
    <row r="20" spans="1:22" ht="14.5" customHeight="1" x14ac:dyDescent="0.35">
      <c r="A20" t="s">
        <v>16</v>
      </c>
      <c r="P20" s="70"/>
    </row>
    <row r="21" spans="1:22" ht="14.5" customHeight="1" x14ac:dyDescent="0.35"/>
    <row r="22" spans="1:22" ht="14.5" customHeight="1" x14ac:dyDescent="0.35">
      <c r="B22" t="s">
        <v>31</v>
      </c>
    </row>
    <row r="23" spans="1:22" ht="14.5" customHeight="1" x14ac:dyDescent="0.35"/>
    <row r="24" spans="1:22" x14ac:dyDescent="0.3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7" t="s">
        <v>32</v>
      </c>
      <c r="T24" s="97"/>
      <c r="U24" s="97"/>
      <c r="V24" s="97"/>
    </row>
    <row r="25" spans="1:22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22" x14ac:dyDescent="0.35"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22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</sheetData>
  <mergeCells count="2">
    <mergeCell ref="B10:I13"/>
    <mergeCell ref="S24:V24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Z23"/>
  <sheetViews>
    <sheetView topLeftCell="E1" zoomScale="80" zoomScaleNormal="80" workbookViewId="0">
      <selection activeCell="X23" activeCellId="1" sqref="U23 X23"/>
    </sheetView>
  </sheetViews>
  <sheetFormatPr defaultRowHeight="14.5" x14ac:dyDescent="0.35"/>
  <cols>
    <col min="2" max="2" width="6.81640625" bestFit="1" customWidth="1"/>
    <col min="3" max="3" width="20.26953125" bestFit="1" customWidth="1"/>
    <col min="4" max="4" width="6.08984375" bestFit="1" customWidth="1"/>
    <col min="5" max="5" width="15.54296875" bestFit="1" customWidth="1"/>
    <col min="6" max="6" width="18.08984375" bestFit="1" customWidth="1"/>
    <col min="7" max="7" width="6.81640625" bestFit="1" customWidth="1"/>
    <col min="8" max="8" width="15.81640625" bestFit="1" customWidth="1"/>
    <col min="9" max="9" width="18.08984375" bestFit="1" customWidth="1"/>
    <col min="10" max="10" width="8.1796875" bestFit="1" customWidth="1"/>
    <col min="11" max="11" width="15.81640625" bestFit="1" customWidth="1"/>
    <col min="12" max="12" width="18.81640625" bestFit="1" customWidth="1"/>
    <col min="13" max="13" width="7.453125" customWidth="1"/>
    <col min="14" max="14" width="16.54296875" bestFit="1" customWidth="1"/>
    <col min="15" max="15" width="16.90625" bestFit="1" customWidth="1"/>
    <col min="16" max="16" width="8.1796875" bestFit="1" customWidth="1"/>
    <col min="17" max="17" width="15.26953125" bestFit="1" customWidth="1"/>
    <col min="18" max="18" width="19.6328125" bestFit="1" customWidth="1"/>
    <col min="19" max="19" width="13.81640625" customWidth="1"/>
    <col min="20" max="20" width="16.90625" bestFit="1" customWidth="1"/>
    <col min="21" max="21" width="15.26953125" bestFit="1" customWidth="1"/>
    <col min="22" max="22" width="8.1796875" bestFit="1" customWidth="1"/>
    <col min="23" max="23" width="13.08984375" bestFit="1" customWidth="1"/>
    <col min="24" max="24" width="16.90625" bestFit="1" customWidth="1"/>
    <col min="25" max="25" width="13.6328125" bestFit="1" customWidth="1"/>
    <col min="26" max="26" width="14.26953125" bestFit="1" customWidth="1"/>
  </cols>
  <sheetData>
    <row r="3" spans="2:26" x14ac:dyDescent="0.35">
      <c r="B3" s="69"/>
      <c r="C3" s="80" t="s">
        <v>18</v>
      </c>
      <c r="D3" s="80"/>
      <c r="E3" s="80"/>
      <c r="F3" s="80"/>
      <c r="G3" s="80"/>
      <c r="H3" s="80"/>
      <c r="I3" s="80"/>
      <c r="J3" s="80"/>
      <c r="K3" s="80"/>
      <c r="L3" s="69"/>
      <c r="M3" s="69"/>
      <c r="N3" s="69"/>
      <c r="O3" s="80" t="s">
        <v>17</v>
      </c>
      <c r="P3" s="80"/>
      <c r="Q3" s="80"/>
      <c r="R3" s="80"/>
      <c r="S3" s="80"/>
      <c r="T3" s="80"/>
      <c r="U3" s="80" t="s">
        <v>0</v>
      </c>
      <c r="V3" s="80"/>
      <c r="W3" s="80"/>
      <c r="X3" s="80"/>
      <c r="Y3" s="80"/>
      <c r="Z3" s="80"/>
    </row>
    <row r="4" spans="2:26" x14ac:dyDescent="0.35">
      <c r="B4" s="29"/>
      <c r="C4" s="22" t="s">
        <v>33</v>
      </c>
      <c r="D4" s="22" t="s">
        <v>73</v>
      </c>
      <c r="E4" s="22" t="s">
        <v>35</v>
      </c>
      <c r="F4" s="22" t="s">
        <v>36</v>
      </c>
      <c r="G4" s="22" t="s">
        <v>73</v>
      </c>
      <c r="H4" s="22" t="s">
        <v>35</v>
      </c>
      <c r="I4" s="22" t="s">
        <v>82</v>
      </c>
      <c r="J4" s="22" t="s">
        <v>73</v>
      </c>
      <c r="K4" s="22" t="s">
        <v>35</v>
      </c>
      <c r="L4" s="22" t="s">
        <v>33</v>
      </c>
      <c r="M4" s="22" t="s">
        <v>73</v>
      </c>
      <c r="N4" s="22" t="s">
        <v>35</v>
      </c>
      <c r="O4" s="22" t="s">
        <v>37</v>
      </c>
      <c r="P4" s="22" t="s">
        <v>34</v>
      </c>
      <c r="Q4" s="22" t="s">
        <v>35</v>
      </c>
      <c r="R4" s="22" t="s">
        <v>38</v>
      </c>
      <c r="S4" s="22" t="s">
        <v>73</v>
      </c>
      <c r="T4" s="22" t="s">
        <v>35</v>
      </c>
      <c r="U4" s="22" t="s">
        <v>37</v>
      </c>
      <c r="V4" s="22" t="s">
        <v>73</v>
      </c>
      <c r="W4" s="22" t="s">
        <v>35</v>
      </c>
      <c r="X4" s="22" t="s">
        <v>39</v>
      </c>
      <c r="Y4" s="22" t="s">
        <v>73</v>
      </c>
      <c r="Z4" s="22" t="s">
        <v>40</v>
      </c>
    </row>
    <row r="5" spans="2:26" x14ac:dyDescent="0.35">
      <c r="B5" s="23">
        <v>44774</v>
      </c>
      <c r="C5" s="33">
        <f>' PL Fundo'!C3*' PL Fundo'!I3</f>
        <v>4498588.95</v>
      </c>
      <c r="D5" s="37">
        <v>1.2042000000000001E-2</v>
      </c>
      <c r="E5" s="33">
        <v>11727.48</v>
      </c>
      <c r="F5" s="33" t="s">
        <v>41</v>
      </c>
      <c r="G5" s="33"/>
      <c r="H5" s="33"/>
      <c r="I5" s="33" t="s">
        <v>41</v>
      </c>
      <c r="J5" s="33" t="s">
        <v>41</v>
      </c>
      <c r="K5" s="33" t="s">
        <v>41</v>
      </c>
      <c r="L5" s="33">
        <f>' PL Fundo'!C3*' PL Fundo'!O3</f>
        <v>244060584.06000003</v>
      </c>
      <c r="M5" s="36">
        <v>1.2042000000000001E-2</v>
      </c>
      <c r="N5" s="34">
        <v>386944.52</v>
      </c>
      <c r="O5" s="33">
        <f>' PL Fundo'!D3*' PL Fundo'!Q3</f>
        <v>15949857.270000001</v>
      </c>
      <c r="P5" s="37">
        <v>6.0999999999999999E-5</v>
      </c>
      <c r="Q5" s="33">
        <v>-66291.86</v>
      </c>
      <c r="R5" s="33">
        <v>0</v>
      </c>
      <c r="S5" s="37" t="s">
        <v>41</v>
      </c>
      <c r="T5" s="33">
        <v>0</v>
      </c>
      <c r="U5" s="33">
        <f>' PL Fundo'!D3*' PL Fundo'!V3</f>
        <v>145576.87</v>
      </c>
      <c r="V5" s="25">
        <v>6.0999999999999999E-5</v>
      </c>
      <c r="W5" s="33">
        <v>69352.19</v>
      </c>
      <c r="X5" s="33" t="s">
        <v>41</v>
      </c>
      <c r="Y5" s="33"/>
      <c r="Z5" s="33"/>
    </row>
    <row r="6" spans="2:26" x14ac:dyDescent="0.35">
      <c r="B6" s="26">
        <v>44806</v>
      </c>
      <c r="C6" s="34">
        <f>' PL Fundo'!C4*' PL Fundo'!I4</f>
        <v>188200876.13</v>
      </c>
      <c r="D6" s="36">
        <v>1.0858E-2</v>
      </c>
      <c r="E6" s="34">
        <v>569263.89</v>
      </c>
      <c r="F6" s="34" t="s">
        <v>41</v>
      </c>
      <c r="G6" s="34"/>
      <c r="H6" s="34"/>
      <c r="I6" s="34" t="s">
        <v>41</v>
      </c>
      <c r="J6" s="34" t="s">
        <v>41</v>
      </c>
      <c r="K6" s="34" t="s">
        <v>41</v>
      </c>
      <c r="L6" s="34">
        <f>' PL Fundo'!C4*' PL Fundo'!O4</f>
        <v>1107975175.8699999</v>
      </c>
      <c r="M6" s="36">
        <v>1.0858E-2</v>
      </c>
      <c r="N6" s="34">
        <v>8316687.9299999997</v>
      </c>
      <c r="O6" s="34">
        <f>' PL Fundo'!D4*' PL Fundo'!Q4</f>
        <v>15947211.48</v>
      </c>
      <c r="P6" s="36">
        <v>4.0070000000000001E-3</v>
      </c>
      <c r="Q6" s="34">
        <v>63646.07</v>
      </c>
      <c r="R6" s="34">
        <v>0</v>
      </c>
      <c r="S6" s="36" t="s">
        <v>41</v>
      </c>
      <c r="T6" s="34">
        <v>0</v>
      </c>
      <c r="U6" s="34">
        <f>' PL Fundo'!D4*' PL Fundo'!V4</f>
        <v>146160.21</v>
      </c>
      <c r="V6" s="28">
        <v>4.0070000000000001E-3</v>
      </c>
      <c r="W6" s="34">
        <v>583.34</v>
      </c>
      <c r="X6" s="34">
        <f>' PL Fundo'!F4*' PL Fundo'!X4</f>
        <v>14047579.26</v>
      </c>
      <c r="Y6" s="36">
        <v>1.0513E-2</v>
      </c>
      <c r="Z6" s="34">
        <v>59441.96</v>
      </c>
    </row>
    <row r="7" spans="2:26" x14ac:dyDescent="0.35">
      <c r="B7" s="23">
        <v>44838</v>
      </c>
      <c r="C7" s="33">
        <f>' PL Fundo'!C5*' PL Fundo'!I5</f>
        <v>218189184.29000002</v>
      </c>
      <c r="D7" s="37">
        <v>9.8379999999999995E-3</v>
      </c>
      <c r="E7" s="33">
        <v>1935139.76</v>
      </c>
      <c r="F7" s="33" t="s">
        <v>41</v>
      </c>
      <c r="G7" s="33"/>
      <c r="H7" s="33"/>
      <c r="I7" s="33" t="s">
        <v>41</v>
      </c>
      <c r="J7" s="33" t="s">
        <v>41</v>
      </c>
      <c r="K7" s="33" t="s">
        <v>41</v>
      </c>
      <c r="L7" s="33">
        <f>' PL Fundo'!C5*' PL Fundo'!O5</f>
        <v>793578811.13999999</v>
      </c>
      <c r="M7" s="37">
        <v>9.8379999999999995E-3</v>
      </c>
      <c r="N7" s="33">
        <v>10613193.220000001</v>
      </c>
      <c r="O7" s="33">
        <f>' PL Fundo'!D5*' PL Fundo'!Q5</f>
        <v>16248601.66</v>
      </c>
      <c r="P7" s="37">
        <v>1.8898999999999999E-2</v>
      </c>
      <c r="Q7" s="33">
        <v>301390.18</v>
      </c>
      <c r="R7" s="33">
        <v>0</v>
      </c>
      <c r="S7" s="37" t="s">
        <v>41</v>
      </c>
      <c r="T7" s="33">
        <v>0</v>
      </c>
      <c r="U7" s="33">
        <f>' PL Fundo'!D5*' PL Fundo'!V5</f>
        <v>148922.51999999999</v>
      </c>
      <c r="V7" s="25">
        <v>1.8898999999999999E-2</v>
      </c>
      <c r="W7" s="33">
        <v>2762.31</v>
      </c>
      <c r="X7" s="33">
        <f>' PL Fundo'!F5*' PL Fundo'!X5</f>
        <v>16687608.380000001</v>
      </c>
      <c r="Y7" s="37">
        <v>1.0012999999999999E-2</v>
      </c>
      <c r="Z7" s="33">
        <v>168427.57</v>
      </c>
    </row>
    <row r="8" spans="2:26" x14ac:dyDescent="0.35">
      <c r="B8" s="26">
        <v>44870</v>
      </c>
      <c r="C8" s="34">
        <f>' PL Fundo'!C6*' PL Fundo'!I6</f>
        <v>226139827.19</v>
      </c>
      <c r="D8" s="36">
        <v>9.1409999999999998E-3</v>
      </c>
      <c r="E8" s="34">
        <v>2037477.15</v>
      </c>
      <c r="F8" s="34" t="s">
        <v>41</v>
      </c>
      <c r="G8" s="34"/>
      <c r="H8" s="34"/>
      <c r="I8" s="34" t="s">
        <v>41</v>
      </c>
      <c r="J8" s="34" t="s">
        <v>41</v>
      </c>
      <c r="K8" s="34" t="s">
        <v>41</v>
      </c>
      <c r="L8" s="34">
        <f>' PL Fundo'!C6*' PL Fundo'!O6</f>
        <v>831888674.49000001</v>
      </c>
      <c r="M8" s="36">
        <v>9.1409999999999998E-3</v>
      </c>
      <c r="N8" s="34">
        <v>10108680.560000001</v>
      </c>
      <c r="O8" s="34">
        <f>' PL Fundo'!D6*' PL Fundo'!Q6</f>
        <v>16188861.9</v>
      </c>
      <c r="P8" s="36">
        <v>-3.676E-3</v>
      </c>
      <c r="Q8" s="34">
        <v>-59739.76</v>
      </c>
      <c r="R8" s="34">
        <v>0</v>
      </c>
      <c r="S8" s="36" t="s">
        <v>41</v>
      </c>
      <c r="T8" s="34">
        <v>0</v>
      </c>
      <c r="U8" s="34">
        <f>' PL Fundo'!D6*' PL Fundo'!V6</f>
        <v>148374.99</v>
      </c>
      <c r="V8" s="28">
        <v>-3.676E-3</v>
      </c>
      <c r="W8" s="34">
        <v>-547.53</v>
      </c>
      <c r="X8" s="34">
        <f>' PL Fundo'!F6*' PL Fundo'!X6</f>
        <v>28220880.500000004</v>
      </c>
      <c r="Y8" s="37">
        <v>1.0016000000000001E-2</v>
      </c>
      <c r="Z8" s="34">
        <v>222643.57</v>
      </c>
    </row>
    <row r="9" spans="2:26" x14ac:dyDescent="0.35">
      <c r="B9" s="23">
        <v>44902</v>
      </c>
      <c r="C9" s="33">
        <f>' PL Fundo'!C7*' PL Fundo'!I7</f>
        <v>312349160</v>
      </c>
      <c r="D9" s="37">
        <v>1.157E-2</v>
      </c>
      <c r="E9" s="33">
        <v>3169913.13</v>
      </c>
      <c r="F9" s="33" t="s">
        <v>41</v>
      </c>
      <c r="G9" s="33"/>
      <c r="H9" s="33"/>
      <c r="I9" s="33" t="s">
        <v>41</v>
      </c>
      <c r="J9" s="33" t="s">
        <v>41</v>
      </c>
      <c r="K9" s="33" t="s">
        <v>41</v>
      </c>
      <c r="L9" s="33">
        <f>' PL Fundo'!C7*' PL Fundo'!O7</f>
        <v>705681991</v>
      </c>
      <c r="M9" s="37">
        <v>1.157E-2</v>
      </c>
      <c r="N9" s="33">
        <v>8605320.2699999996</v>
      </c>
      <c r="O9" s="33">
        <f>' PL Fundo'!D7*' PL Fundo'!Q7</f>
        <v>16336789.000000002</v>
      </c>
      <c r="P9" s="37">
        <v>9.1369999999999993E-3</v>
      </c>
      <c r="Q9" s="33">
        <v>147927.13</v>
      </c>
      <c r="R9" s="33">
        <v>0</v>
      </c>
      <c r="S9" s="37" t="s">
        <v>41</v>
      </c>
      <c r="T9" s="33">
        <v>0</v>
      </c>
      <c r="U9" s="33">
        <f>' PL Fundo'!D7*' PL Fundo'!V7</f>
        <v>814244.59000000008</v>
      </c>
      <c r="V9" s="25">
        <v>9.1369999999999993E-3</v>
      </c>
      <c r="W9" s="33">
        <v>7617.12</v>
      </c>
      <c r="X9" s="33">
        <f>' PL Fundo'!F7*' PL Fundo'!X7</f>
        <v>9545812.9600000009</v>
      </c>
      <c r="Y9" s="37">
        <v>1.1021E-2</v>
      </c>
      <c r="Z9" s="33">
        <v>245536.74</v>
      </c>
    </row>
    <row r="10" spans="2:26" x14ac:dyDescent="0.35">
      <c r="B10" s="26">
        <v>44934</v>
      </c>
      <c r="C10" s="34">
        <f>' PL Fundo'!C8*' PL Fundo'!I8</f>
        <v>319248358.23000002</v>
      </c>
      <c r="D10" s="36">
        <v>1.0569E-2</v>
      </c>
      <c r="E10" s="34">
        <v>3314758.74</v>
      </c>
      <c r="F10" s="34" t="s">
        <v>41</v>
      </c>
      <c r="G10" s="34"/>
      <c r="H10" s="34"/>
      <c r="I10" s="34" t="s">
        <v>41</v>
      </c>
      <c r="J10" s="34" t="s">
        <v>41</v>
      </c>
      <c r="K10" s="34" t="s">
        <v>41</v>
      </c>
      <c r="L10" s="34">
        <f>' PL Fundo'!C8*' PL Fundo'!O8</f>
        <v>541411799.02999997</v>
      </c>
      <c r="M10" s="36">
        <v>1.0569E-2</v>
      </c>
      <c r="N10" s="34">
        <v>7690632.2599999998</v>
      </c>
      <c r="O10" s="34">
        <f>' PL Fundo'!D8*' PL Fundo'!Q8</f>
        <v>16561376.270000001</v>
      </c>
      <c r="P10" s="36">
        <v>1.3747000000000001E-2</v>
      </c>
      <c r="Q10" s="34">
        <v>224587.24</v>
      </c>
      <c r="R10" s="34">
        <v>0</v>
      </c>
      <c r="S10" s="36" t="s">
        <v>41</v>
      </c>
      <c r="T10" s="34">
        <v>0</v>
      </c>
      <c r="U10" s="34">
        <f>' PL Fundo'!D8*' PL Fundo'!V8</f>
        <v>165229.21</v>
      </c>
      <c r="V10" s="28">
        <v>1.3747000000000001E-2</v>
      </c>
      <c r="W10" s="34">
        <v>9237.1</v>
      </c>
      <c r="X10" s="34">
        <f>' PL Fundo'!F8*' PL Fundo'!X8</f>
        <v>17810502.710000001</v>
      </c>
      <c r="Y10" s="36">
        <v>1.0985999999999999E-2</v>
      </c>
      <c r="Z10" s="34">
        <v>152935.23000000001</v>
      </c>
    </row>
    <row r="11" spans="2:26" x14ac:dyDescent="0.35">
      <c r="B11" s="23">
        <v>44966</v>
      </c>
      <c r="C11" s="33">
        <f>' PL Fundo'!C9*' PL Fundo'!I9</f>
        <v>317754684</v>
      </c>
      <c r="D11" s="37">
        <v>9.3130000000000001E-3</v>
      </c>
      <c r="E11" s="33">
        <v>3072267.76</v>
      </c>
      <c r="F11" s="33" t="s">
        <v>41</v>
      </c>
      <c r="G11" s="33"/>
      <c r="H11" s="33"/>
      <c r="I11" s="33" t="s">
        <v>41</v>
      </c>
      <c r="J11" s="33" t="s">
        <v>41</v>
      </c>
      <c r="K11" s="33" t="s">
        <v>41</v>
      </c>
      <c r="L11" s="33">
        <f>' PL Fundo'!C9*' PL Fundo'!O9</f>
        <v>203079061</v>
      </c>
      <c r="M11" s="37">
        <v>9.613E-3</v>
      </c>
      <c r="N11" s="33">
        <v>5214300.55</v>
      </c>
      <c r="O11" s="33">
        <f>' PL Fundo'!D9*' PL Fundo'!Q9</f>
        <v>16793050</v>
      </c>
      <c r="P11" s="37">
        <v>1.3988E-2</v>
      </c>
      <c r="Q11" s="33">
        <v>231674.14</v>
      </c>
      <c r="R11" s="33">
        <v>0</v>
      </c>
      <c r="S11" s="37" t="s">
        <v>41</v>
      </c>
      <c r="T11" s="33">
        <v>0</v>
      </c>
      <c r="U11" s="33">
        <f>' PL Fundo'!D9*' PL Fundo'!V9</f>
        <v>167540.57</v>
      </c>
      <c r="V11" s="25">
        <v>1.3988E-2</v>
      </c>
      <c r="W11" s="33">
        <v>2311.36</v>
      </c>
      <c r="X11" s="33">
        <f>' PL Fundo'!F9*' PL Fundo'!X9</f>
        <v>17429716.68</v>
      </c>
      <c r="Y11" s="37">
        <v>8.9859999999999992E-3</v>
      </c>
      <c r="Z11" s="33">
        <v>176894.48</v>
      </c>
    </row>
    <row r="12" spans="2:26" x14ac:dyDescent="0.35">
      <c r="B12" s="26">
        <v>44998</v>
      </c>
      <c r="C12" s="34">
        <f>' PL Fundo'!C10*' PL Fundo'!I10</f>
        <v>314975224.23000002</v>
      </c>
      <c r="D12" s="36">
        <v>1.1976000000000001E-2</v>
      </c>
      <c r="E12" s="34">
        <v>3829362.59</v>
      </c>
      <c r="F12" s="34">
        <f>' PL Fundo'!E10*' PL Fundo'!L10</f>
        <v>10000000</v>
      </c>
      <c r="G12" s="36">
        <v>1.158E-2</v>
      </c>
      <c r="H12" s="34">
        <v>0</v>
      </c>
      <c r="I12" s="34" t="s">
        <v>41</v>
      </c>
      <c r="J12" s="34" t="s">
        <v>41</v>
      </c>
      <c r="K12" s="34" t="s">
        <v>41</v>
      </c>
      <c r="L12" s="34">
        <f>' PL Fundo'!C10*' PL Fundo'!O10</f>
        <v>189481838.83000001</v>
      </c>
      <c r="M12" s="36">
        <v>1.1976000000000001E-2</v>
      </c>
      <c r="N12" s="34">
        <v>5910232.0499999998</v>
      </c>
      <c r="O12" s="34">
        <f>' PL Fundo'!D10*' PL Fundo'!Q10</f>
        <v>17042892.100000001</v>
      </c>
      <c r="P12" s="36">
        <v>1.4877E-2</v>
      </c>
      <c r="Q12" s="34">
        <v>249841.69</v>
      </c>
      <c r="R12" s="34">
        <v>0</v>
      </c>
      <c r="S12" s="36" t="s">
        <v>41</v>
      </c>
      <c r="T12" s="34">
        <v>0</v>
      </c>
      <c r="U12" s="34">
        <f>' PL Fundo'!D10*' PL Fundo'!V10</f>
        <v>170033.19</v>
      </c>
      <c r="V12" s="28">
        <v>1.4877E-2</v>
      </c>
      <c r="W12" s="34">
        <v>2492.62</v>
      </c>
      <c r="X12" s="34">
        <f>' PL Fundo'!F10*' PL Fundo'!X10</f>
        <v>21121907.460000001</v>
      </c>
      <c r="Y12" s="36">
        <v>1.1483999999999999E-2</v>
      </c>
      <c r="Z12" s="34">
        <v>266209.69</v>
      </c>
    </row>
    <row r="13" spans="2:26" x14ac:dyDescent="0.35">
      <c r="B13" s="23">
        <v>45030</v>
      </c>
      <c r="C13" s="33">
        <f>' PL Fundo'!C11*' PL Fundo'!I11</f>
        <v>294322071.00999999</v>
      </c>
      <c r="D13" s="37">
        <v>8.2839999999999997E-3</v>
      </c>
      <c r="E13" s="33">
        <v>2593713.42</v>
      </c>
      <c r="F13" s="33">
        <f>' PL Fundo'!E11*' PL Fundo'!L11</f>
        <v>34090136.520000003</v>
      </c>
      <c r="G13" s="37">
        <v>8.8880000000000001E-3</v>
      </c>
      <c r="H13" s="33">
        <v>129945.71</v>
      </c>
      <c r="I13" s="33" t="s">
        <v>41</v>
      </c>
      <c r="J13" s="33" t="s">
        <v>41</v>
      </c>
      <c r="K13" s="33" t="s">
        <v>41</v>
      </c>
      <c r="L13" s="33">
        <f>' PL Fundo'!C11*' PL Fundo'!O11</f>
        <v>0</v>
      </c>
      <c r="M13" s="37">
        <v>8.2839999999999997E-3</v>
      </c>
      <c r="N13" s="33">
        <v>1533317.07</v>
      </c>
      <c r="O13" s="33">
        <f>' PL Fundo'!D11*' PL Fundo'!Q11</f>
        <v>17195254.359999999</v>
      </c>
      <c r="P13" s="37">
        <v>8.9390000000000008E-3</v>
      </c>
      <c r="Q13" s="33">
        <v>152362.26</v>
      </c>
      <c r="R13" s="33">
        <v>122544766.91</v>
      </c>
      <c r="S13" s="37">
        <v>8.8880000000000001E-3</v>
      </c>
      <c r="T13" s="33">
        <v>2339032.88</v>
      </c>
      <c r="U13" s="33">
        <f>' PL Fundo'!D11*' PL Fundo'!V11</f>
        <v>171553.27</v>
      </c>
      <c r="V13" s="25">
        <v>8.9390000000000008E-3</v>
      </c>
      <c r="W13" s="33">
        <v>1520.08</v>
      </c>
      <c r="X13" s="33">
        <f>' PL Fundo'!F11*' PL Fundo'!X11</f>
        <v>18846111.09</v>
      </c>
      <c r="Y13" s="37">
        <v>9.0039999999999999E-3</v>
      </c>
      <c r="Z13" s="33">
        <v>196598.33</v>
      </c>
    </row>
    <row r="14" spans="2:26" x14ac:dyDescent="0.35">
      <c r="B14" s="26">
        <v>45062</v>
      </c>
      <c r="C14" s="34">
        <f>295696117.93</f>
        <v>295696117.93000001</v>
      </c>
      <c r="D14" s="36">
        <v>6.3E-3</v>
      </c>
      <c r="E14" s="34">
        <f>1868359.96</f>
        <v>1868359.96</v>
      </c>
      <c r="F14" s="34">
        <f>' PL Fundo'!E12*' PL Fundo'!L12</f>
        <v>89350760.790000007</v>
      </c>
      <c r="G14" s="36">
        <v>6.757E-3</v>
      </c>
      <c r="H14" s="34">
        <v>273496.90999999997</v>
      </c>
      <c r="I14" s="34" t="s">
        <v>41</v>
      </c>
      <c r="J14" s="34" t="s">
        <v>41</v>
      </c>
      <c r="K14" s="34" t="s">
        <v>41</v>
      </c>
      <c r="L14" s="34">
        <v>0</v>
      </c>
      <c r="M14" s="36" t="s">
        <v>41</v>
      </c>
      <c r="N14" s="34">
        <v>0</v>
      </c>
      <c r="O14" s="34">
        <f>' PL Fundo'!D12*' PL Fundo'!Q12</f>
        <v>17300306.309999999</v>
      </c>
      <c r="P14" s="36">
        <v>3.852E-3</v>
      </c>
      <c r="Q14" s="34">
        <v>66245.8</v>
      </c>
      <c r="R14" s="34">
        <v>122544766.91</v>
      </c>
      <c r="S14" s="36">
        <v>6.757E-3</v>
      </c>
      <c r="T14" s="34">
        <v>2516156.1</v>
      </c>
      <c r="U14" s="34">
        <f>' PL Fundo'!D12*' PL Fundo'!V12</f>
        <v>172601.35</v>
      </c>
      <c r="V14" s="28">
        <v>6.1000000000000004E-3</v>
      </c>
      <c r="W14" s="34">
        <v>660.92</v>
      </c>
      <c r="X14" s="34">
        <f>' PL Fundo'!F12*' PL Fundo'!X12</f>
        <v>26475433.73</v>
      </c>
      <c r="Y14" s="36">
        <v>1.0999999999999999E-2</v>
      </c>
      <c r="Z14" s="34">
        <v>156795.35999999999</v>
      </c>
    </row>
    <row r="15" spans="2:26" x14ac:dyDescent="0.35">
      <c r="B15" s="23">
        <v>45094</v>
      </c>
      <c r="C15" s="33">
        <v>299121992.87</v>
      </c>
      <c r="D15" s="37">
        <v>1.1585E-2</v>
      </c>
      <c r="E15" s="33">
        <v>3425874.97</v>
      </c>
      <c r="F15" s="33">
        <v>101166436.48</v>
      </c>
      <c r="G15" s="37">
        <v>1.0826000000000001E-2</v>
      </c>
      <c r="H15" s="33">
        <v>1041868.22</v>
      </c>
      <c r="I15" s="33" t="s">
        <v>41</v>
      </c>
      <c r="J15" s="33" t="s">
        <v>41</v>
      </c>
      <c r="K15" s="33" t="s">
        <v>41</v>
      </c>
      <c r="L15" s="33">
        <v>0</v>
      </c>
      <c r="M15" s="37" t="s">
        <v>41</v>
      </c>
      <c r="N15" s="33">
        <v>0</v>
      </c>
      <c r="O15" s="33">
        <v>17478657.57</v>
      </c>
      <c r="P15" s="37">
        <v>1.0309E-2</v>
      </c>
      <c r="Q15" s="33">
        <v>178351.26</v>
      </c>
      <c r="R15" s="33">
        <v>87762928.859999999</v>
      </c>
      <c r="S15" s="37">
        <v>1.0826000000000001E-2</v>
      </c>
      <c r="T15" s="33">
        <v>4239586.8899999997</v>
      </c>
      <c r="U15" s="33">
        <v>174380.72</v>
      </c>
      <c r="V15" s="25">
        <v>1.0309E-2</v>
      </c>
      <c r="W15" s="33">
        <v>1779.37</v>
      </c>
      <c r="X15" s="33">
        <v>25829127.579999998</v>
      </c>
      <c r="Y15" s="37">
        <v>1.0486000000000001E-2</v>
      </c>
      <c r="Z15" s="33">
        <v>313867.55</v>
      </c>
    </row>
    <row r="16" spans="2:26" x14ac:dyDescent="0.35">
      <c r="B16" s="26">
        <v>45126</v>
      </c>
      <c r="C16" s="34">
        <v>302288286.88999999</v>
      </c>
      <c r="D16" s="36">
        <v>1.0585000000000001E-2</v>
      </c>
      <c r="E16" s="34">
        <v>3166294.02</v>
      </c>
      <c r="F16" s="34">
        <v>107371753.43000001</v>
      </c>
      <c r="G16" s="36">
        <v>1.0562E-2</v>
      </c>
      <c r="H16" s="34">
        <v>1092617.8500000001</v>
      </c>
      <c r="I16" s="34" t="s">
        <v>41</v>
      </c>
      <c r="J16" s="34" t="s">
        <v>41</v>
      </c>
      <c r="K16" s="34" t="s">
        <v>41</v>
      </c>
      <c r="L16" s="34">
        <v>0</v>
      </c>
      <c r="M16" s="36" t="s">
        <v>41</v>
      </c>
      <c r="N16" s="34">
        <v>0</v>
      </c>
      <c r="O16" s="34">
        <v>17644729.760000002</v>
      </c>
      <c r="P16" s="36">
        <v>9.5010000000000008E-3</v>
      </c>
      <c r="Q16" s="34">
        <v>166072.19</v>
      </c>
      <c r="R16" s="34">
        <v>10306754.23</v>
      </c>
      <c r="S16" s="36">
        <v>1.0562E-2</v>
      </c>
      <c r="T16" s="34">
        <v>3809981.46</v>
      </c>
      <c r="U16" s="34">
        <v>176037.59</v>
      </c>
      <c r="V16" s="28">
        <v>9.4999999999999998E-3</v>
      </c>
      <c r="W16" s="34">
        <v>1656.87</v>
      </c>
      <c r="X16" s="34">
        <v>27376493.739999998</v>
      </c>
      <c r="Y16" s="36">
        <v>1.0500000000000001E-2</v>
      </c>
      <c r="Z16" s="34">
        <v>320463.43</v>
      </c>
    </row>
    <row r="17" spans="2:26" x14ac:dyDescent="0.35">
      <c r="B17" s="23">
        <v>45158</v>
      </c>
      <c r="C17" s="33">
        <v>0</v>
      </c>
      <c r="D17" s="37" t="s">
        <v>41</v>
      </c>
      <c r="E17" s="33">
        <v>0</v>
      </c>
      <c r="F17" s="33">
        <v>117703170.15000001</v>
      </c>
      <c r="G17" s="37">
        <v>1.1435000000000001E-2</v>
      </c>
      <c r="H17" s="33">
        <v>1258608.1299999999</v>
      </c>
      <c r="I17" s="33">
        <v>298114322.07999998</v>
      </c>
      <c r="J17" s="37">
        <v>-1.2872E-2</v>
      </c>
      <c r="K17" s="33">
        <v>-4264401.78</v>
      </c>
      <c r="L17" s="33">
        <v>0</v>
      </c>
      <c r="M17" s="37" t="s">
        <v>41</v>
      </c>
      <c r="N17" s="33">
        <v>0</v>
      </c>
      <c r="O17" s="33">
        <v>17747224.609999999</v>
      </c>
      <c r="P17" s="37">
        <v>5.8079999999999998E-3</v>
      </c>
      <c r="Q17" s="33">
        <v>102494.85</v>
      </c>
      <c r="R17" s="33">
        <v>45202198.740000002</v>
      </c>
      <c r="S17" s="37">
        <v>1.1435000000000001E-2</v>
      </c>
      <c r="T17" s="33">
        <v>3963387.34</v>
      </c>
      <c r="U17" s="33">
        <v>177060.16</v>
      </c>
      <c r="V17" s="25">
        <v>5.8079999999999998E-3</v>
      </c>
      <c r="W17" s="33">
        <v>1022.57</v>
      </c>
      <c r="X17" s="33">
        <v>25655381.48</v>
      </c>
      <c r="Y17" s="37">
        <v>1.1143999999999999E-2</v>
      </c>
      <c r="Z17" s="33">
        <v>317060.67</v>
      </c>
    </row>
    <row r="18" spans="2:26" x14ac:dyDescent="0.35">
      <c r="B18" s="26">
        <v>45190</v>
      </c>
      <c r="C18" s="34">
        <v>0</v>
      </c>
      <c r="D18" s="36">
        <v>0</v>
      </c>
      <c r="E18" s="34">
        <v>0</v>
      </c>
      <c r="F18" s="34">
        <v>418653582.23000002</v>
      </c>
      <c r="G18" s="36">
        <v>9.7429999999999999E-3</v>
      </c>
      <c r="H18" s="34">
        <v>3896143.02</v>
      </c>
      <c r="I18" s="34">
        <v>0</v>
      </c>
      <c r="J18" s="34">
        <v>-1.9555</v>
      </c>
      <c r="K18" s="34">
        <v>-171108.26</v>
      </c>
      <c r="L18" s="34">
        <v>0</v>
      </c>
      <c r="M18" s="36" t="s">
        <v>41</v>
      </c>
      <c r="N18" s="34">
        <v>0</v>
      </c>
      <c r="O18" s="34">
        <v>17766950.93</v>
      </c>
      <c r="P18" s="36">
        <v>1.111E-3</v>
      </c>
      <c r="Q18" s="34">
        <v>19726.32</v>
      </c>
      <c r="R18" s="34">
        <v>110774755.87</v>
      </c>
      <c r="S18" s="36">
        <v>9.7429999999999999E-3</v>
      </c>
      <c r="T18" s="34">
        <v>4194578.9800000004</v>
      </c>
      <c r="U18" s="34">
        <v>124785.81</v>
      </c>
      <c r="V18" s="28">
        <v>1.111E-3</v>
      </c>
      <c r="W18" s="34">
        <v>193.82</v>
      </c>
      <c r="X18" s="34">
        <v>35893123.829999998</v>
      </c>
      <c r="Y18" s="36">
        <v>9.5230000000000002E-3</v>
      </c>
      <c r="Z18" s="34">
        <v>283447.84999999998</v>
      </c>
    </row>
    <row r="19" spans="2:26" x14ac:dyDescent="0.35">
      <c r="B19" s="23">
        <v>45220</v>
      </c>
      <c r="C19" s="33">
        <v>0</v>
      </c>
      <c r="D19" s="37">
        <v>0</v>
      </c>
      <c r="E19" s="33">
        <v>0</v>
      </c>
      <c r="F19" s="33">
        <v>434040918.00999999</v>
      </c>
      <c r="G19" s="37">
        <v>9.7820000000000008E-3</v>
      </c>
      <c r="H19" s="33">
        <v>4158023.53</v>
      </c>
      <c r="I19" s="33">
        <v>0</v>
      </c>
      <c r="J19" s="37" t="s">
        <v>41</v>
      </c>
      <c r="K19" s="33" t="s">
        <v>41</v>
      </c>
      <c r="L19" s="33">
        <v>0</v>
      </c>
      <c r="M19" s="37" t="s">
        <v>41</v>
      </c>
      <c r="N19" s="33">
        <v>0</v>
      </c>
      <c r="O19" s="33">
        <v>17709388.829999998</v>
      </c>
      <c r="P19" s="37">
        <v>-3.2390000000000001E-3</v>
      </c>
      <c r="Q19" s="33">
        <v>-57562.1</v>
      </c>
      <c r="R19" s="33">
        <v>471182940.43000001</v>
      </c>
      <c r="S19" s="37">
        <v>9.7820000000000008E-3</v>
      </c>
      <c r="T19" s="33">
        <v>6876488.9900000002</v>
      </c>
      <c r="U19" s="33">
        <v>124381.53</v>
      </c>
      <c r="V19" s="25">
        <v>-3.2390000000000001E-3</v>
      </c>
      <c r="W19" s="33">
        <v>-404.28</v>
      </c>
      <c r="X19" s="33">
        <v>46308836.369999997</v>
      </c>
      <c r="Y19" s="37">
        <v>9.7429999999999999E-3</v>
      </c>
      <c r="Z19" s="33">
        <v>433680.66</v>
      </c>
    </row>
    <row r="20" spans="2:26" x14ac:dyDescent="0.35">
      <c r="B20" s="26">
        <v>45252</v>
      </c>
      <c r="C20" s="34">
        <v>0</v>
      </c>
      <c r="D20" s="36">
        <v>0</v>
      </c>
      <c r="E20" s="34">
        <v>0</v>
      </c>
      <c r="F20" s="34">
        <v>439012293.69999999</v>
      </c>
      <c r="G20" s="36">
        <v>9.0519999999999993E-3</v>
      </c>
      <c r="H20" s="34">
        <v>3951639.15</v>
      </c>
      <c r="I20" s="34">
        <v>0</v>
      </c>
      <c r="J20" s="34" t="s">
        <v>41</v>
      </c>
      <c r="K20" s="34" t="s">
        <v>41</v>
      </c>
      <c r="L20" s="34">
        <v>0</v>
      </c>
      <c r="M20" s="36" t="s">
        <v>41</v>
      </c>
      <c r="N20" s="34">
        <v>0</v>
      </c>
      <c r="O20" s="34">
        <v>18025850.760000002</v>
      </c>
      <c r="P20" s="36">
        <v>1.7868999999999999E-2</v>
      </c>
      <c r="Q20" s="34">
        <v>316461.93</v>
      </c>
      <c r="R20" s="34">
        <v>471178273.83999997</v>
      </c>
      <c r="S20" s="36">
        <v>9.0519999999999993E-3</v>
      </c>
      <c r="T20" s="34">
        <v>6509763.4199999999</v>
      </c>
      <c r="U20" s="34">
        <v>126604.19</v>
      </c>
      <c r="V20" s="28">
        <v>1.7868999999999999E-2</v>
      </c>
      <c r="W20" s="34">
        <v>2222.66</v>
      </c>
      <c r="X20" s="34">
        <v>54386822.25</v>
      </c>
      <c r="Y20" s="36">
        <v>8.9519999999999999E-3</v>
      </c>
      <c r="Z20" s="34">
        <v>475312.39</v>
      </c>
    </row>
    <row r="21" spans="2:26" x14ac:dyDescent="0.35">
      <c r="B21" s="23">
        <v>45284</v>
      </c>
      <c r="C21" s="33">
        <v>0</v>
      </c>
      <c r="D21" s="37">
        <v>0</v>
      </c>
      <c r="E21" s="33">
        <v>0</v>
      </c>
      <c r="F21" s="33">
        <v>507717100.25</v>
      </c>
      <c r="G21" s="37">
        <v>8.9519999999999999E-3</v>
      </c>
      <c r="H21" s="33">
        <v>4263183.7</v>
      </c>
      <c r="I21" s="33">
        <v>0</v>
      </c>
      <c r="J21" s="37" t="s">
        <v>41</v>
      </c>
      <c r="K21" s="33" t="s">
        <v>41</v>
      </c>
      <c r="L21" s="33">
        <v>0</v>
      </c>
      <c r="M21" s="37" t="s">
        <v>41</v>
      </c>
      <c r="N21" s="33">
        <v>0</v>
      </c>
      <c r="O21" s="33">
        <v>18286238.760000002</v>
      </c>
      <c r="P21" s="37">
        <v>1.4445E-2</v>
      </c>
      <c r="Q21" s="33">
        <v>260388</v>
      </c>
      <c r="R21" s="33">
        <v>1095622880.55</v>
      </c>
      <c r="S21" s="37">
        <v>8.9519999999999999E-3</v>
      </c>
      <c r="T21" s="33">
        <v>3779389.55</v>
      </c>
      <c r="U21" s="33">
        <v>128433.02</v>
      </c>
      <c r="V21" s="25">
        <v>1.4445E-2</v>
      </c>
      <c r="W21" s="33">
        <v>1828.83</v>
      </c>
      <c r="X21" s="33">
        <v>35238194.579999998</v>
      </c>
      <c r="Y21" s="37">
        <v>8.7320000000000002E-3</v>
      </c>
      <c r="Z21" s="33">
        <v>457952.98</v>
      </c>
    </row>
    <row r="22" spans="2:26" x14ac:dyDescent="0.35">
      <c r="B22" s="26">
        <v>45316</v>
      </c>
      <c r="C22" s="34">
        <v>0</v>
      </c>
      <c r="D22" s="36">
        <v>0</v>
      </c>
      <c r="E22" s="34">
        <v>0</v>
      </c>
      <c r="F22" s="34">
        <v>552671354.96000004</v>
      </c>
      <c r="G22" s="36">
        <v>9.6190000000000008E-3</v>
      </c>
      <c r="H22" s="34">
        <v>4814924.68</v>
      </c>
      <c r="I22" s="34">
        <v>0</v>
      </c>
      <c r="J22" s="34" t="s">
        <v>41</v>
      </c>
      <c r="K22" s="34" t="s">
        <v>41</v>
      </c>
      <c r="L22" s="34">
        <v>0</v>
      </c>
      <c r="M22" s="36" t="s">
        <v>41</v>
      </c>
      <c r="N22" s="34">
        <v>0</v>
      </c>
      <c r="O22" s="34">
        <v>18406967.399999999</v>
      </c>
      <c r="P22" s="36">
        <v>6.6020000000000002E-3</v>
      </c>
      <c r="Q22" s="34">
        <v>120728.64</v>
      </c>
      <c r="R22" s="34">
        <v>806672814.54999995</v>
      </c>
      <c r="S22" s="36">
        <v>9.6190000000000008E-3</v>
      </c>
      <c r="T22" s="34">
        <v>10396170.59</v>
      </c>
      <c r="U22" s="34">
        <v>129280.95</v>
      </c>
      <c r="V22" s="28">
        <v>6.6020000000000002E-3</v>
      </c>
      <c r="W22" s="34">
        <v>847.93</v>
      </c>
      <c r="X22" s="34">
        <v>29935414.149999999</v>
      </c>
      <c r="Y22" s="36">
        <v>9.3959999999999998E-3</v>
      </c>
      <c r="Z22" s="34">
        <v>303317.92</v>
      </c>
    </row>
    <row r="23" spans="2:26" x14ac:dyDescent="0.35">
      <c r="B23" s="23">
        <v>45348</v>
      </c>
      <c r="C23" s="33">
        <v>0</v>
      </c>
      <c r="D23" s="37">
        <v>0</v>
      </c>
      <c r="E23" s="33">
        <v>0</v>
      </c>
      <c r="F23" s="33">
        <v>181746029.72</v>
      </c>
      <c r="G23" s="37">
        <v>7.5810000000000001E-3</v>
      </c>
      <c r="H23" s="33">
        <v>3968371.63</v>
      </c>
      <c r="I23" s="33">
        <v>0</v>
      </c>
      <c r="J23" s="37" t="s">
        <v>41</v>
      </c>
      <c r="K23" s="33" t="s">
        <v>41</v>
      </c>
      <c r="L23" s="33">
        <v>0</v>
      </c>
      <c r="M23" s="37" t="s">
        <v>41</v>
      </c>
      <c r="N23" s="33">
        <v>0</v>
      </c>
      <c r="O23" s="33">
        <v>18494868.300000001</v>
      </c>
      <c r="P23" s="37">
        <v>4.7749999999999997E-3</v>
      </c>
      <c r="Q23" s="33">
        <v>87900.9</v>
      </c>
      <c r="R23" s="33">
        <v>757596327.85000002</v>
      </c>
      <c r="S23" s="37">
        <v>7.5810000000000001E-3</v>
      </c>
      <c r="T23" s="33">
        <v>7771869.9000000004</v>
      </c>
      <c r="U23" s="33">
        <v>129898.33</v>
      </c>
      <c r="V23" s="25">
        <v>4.7749999999999997E-3</v>
      </c>
      <c r="W23" s="33">
        <v>617.38</v>
      </c>
      <c r="X23" s="33">
        <v>22706550.719999999</v>
      </c>
      <c r="Y23" s="37">
        <v>7.8390000000000005E-3</v>
      </c>
      <c r="Z23" s="33">
        <v>224010.75</v>
      </c>
    </row>
  </sheetData>
  <mergeCells count="3">
    <mergeCell ref="U3:Z3"/>
    <mergeCell ref="O3:T3"/>
    <mergeCell ref="C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M29"/>
  <sheetViews>
    <sheetView zoomScaleNormal="100" workbookViewId="0">
      <selection activeCell="N24" sqref="N24"/>
    </sheetView>
  </sheetViews>
  <sheetFormatPr defaultRowHeight="14.5" x14ac:dyDescent="0.35"/>
  <cols>
    <col min="4" max="4" width="22.453125" bestFit="1" customWidth="1"/>
  </cols>
  <sheetData>
    <row r="2" spans="4:13" x14ac:dyDescent="0.35">
      <c r="D2" s="10" t="s">
        <v>42</v>
      </c>
      <c r="E2" s="81" t="s">
        <v>43</v>
      </c>
      <c r="F2" s="81"/>
      <c r="G2" s="81"/>
      <c r="H2" s="81"/>
      <c r="I2" s="81"/>
      <c r="J2" s="81"/>
      <c r="K2" s="81"/>
      <c r="L2" s="81"/>
      <c r="M2" s="81"/>
    </row>
    <row r="3" spans="4:13" x14ac:dyDescent="0.35">
      <c r="D3" s="87" t="s">
        <v>6</v>
      </c>
      <c r="E3" s="82" t="s">
        <v>44</v>
      </c>
      <c r="F3" s="82"/>
      <c r="G3" s="82"/>
      <c r="H3" s="82"/>
      <c r="I3" s="82"/>
      <c r="J3" s="82"/>
      <c r="K3" s="82"/>
      <c r="L3" s="82"/>
      <c r="M3" s="82"/>
    </row>
    <row r="4" spans="4:13" x14ac:dyDescent="0.35">
      <c r="D4" s="87"/>
      <c r="E4" s="82"/>
      <c r="F4" s="82"/>
      <c r="G4" s="82"/>
      <c r="H4" s="82"/>
      <c r="I4" s="82"/>
      <c r="J4" s="82"/>
      <c r="K4" s="82"/>
      <c r="L4" s="82"/>
      <c r="M4" s="82"/>
    </row>
    <row r="5" spans="4:13" x14ac:dyDescent="0.35">
      <c r="D5" s="85" t="s">
        <v>7</v>
      </c>
      <c r="E5" s="83" t="s">
        <v>45</v>
      </c>
      <c r="F5" s="83"/>
      <c r="G5" s="83"/>
      <c r="H5" s="83"/>
      <c r="I5" s="83"/>
      <c r="J5" s="83"/>
      <c r="K5" s="83"/>
      <c r="L5" s="83"/>
      <c r="M5" s="83"/>
    </row>
    <row r="6" spans="4:13" x14ac:dyDescent="0.35">
      <c r="D6" s="85"/>
      <c r="E6" s="83"/>
      <c r="F6" s="83"/>
      <c r="G6" s="83"/>
      <c r="H6" s="83"/>
      <c r="I6" s="83"/>
      <c r="J6" s="83"/>
      <c r="K6" s="83"/>
      <c r="L6" s="83"/>
      <c r="M6" s="83"/>
    </row>
    <row r="7" spans="4:13" ht="14.5" customHeight="1" x14ac:dyDescent="0.35">
      <c r="D7" s="87" t="s">
        <v>46</v>
      </c>
      <c r="E7" s="82" t="s">
        <v>47</v>
      </c>
      <c r="F7" s="82"/>
      <c r="G7" s="82"/>
      <c r="H7" s="82"/>
      <c r="I7" s="82"/>
      <c r="J7" s="82"/>
      <c r="K7" s="82"/>
      <c r="L7" s="82"/>
      <c r="M7" s="82"/>
    </row>
    <row r="8" spans="4:13" x14ac:dyDescent="0.35">
      <c r="D8" s="87"/>
      <c r="E8" s="82"/>
      <c r="F8" s="82"/>
      <c r="G8" s="82"/>
      <c r="H8" s="82"/>
      <c r="I8" s="82"/>
      <c r="J8" s="82"/>
      <c r="K8" s="82"/>
      <c r="L8" s="82"/>
      <c r="M8" s="82"/>
    </row>
    <row r="9" spans="4:13" x14ac:dyDescent="0.35">
      <c r="D9" s="12"/>
      <c r="E9" s="11"/>
      <c r="F9" s="11"/>
      <c r="G9" s="11"/>
      <c r="H9" s="11"/>
      <c r="I9" s="11"/>
      <c r="J9" s="11"/>
      <c r="K9" s="11"/>
      <c r="L9" s="11"/>
      <c r="M9" s="11"/>
    </row>
    <row r="10" spans="4:13" ht="29" x14ac:dyDescent="0.35">
      <c r="D10" s="13" t="s">
        <v>48</v>
      </c>
      <c r="E10" s="83" t="s">
        <v>49</v>
      </c>
      <c r="F10" s="83"/>
      <c r="G10" s="83"/>
      <c r="H10" s="83"/>
      <c r="I10" s="83"/>
      <c r="J10" s="83"/>
      <c r="K10" s="83"/>
      <c r="L10" s="83"/>
      <c r="M10" s="83"/>
    </row>
    <row r="11" spans="4:13" x14ac:dyDescent="0.35">
      <c r="D11" s="88" t="s">
        <v>50</v>
      </c>
      <c r="E11" s="84" t="s">
        <v>51</v>
      </c>
      <c r="F11" s="84"/>
      <c r="G11" s="84"/>
      <c r="H11" s="84"/>
      <c r="I11" s="84"/>
      <c r="J11" s="84"/>
      <c r="K11" s="84"/>
      <c r="L11" s="84"/>
      <c r="M11" s="84"/>
    </row>
    <row r="12" spans="4:13" x14ac:dyDescent="0.35">
      <c r="D12" s="88"/>
      <c r="E12" s="84"/>
      <c r="F12" s="84"/>
      <c r="G12" s="84"/>
      <c r="H12" s="84"/>
      <c r="I12" s="84"/>
      <c r="J12" s="84"/>
      <c r="K12" s="84"/>
      <c r="L12" s="84"/>
      <c r="M12" s="84"/>
    </row>
    <row r="13" spans="4:13" x14ac:dyDescent="0.35">
      <c r="D13" s="88"/>
      <c r="E13" s="84"/>
      <c r="F13" s="84"/>
      <c r="G13" s="84"/>
      <c r="H13" s="84"/>
      <c r="I13" s="84"/>
      <c r="J13" s="84"/>
      <c r="K13" s="84"/>
      <c r="L13" s="84"/>
      <c r="M13" s="84"/>
    </row>
    <row r="14" spans="4:13" x14ac:dyDescent="0.35">
      <c r="D14" s="89"/>
      <c r="E14" s="84"/>
      <c r="F14" s="84"/>
      <c r="G14" s="84"/>
      <c r="H14" s="84"/>
      <c r="I14" s="84"/>
      <c r="J14" s="84"/>
      <c r="K14" s="84"/>
      <c r="L14" s="84"/>
      <c r="M14" s="84"/>
    </row>
    <row r="15" spans="4:13" ht="14.5" customHeight="1" x14ac:dyDescent="0.35">
      <c r="D15" s="85" t="s">
        <v>52</v>
      </c>
      <c r="E15" s="83" t="s">
        <v>53</v>
      </c>
      <c r="F15" s="83"/>
      <c r="G15" s="83"/>
      <c r="H15" s="83"/>
      <c r="I15" s="83"/>
      <c r="J15" s="83"/>
      <c r="K15" s="83"/>
      <c r="L15" s="83"/>
      <c r="M15" s="83"/>
    </row>
    <row r="16" spans="4:13" x14ac:dyDescent="0.35">
      <c r="D16" s="85"/>
      <c r="E16" s="83"/>
      <c r="F16" s="83"/>
      <c r="G16" s="83"/>
      <c r="H16" s="83"/>
      <c r="I16" s="83"/>
      <c r="J16" s="83"/>
      <c r="K16" s="83"/>
      <c r="L16" s="83"/>
      <c r="M16" s="83"/>
    </row>
    <row r="17" spans="4:13" ht="14.5" customHeight="1" x14ac:dyDescent="0.35">
      <c r="D17" s="87" t="s">
        <v>10</v>
      </c>
      <c r="E17" s="82" t="s">
        <v>54</v>
      </c>
      <c r="F17" s="82"/>
      <c r="G17" s="82"/>
      <c r="H17" s="82"/>
      <c r="I17" s="82"/>
      <c r="J17" s="82"/>
      <c r="K17" s="82"/>
      <c r="L17" s="82"/>
      <c r="M17" s="82"/>
    </row>
    <row r="18" spans="4:13" x14ac:dyDescent="0.35">
      <c r="D18" s="87"/>
      <c r="E18" s="82"/>
      <c r="F18" s="82"/>
      <c r="G18" s="82"/>
      <c r="H18" s="82"/>
      <c r="I18" s="82"/>
      <c r="J18" s="82"/>
      <c r="K18" s="82"/>
      <c r="L18" s="82"/>
      <c r="M18" s="82"/>
    </row>
    <row r="19" spans="4:13" ht="14.5" customHeight="1" x14ac:dyDescent="0.35">
      <c r="D19" s="85" t="s">
        <v>11</v>
      </c>
      <c r="E19" s="83" t="s">
        <v>55</v>
      </c>
      <c r="F19" s="83"/>
      <c r="G19" s="83"/>
      <c r="H19" s="83"/>
      <c r="I19" s="83"/>
      <c r="J19" s="83"/>
      <c r="K19" s="83"/>
      <c r="L19" s="83"/>
      <c r="M19" s="83"/>
    </row>
    <row r="20" spans="4:13" x14ac:dyDescent="0.35">
      <c r="D20" s="85"/>
      <c r="E20" s="83"/>
      <c r="F20" s="83"/>
      <c r="G20" s="83"/>
      <c r="H20" s="83"/>
      <c r="I20" s="83"/>
      <c r="J20" s="83"/>
      <c r="K20" s="83"/>
      <c r="L20" s="83"/>
      <c r="M20" s="83"/>
    </row>
    <row r="21" spans="4:13" ht="14.5" customHeight="1" x14ac:dyDescent="0.35">
      <c r="D21" s="87" t="s">
        <v>56</v>
      </c>
      <c r="E21" s="82" t="s">
        <v>57</v>
      </c>
      <c r="F21" s="82"/>
      <c r="G21" s="82"/>
      <c r="H21" s="82"/>
      <c r="I21" s="82"/>
      <c r="J21" s="82"/>
      <c r="K21" s="82"/>
      <c r="L21" s="82"/>
      <c r="M21" s="82"/>
    </row>
    <row r="22" spans="4:13" x14ac:dyDescent="0.35">
      <c r="D22" s="87"/>
      <c r="E22" s="82"/>
      <c r="F22" s="82"/>
      <c r="G22" s="82"/>
      <c r="H22" s="82"/>
      <c r="I22" s="82"/>
      <c r="J22" s="82"/>
      <c r="K22" s="82"/>
      <c r="L22" s="82"/>
      <c r="M22" s="82"/>
    </row>
    <row r="23" spans="4:13" ht="14.5" customHeight="1" x14ac:dyDescent="0.35">
      <c r="D23" s="85" t="s">
        <v>58</v>
      </c>
      <c r="E23" s="83" t="s">
        <v>59</v>
      </c>
      <c r="F23" s="83"/>
      <c r="G23" s="83"/>
      <c r="H23" s="83"/>
      <c r="I23" s="83"/>
      <c r="J23" s="83"/>
      <c r="K23" s="83"/>
      <c r="L23" s="83"/>
      <c r="M23" s="83"/>
    </row>
    <row r="24" spans="4:13" x14ac:dyDescent="0.35">
      <c r="D24" s="86"/>
      <c r="E24" s="92"/>
      <c r="F24" s="92"/>
      <c r="G24" s="92"/>
      <c r="H24" s="92"/>
      <c r="I24" s="92"/>
      <c r="J24" s="92"/>
      <c r="K24" s="92"/>
      <c r="L24" s="92"/>
      <c r="M24" s="92"/>
    </row>
    <row r="26" spans="4:13" x14ac:dyDescent="0.35">
      <c r="D26" s="14" t="s">
        <v>60</v>
      </c>
      <c r="E26" s="91" t="s">
        <v>61</v>
      </c>
      <c r="F26" s="91"/>
      <c r="G26" s="91"/>
      <c r="H26" s="91"/>
    </row>
    <row r="28" spans="4:13" ht="14.5" customHeight="1" x14ac:dyDescent="0.35">
      <c r="D28" s="17" t="s">
        <v>62</v>
      </c>
      <c r="E28" s="90" t="s">
        <v>63</v>
      </c>
      <c r="F28" s="90"/>
      <c r="G28" s="90"/>
      <c r="H28" s="90"/>
      <c r="I28" s="90"/>
      <c r="J28" s="90"/>
      <c r="K28" s="90"/>
      <c r="L28" s="90"/>
      <c r="M28" s="90"/>
    </row>
    <row r="29" spans="4:13" x14ac:dyDescent="0.35">
      <c r="D29" s="15"/>
      <c r="E29" s="16"/>
      <c r="F29" s="16"/>
      <c r="G29" s="16"/>
      <c r="H29" s="16"/>
      <c r="I29" s="16"/>
      <c r="J29" s="16"/>
      <c r="K29" s="16"/>
      <c r="L29" s="16"/>
      <c r="M29" s="16"/>
    </row>
  </sheetData>
  <mergeCells count="22">
    <mergeCell ref="E28:M28"/>
    <mergeCell ref="E26:H26"/>
    <mergeCell ref="E17:M18"/>
    <mergeCell ref="E19:M20"/>
    <mergeCell ref="E21:M22"/>
    <mergeCell ref="E23:M24"/>
    <mergeCell ref="D23:D24"/>
    <mergeCell ref="D3:D4"/>
    <mergeCell ref="D5:D6"/>
    <mergeCell ref="D7:D8"/>
    <mergeCell ref="D15:D16"/>
    <mergeCell ref="D17:D18"/>
    <mergeCell ref="D19:D20"/>
    <mergeCell ref="D21:D22"/>
    <mergeCell ref="D11:D14"/>
    <mergeCell ref="E2:M2"/>
    <mergeCell ref="E3:M4"/>
    <mergeCell ref="E5:M6"/>
    <mergeCell ref="E7:M8"/>
    <mergeCell ref="E15:M16"/>
    <mergeCell ref="E10:M10"/>
    <mergeCell ref="E11:M14"/>
  </mergeCells>
  <hyperlinks>
    <hyperlink ref="E26" r:id="rId1" display="https://conteudo.cvm.gov.br/export/sites/cvm/menu/acesso_informacao/serieshistoricas/estudos/anexos/Estudo_Churning.pdf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K6"/>
  <sheetViews>
    <sheetView workbookViewId="0">
      <selection activeCell="L25" sqref="L25"/>
    </sheetView>
  </sheetViews>
  <sheetFormatPr defaultRowHeight="14.5" x14ac:dyDescent="0.35"/>
  <sheetData>
    <row r="3" spans="3:11" x14ac:dyDescent="0.35">
      <c r="C3" s="93" t="s">
        <v>64</v>
      </c>
      <c r="D3" s="93"/>
      <c r="E3" s="93"/>
      <c r="F3" s="93"/>
      <c r="G3" s="93"/>
      <c r="H3" s="93"/>
      <c r="I3" s="93"/>
      <c r="J3" s="93"/>
      <c r="K3" s="93"/>
    </row>
    <row r="4" spans="3:11" x14ac:dyDescent="0.35">
      <c r="C4" s="93"/>
      <c r="D4" s="93"/>
      <c r="E4" s="93"/>
      <c r="F4" s="93"/>
      <c r="G4" s="93"/>
      <c r="H4" s="93"/>
      <c r="I4" s="93"/>
      <c r="J4" s="93"/>
      <c r="K4" s="93"/>
    </row>
    <row r="5" spans="3:11" x14ac:dyDescent="0.35">
      <c r="C5" s="93"/>
      <c r="D5" s="93"/>
      <c r="E5" s="93"/>
      <c r="F5" s="93"/>
      <c r="G5" s="93"/>
      <c r="H5" s="93"/>
      <c r="I5" s="93"/>
      <c r="J5" s="93"/>
      <c r="K5" s="93"/>
    </row>
    <row r="6" spans="3:11" x14ac:dyDescent="0.35">
      <c r="C6" s="93"/>
      <c r="D6" s="93"/>
      <c r="E6" s="93"/>
      <c r="F6" s="93"/>
      <c r="G6" s="93"/>
      <c r="H6" s="93"/>
      <c r="I6" s="93"/>
      <c r="J6" s="93"/>
      <c r="K6" s="93"/>
    </row>
  </sheetData>
  <mergeCells count="1">
    <mergeCell ref="C3:K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13"/>
  <sheetViews>
    <sheetView zoomScaleNormal="100" workbookViewId="0">
      <selection activeCell="H30" sqref="H30"/>
    </sheetView>
  </sheetViews>
  <sheetFormatPr defaultRowHeight="14.5" x14ac:dyDescent="0.35"/>
  <cols>
    <col min="2" max="2" width="7.1796875" bestFit="1" customWidth="1"/>
    <col min="3" max="4" width="20.26953125" bestFit="1" customWidth="1"/>
    <col min="5" max="5" width="21.54296875" bestFit="1" customWidth="1"/>
    <col min="6" max="6" width="20.26953125" bestFit="1" customWidth="1"/>
    <col min="7" max="7" width="1.54296875" customWidth="1"/>
    <col min="8" max="8" width="17.81640625" bestFit="1" customWidth="1"/>
    <col min="9" max="9" width="7.453125" bestFit="1" customWidth="1"/>
    <col min="10" max="10" width="2" customWidth="1"/>
    <col min="11" max="11" width="17.36328125" bestFit="1" customWidth="1"/>
    <col min="12" max="12" width="6.453125" customWidth="1"/>
    <col min="13" max="13" width="1.54296875" customWidth="1"/>
    <col min="14" max="14" width="19.453125" bestFit="1" customWidth="1"/>
    <col min="15" max="15" width="7.1796875" bestFit="1" customWidth="1"/>
    <col min="16" max="16" width="16.7265625" bestFit="1" customWidth="1"/>
    <col min="17" max="17" width="6" bestFit="1" customWidth="1"/>
    <col min="18" max="18" width="17.81640625" bestFit="1" customWidth="1"/>
    <col min="19" max="19" width="7.1796875" bestFit="1" customWidth="1"/>
    <col min="20" max="20" width="1.54296875" customWidth="1"/>
    <col min="21" max="21" width="16.81640625" bestFit="1" customWidth="1"/>
    <col min="22" max="22" width="7.1796875" bestFit="1" customWidth="1"/>
    <col min="23" max="23" width="16.7265625" bestFit="1" customWidth="1"/>
    <col min="24" max="24" width="7.26953125" bestFit="1" customWidth="1"/>
  </cols>
  <sheetData>
    <row r="1" spans="2:27" x14ac:dyDescent="0.35">
      <c r="B1" s="95" t="s">
        <v>65</v>
      </c>
      <c r="C1" s="94"/>
      <c r="D1" s="94"/>
      <c r="E1" s="94"/>
      <c r="F1" s="96"/>
      <c r="G1" s="15"/>
      <c r="H1" s="95" t="s">
        <v>66</v>
      </c>
      <c r="I1" s="94"/>
      <c r="J1" s="94"/>
      <c r="K1" s="94"/>
      <c r="L1" s="94"/>
      <c r="M1" s="15"/>
      <c r="N1" s="94" t="s">
        <v>67</v>
      </c>
      <c r="O1" s="94"/>
      <c r="P1" s="94"/>
      <c r="Q1" s="94"/>
      <c r="R1" s="94"/>
      <c r="S1" s="94"/>
      <c r="T1" s="15"/>
      <c r="U1" s="94" t="s">
        <v>68</v>
      </c>
      <c r="V1" s="94"/>
      <c r="W1" s="94"/>
      <c r="X1" s="94"/>
      <c r="Y1" s="30"/>
      <c r="Z1" s="30"/>
      <c r="AA1" s="30"/>
    </row>
    <row r="2" spans="2:27" x14ac:dyDescent="0.35">
      <c r="C2" s="22" t="s">
        <v>69</v>
      </c>
      <c r="D2" s="22" t="s">
        <v>70</v>
      </c>
      <c r="E2" s="22" t="s">
        <v>36</v>
      </c>
      <c r="F2" s="22" t="s">
        <v>71</v>
      </c>
      <c r="G2" s="15"/>
      <c r="H2" s="22" t="s">
        <v>69</v>
      </c>
      <c r="I2" s="22" t="s">
        <v>72</v>
      </c>
      <c r="J2" s="22"/>
      <c r="K2" s="22" t="s">
        <v>36</v>
      </c>
      <c r="L2" s="22"/>
      <c r="M2" s="15"/>
      <c r="N2" s="22" t="s">
        <v>69</v>
      </c>
      <c r="O2" s="22" t="s">
        <v>73</v>
      </c>
      <c r="P2" s="22" t="s">
        <v>70</v>
      </c>
      <c r="Q2" s="22" t="s">
        <v>73</v>
      </c>
      <c r="R2" s="22" t="s">
        <v>36</v>
      </c>
      <c r="S2" s="22" t="s">
        <v>73</v>
      </c>
      <c r="T2" s="15"/>
      <c r="U2" s="22" t="s">
        <v>74</v>
      </c>
      <c r="V2" s="22" t="s">
        <v>75</v>
      </c>
      <c r="W2" t="s">
        <v>71</v>
      </c>
      <c r="X2" t="s">
        <v>76</v>
      </c>
    </row>
    <row r="3" spans="2:27" x14ac:dyDescent="0.35">
      <c r="B3" s="23">
        <v>44774</v>
      </c>
      <c r="C3" s="33">
        <v>5854200005.4499998</v>
      </c>
      <c r="D3" s="33">
        <v>6457640882.2299995</v>
      </c>
      <c r="E3" s="24"/>
      <c r="F3" s="33">
        <v>3302003123.8000002</v>
      </c>
      <c r="G3" s="15"/>
      <c r="H3" s="33">
        <v>4498588.95</v>
      </c>
      <c r="I3" s="7">
        <f t="shared" ref="I3:I11" si="0">H3/C3</f>
        <v>7.6843786440709469E-4</v>
      </c>
      <c r="J3" s="24"/>
      <c r="K3" s="24"/>
      <c r="L3" s="25"/>
      <c r="M3" s="15"/>
      <c r="N3" s="33">
        <v>244060584.06</v>
      </c>
      <c r="O3" s="25">
        <f>N3/C3</f>
        <v>4.1689826762459511E-2</v>
      </c>
      <c r="P3" s="33">
        <v>15949857.27</v>
      </c>
      <c r="Q3" s="25">
        <f>P3/D3</f>
        <v>2.4699201397046532E-3</v>
      </c>
      <c r="R3" s="24"/>
      <c r="S3" s="25"/>
      <c r="T3" s="15"/>
      <c r="U3" s="33">
        <v>145576.87</v>
      </c>
      <c r="V3" s="25">
        <f>U3/D3</f>
        <v>2.2543351768072977E-5</v>
      </c>
      <c r="W3" s="23">
        <v>0</v>
      </c>
      <c r="X3" s="25">
        <f>W3/F3</f>
        <v>0</v>
      </c>
    </row>
    <row r="4" spans="2:27" x14ac:dyDescent="0.35">
      <c r="B4" s="26">
        <v>44806</v>
      </c>
      <c r="C4" s="34">
        <v>6071749354.3100004</v>
      </c>
      <c r="D4" s="34">
        <v>6260416458.5799999</v>
      </c>
      <c r="E4" s="27"/>
      <c r="F4" s="34">
        <v>2146706440.79</v>
      </c>
      <c r="G4" s="15"/>
      <c r="H4" s="34">
        <v>188200876.13</v>
      </c>
      <c r="I4" s="8">
        <f t="shared" si="0"/>
        <v>3.0996153686154149E-2</v>
      </c>
      <c r="J4" s="27"/>
      <c r="K4" s="27"/>
      <c r="L4" s="28"/>
      <c r="M4" s="15"/>
      <c r="N4" s="34">
        <v>1107975175.8699999</v>
      </c>
      <c r="O4" s="28">
        <f>N4/C4</f>
        <v>0.18248038764701466</v>
      </c>
      <c r="P4" s="33">
        <v>15947211.48</v>
      </c>
      <c r="Q4" s="28">
        <f t="shared" ref="Q4:Q11" si="1">P4/D4</f>
        <v>2.5473084075970849E-3</v>
      </c>
      <c r="R4" s="27"/>
      <c r="S4" s="28"/>
      <c r="T4" s="15"/>
      <c r="U4" s="34">
        <v>146160.21</v>
      </c>
      <c r="V4" s="28">
        <f t="shared" ref="V4:V11" si="2">U4/D4</f>
        <v>2.3346723172015994E-5</v>
      </c>
      <c r="W4" s="31">
        <v>14047579.26</v>
      </c>
      <c r="X4" s="28">
        <f>W4/F4</f>
        <v>6.5437821367091125E-3</v>
      </c>
    </row>
    <row r="5" spans="2:27" x14ac:dyDescent="0.35">
      <c r="B5" s="23">
        <v>44838</v>
      </c>
      <c r="C5" s="33">
        <v>6033726634.0600004</v>
      </c>
      <c r="D5" s="33">
        <v>6120033935.0500002</v>
      </c>
      <c r="E5" s="24"/>
      <c r="F5" s="33">
        <v>3545165869.29</v>
      </c>
      <c r="G5" s="15"/>
      <c r="H5" s="33">
        <v>218189184.28999999</v>
      </c>
      <c r="I5" s="7">
        <f t="shared" si="0"/>
        <v>3.6161595896362961E-2</v>
      </c>
      <c r="J5" s="24"/>
      <c r="K5" s="24"/>
      <c r="L5" s="25"/>
      <c r="M5" s="15"/>
      <c r="N5" s="33">
        <v>793578811.13999999</v>
      </c>
      <c r="O5" s="25">
        <f>N5/C5</f>
        <v>0.13152382586580877</v>
      </c>
      <c r="P5" s="33">
        <v>16248601.66</v>
      </c>
      <c r="Q5" s="25">
        <f t="shared" si="1"/>
        <v>2.6549855494987953E-3</v>
      </c>
      <c r="R5" s="24"/>
      <c r="S5" s="25"/>
      <c r="T5" s="15"/>
      <c r="U5" s="33">
        <v>148922.51999999999</v>
      </c>
      <c r="V5" s="25">
        <f t="shared" si="2"/>
        <v>2.4333610169562451E-5</v>
      </c>
      <c r="W5" s="32">
        <v>16687608.380000001</v>
      </c>
      <c r="X5" s="25">
        <f t="shared" ref="X5:X11" si="3">W5/F5</f>
        <v>4.7071446006395389E-3</v>
      </c>
    </row>
    <row r="6" spans="2:27" x14ac:dyDescent="0.35">
      <c r="B6" s="26">
        <v>44870</v>
      </c>
      <c r="C6" s="34">
        <v>6379149625.4300003</v>
      </c>
      <c r="D6" s="34">
        <v>5994154495.0500002</v>
      </c>
      <c r="E6" s="27"/>
      <c r="F6" s="34">
        <v>3010568380.6999998</v>
      </c>
      <c r="G6" s="15"/>
      <c r="H6" s="34">
        <v>226139827.19</v>
      </c>
      <c r="I6" s="8">
        <f t="shared" si="0"/>
        <v>3.5449839001817827E-2</v>
      </c>
      <c r="J6" s="27"/>
      <c r="K6" s="27"/>
      <c r="L6" s="28"/>
      <c r="M6" s="15"/>
      <c r="N6" s="34">
        <v>831888674.49000001</v>
      </c>
      <c r="O6" s="28">
        <f t="shared" ref="O6:O7" si="4">N6/C6</f>
        <v>0.130407456061814</v>
      </c>
      <c r="P6" s="33">
        <v>16188861.9</v>
      </c>
      <c r="Q6" s="28">
        <f t="shared" si="1"/>
        <v>2.7007748821570809E-3</v>
      </c>
      <c r="R6" s="27"/>
      <c r="S6" s="28"/>
      <c r="T6" s="15"/>
      <c r="U6" s="34">
        <v>148374.99</v>
      </c>
      <c r="V6" s="28">
        <f t="shared" si="2"/>
        <v>2.475328090434251E-5</v>
      </c>
      <c r="W6" s="31">
        <v>28220880.5</v>
      </c>
      <c r="X6" s="28">
        <f t="shared" si="3"/>
        <v>9.3739377191752234E-3</v>
      </c>
    </row>
    <row r="7" spans="2:27" x14ac:dyDescent="0.35">
      <c r="B7" s="23">
        <v>44902</v>
      </c>
      <c r="C7" s="33">
        <v>6516931621</v>
      </c>
      <c r="D7" s="33">
        <v>5613586066</v>
      </c>
      <c r="E7" s="24"/>
      <c r="F7" s="33">
        <v>2628610077.6500001</v>
      </c>
      <c r="G7" s="15"/>
      <c r="H7" s="33">
        <v>312349160</v>
      </c>
      <c r="I7" s="7">
        <f t="shared" si="0"/>
        <v>4.7928868701567123E-2</v>
      </c>
      <c r="J7" s="24"/>
      <c r="K7" s="24"/>
      <c r="L7" s="25"/>
      <c r="M7" s="15"/>
      <c r="N7" s="33">
        <v>705681991</v>
      </c>
      <c r="O7" s="25">
        <f t="shared" si="4"/>
        <v>0.10828439395098573</v>
      </c>
      <c r="P7" s="33">
        <v>16336789</v>
      </c>
      <c r="Q7" s="25">
        <f t="shared" si="1"/>
        <v>2.9102233060872788E-3</v>
      </c>
      <c r="R7" s="24"/>
      <c r="S7" s="25"/>
      <c r="T7" s="15"/>
      <c r="U7" s="33">
        <v>814244.59</v>
      </c>
      <c r="V7" s="25">
        <f t="shared" si="2"/>
        <v>1.4504891889547455E-4</v>
      </c>
      <c r="W7" s="32">
        <v>9545812.9600000009</v>
      </c>
      <c r="X7" s="25">
        <f t="shared" si="3"/>
        <v>3.6315058825818849E-3</v>
      </c>
    </row>
    <row r="8" spans="2:27" x14ac:dyDescent="0.35">
      <c r="B8" s="26">
        <v>44934</v>
      </c>
      <c r="C8" s="34">
        <v>6652147222.3000002</v>
      </c>
      <c r="D8" s="34">
        <v>5663436627.4200001</v>
      </c>
      <c r="E8" s="27"/>
      <c r="F8" s="34">
        <v>3008502715.46</v>
      </c>
      <c r="G8" s="15"/>
      <c r="H8" s="34">
        <v>319248358.23000002</v>
      </c>
      <c r="I8" s="8">
        <f t="shared" si="0"/>
        <v>4.7991775822366557E-2</v>
      </c>
      <c r="J8" s="27"/>
      <c r="K8" s="27"/>
      <c r="L8" s="28"/>
      <c r="M8" s="15"/>
      <c r="N8" s="34">
        <v>541411799.02999997</v>
      </c>
      <c r="O8" s="28">
        <f t="shared" ref="O8:O13" si="5">N8/C8</f>
        <v>8.1389028374932032E-2</v>
      </c>
      <c r="P8" s="33">
        <v>16561376.27</v>
      </c>
      <c r="Q8" s="28">
        <f t="shared" si="1"/>
        <v>2.9242626623235649E-3</v>
      </c>
      <c r="R8" s="27"/>
      <c r="S8" s="28"/>
      <c r="T8" s="15"/>
      <c r="U8" s="34">
        <v>165229.21</v>
      </c>
      <c r="V8" s="28">
        <f t="shared" si="2"/>
        <v>2.9174725678050144E-5</v>
      </c>
      <c r="W8" s="31">
        <v>17810502.710000001</v>
      </c>
      <c r="X8" s="28">
        <f t="shared" si="3"/>
        <v>5.9200553878432432E-3</v>
      </c>
    </row>
    <row r="9" spans="2:27" x14ac:dyDescent="0.35">
      <c r="B9" s="23">
        <v>44966</v>
      </c>
      <c r="C9" s="33">
        <v>6645975923.5900002</v>
      </c>
      <c r="D9" s="33">
        <v>5666418207.6499996</v>
      </c>
      <c r="E9" s="24"/>
      <c r="F9" s="33">
        <v>2797516731.29</v>
      </c>
      <c r="G9" s="15"/>
      <c r="H9" s="33">
        <v>317754684</v>
      </c>
      <c r="I9" s="7">
        <f t="shared" si="0"/>
        <v>4.7811591202448468E-2</v>
      </c>
      <c r="J9" s="24"/>
      <c r="K9" s="24"/>
      <c r="L9" s="25"/>
      <c r="M9" s="15"/>
      <c r="N9" s="33">
        <v>203079061</v>
      </c>
      <c r="O9" s="25">
        <f t="shared" si="5"/>
        <v>3.0556695259633362E-2</v>
      </c>
      <c r="P9" s="33">
        <v>16793050</v>
      </c>
      <c r="Q9" s="25">
        <f t="shared" si="1"/>
        <v>2.9636093533174784E-3</v>
      </c>
      <c r="R9" s="24"/>
      <c r="S9" s="25"/>
      <c r="T9" s="15"/>
      <c r="U9" s="33">
        <v>167540.57</v>
      </c>
      <c r="V9" s="25">
        <f t="shared" si="2"/>
        <v>2.9567279339497097E-5</v>
      </c>
      <c r="W9" s="32">
        <v>17429716.68</v>
      </c>
      <c r="X9" s="25">
        <f t="shared" si="3"/>
        <v>6.2304244636144689E-3</v>
      </c>
    </row>
    <row r="10" spans="2:27" x14ac:dyDescent="0.35">
      <c r="B10" s="26">
        <v>44998</v>
      </c>
      <c r="C10" s="34">
        <v>6754991755.0900002</v>
      </c>
      <c r="D10" s="34">
        <v>5627693313.7399998</v>
      </c>
      <c r="E10" s="34">
        <v>28311339024.599998</v>
      </c>
      <c r="F10" s="34">
        <v>2403467578.9299998</v>
      </c>
      <c r="G10" s="15"/>
      <c r="H10" s="34">
        <v>314975224.23000002</v>
      </c>
      <c r="I10" s="8">
        <f t="shared" si="0"/>
        <v>4.6628513497838225E-2</v>
      </c>
      <c r="J10" s="27"/>
      <c r="K10" s="34">
        <v>10000000</v>
      </c>
      <c r="L10" s="28">
        <f>K10/E10</f>
        <v>3.5321536686452388E-4</v>
      </c>
      <c r="M10" s="15"/>
      <c r="N10" s="34">
        <v>189481838.83000001</v>
      </c>
      <c r="O10" s="28">
        <f t="shared" si="5"/>
        <v>2.8050639541820646E-2</v>
      </c>
      <c r="P10" s="33">
        <v>17042892.100000001</v>
      </c>
      <c r="Q10" s="28">
        <f t="shared" si="1"/>
        <v>3.02839745342729E-3</v>
      </c>
      <c r="R10" s="34">
        <v>10000000</v>
      </c>
      <c r="S10" s="28">
        <f>R10/E10</f>
        <v>3.5321536686452388E-4</v>
      </c>
      <c r="T10" s="15"/>
      <c r="U10" s="34">
        <v>170033.19</v>
      </c>
      <c r="V10" s="28">
        <f t="shared" si="2"/>
        <v>3.0213656025793798E-5</v>
      </c>
      <c r="W10" s="31">
        <v>21121907.460000001</v>
      </c>
      <c r="X10" s="28">
        <f t="shared" si="3"/>
        <v>8.7880975159245825E-3</v>
      </c>
    </row>
    <row r="11" spans="2:27" x14ac:dyDescent="0.35">
      <c r="B11" s="23">
        <v>45030</v>
      </c>
      <c r="C11" s="33">
        <v>6489955274.1099997</v>
      </c>
      <c r="D11" s="33">
        <v>5743838589.9700003</v>
      </c>
      <c r="E11" s="33">
        <v>29197206926.549999</v>
      </c>
      <c r="F11" s="33">
        <v>2377513032.5799999</v>
      </c>
      <c r="G11" s="15"/>
      <c r="H11" s="33">
        <v>294322071.00999999</v>
      </c>
      <c r="I11" s="7">
        <f t="shared" si="0"/>
        <v>4.5350400515720327E-2</v>
      </c>
      <c r="J11" s="24"/>
      <c r="K11" s="33">
        <v>34090136.520000003</v>
      </c>
      <c r="L11" s="25">
        <f>K11/E11</f>
        <v>1.1675821117327733E-3</v>
      </c>
      <c r="M11" s="15"/>
      <c r="N11" s="33">
        <v>0</v>
      </c>
      <c r="O11" s="25">
        <f t="shared" si="5"/>
        <v>0</v>
      </c>
      <c r="P11" s="33">
        <v>17195254.359999999</v>
      </c>
      <c r="Q11" s="25">
        <f t="shared" si="1"/>
        <v>2.993686903045409E-3</v>
      </c>
      <c r="R11" s="33">
        <v>122544766.91</v>
      </c>
      <c r="S11" s="25">
        <f>R11/E11</f>
        <v>4.1971400626875004E-3</v>
      </c>
      <c r="T11" s="15"/>
      <c r="U11" s="33">
        <v>171553.27</v>
      </c>
      <c r="V11" s="25">
        <f t="shared" si="2"/>
        <v>2.9867355656471539E-5</v>
      </c>
      <c r="W11" s="32">
        <v>18846111.09</v>
      </c>
      <c r="X11" s="25">
        <f t="shared" si="3"/>
        <v>7.9268171537839327E-3</v>
      </c>
    </row>
    <row r="12" spans="2:27" x14ac:dyDescent="0.35">
      <c r="B12" s="26">
        <v>45062</v>
      </c>
      <c r="C12" s="34">
        <v>6697491639.1199999</v>
      </c>
      <c r="D12" s="34">
        <v>5851090870.2399998</v>
      </c>
      <c r="E12" s="34">
        <v>30083074828.5</v>
      </c>
      <c r="F12" s="34">
        <v>2247203277.1599998</v>
      </c>
      <c r="G12" s="15"/>
      <c r="H12" s="34">
        <f>295696114.93</f>
        <v>295696114.93000001</v>
      </c>
      <c r="I12" s="8">
        <f>H12/C12</f>
        <v>4.4150277575986982E-2</v>
      </c>
      <c r="J12" s="27"/>
      <c r="K12" s="34">
        <f>89350760.79</f>
        <v>89350760.790000007</v>
      </c>
      <c r="L12" s="28">
        <f>K12/E12</f>
        <v>2.9701339141486689E-3</v>
      </c>
      <c r="M12" s="15"/>
      <c r="N12" s="34">
        <f>0</f>
        <v>0</v>
      </c>
      <c r="O12" s="28">
        <f t="shared" si="5"/>
        <v>0</v>
      </c>
      <c r="P12" s="33">
        <f>17300306.31</f>
        <v>17300306.309999999</v>
      </c>
      <c r="Q12" s="28">
        <f t="shared" ref="Q12:Q13" si="6">P12/D12</f>
        <v>2.956765959317664E-3</v>
      </c>
      <c r="R12" s="34">
        <f>141846419.89</f>
        <v>141846419.88999999</v>
      </c>
      <c r="S12" s="28">
        <f>R12/E12</f>
        <v>4.7151569677850221E-3</v>
      </c>
      <c r="T12" s="15"/>
      <c r="U12" s="34">
        <f>172601.35</f>
        <v>172601.35</v>
      </c>
      <c r="V12" s="28">
        <f>U12/D12</f>
        <v>2.9499003489740753E-5</v>
      </c>
      <c r="W12" s="31">
        <f>26475433.73</f>
        <v>26475433.73</v>
      </c>
      <c r="X12" s="28">
        <f t="shared" ref="X12" si="7">W12/F12</f>
        <v>1.1781503702441852E-2</v>
      </c>
    </row>
    <row r="13" spans="2:27" x14ac:dyDescent="0.35">
      <c r="B13" s="23">
        <v>45094</v>
      </c>
      <c r="C13" s="33">
        <v>6781214720.1099997</v>
      </c>
      <c r="D13" s="33">
        <v>5638426224.3500004</v>
      </c>
      <c r="E13" s="33">
        <v>26407746153.700001</v>
      </c>
      <c r="F13" s="33">
        <v>3166333212.3099999</v>
      </c>
      <c r="G13" s="15"/>
      <c r="H13" s="33">
        <f>299121992.87</f>
        <v>299121992.87</v>
      </c>
      <c r="I13" s="7">
        <f>H13/C13</f>
        <v>4.411038511771942E-2</v>
      </c>
      <c r="J13" s="24"/>
      <c r="K13" s="33">
        <v>101166436.48</v>
      </c>
      <c r="L13" s="25">
        <f>K13/E13</f>
        <v>3.8309379335587689E-3</v>
      </c>
      <c r="M13" s="15"/>
      <c r="N13" s="33"/>
      <c r="O13" s="25">
        <f t="shared" si="5"/>
        <v>0</v>
      </c>
      <c r="P13" s="33">
        <v>17478657.57</v>
      </c>
      <c r="Q13" s="25">
        <f t="shared" si="6"/>
        <v>3.099917756220167E-3</v>
      </c>
      <c r="R13" s="33">
        <v>87762928.859999999</v>
      </c>
      <c r="S13" s="25">
        <f>R13/E13</f>
        <v>3.3233782371731675E-3</v>
      </c>
      <c r="T13" s="15"/>
      <c r="U13" s="33">
        <v>174380.72</v>
      </c>
      <c r="V13" s="25">
        <f>U13/D13</f>
        <v>3.0927197246444889E-5</v>
      </c>
      <c r="W13" s="32">
        <v>26003508.300000001</v>
      </c>
      <c r="X13" s="25">
        <f>W13/F13</f>
        <v>8.2124989874420469E-3</v>
      </c>
    </row>
  </sheetData>
  <mergeCells count="4">
    <mergeCell ref="U1:X1"/>
    <mergeCell ref="H1:L1"/>
    <mergeCell ref="B1:F1"/>
    <mergeCell ref="N1:S1"/>
  </mergeCells>
  <pageMargins left="0.511811024" right="0.511811024" top="0.78740157499999996" bottom="0.78740157499999996" header="0.31496062000000002" footer="0.31496062000000002"/>
  <ignoredErrors>
    <ignoredError sqref="I1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IPREM</vt:lpstr>
      <vt:lpstr>FUNPREV</vt:lpstr>
      <vt:lpstr>FUNFIN</vt:lpstr>
      <vt:lpstr>Churning</vt:lpstr>
      <vt:lpstr>PL Carteira</vt:lpstr>
      <vt:lpstr>Legenda</vt:lpstr>
      <vt:lpstr>Legislação</vt:lpstr>
      <vt:lpstr> PL Fundo</vt:lpstr>
      <vt:lpstr>FUNFIN!Area_de_impressao</vt:lpstr>
      <vt:lpstr>FUNPREV!Area_de_impressao</vt:lpstr>
      <vt:lpstr>IPREM!Area_de_impressao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Economy</dc:creator>
  <cp:lastModifiedBy>Sandro Teixeira de Oliveira</cp:lastModifiedBy>
  <cp:revision/>
  <cp:lastPrinted>2023-08-07T17:52:38Z</cp:lastPrinted>
  <dcterms:created xsi:type="dcterms:W3CDTF">2023-04-10T13:15:54Z</dcterms:created>
  <dcterms:modified xsi:type="dcterms:W3CDTF">2024-02-29T13:37:24Z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2023-04-10T14:48:20Z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be15186c-4084-483a-91cf-00a9974e06d8</vt:lpwstr>
  </property>
  <property fmtid="{D5CDD505-2E9C-101B-9397-08002B2CF9AE}" pid="7" name="MSIP_Label_defa4170-0d19-0005-0004-bc88714345d2_ActionId">
    <vt:lpwstr>f80c294f-0f2d-44b3-832d-3c85985faf93</vt:lpwstr>
  </property>
  <property fmtid="{D5CDD505-2E9C-101B-9397-08002B2CF9AE}" pid="8" name="MSIP_Label_defa4170-0d19-0005-0004-bc88714345d2_ContentBits">
    <vt:lpwstr>0</vt:lpwstr>
  </property>
</Properties>
</file>