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6E9E53DD-A7FB-4A6F-B6F3-2476A3E8573C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4" l="1"/>
  <c r="F55" i="4"/>
  <c r="F56" i="4"/>
  <c r="F57" i="4"/>
  <c r="F53" i="4"/>
  <c r="H26" i="3"/>
  <c r="F113" i="4"/>
  <c r="E113" i="4"/>
  <c r="D113" i="4"/>
  <c r="F112" i="4"/>
  <c r="E112" i="4"/>
  <c r="D112" i="4"/>
  <c r="F111" i="4"/>
  <c r="F114" i="4" s="1"/>
  <c r="E111" i="4"/>
  <c r="E114" i="4" s="1"/>
  <c r="D111" i="4"/>
  <c r="D114" i="4" s="1"/>
  <c r="E57" i="4"/>
  <c r="D57" i="4"/>
  <c r="E56" i="4"/>
  <c r="D56" i="4"/>
  <c r="E55" i="4"/>
  <c r="D55" i="4"/>
  <c r="F58" i="4"/>
  <c r="E54" i="4"/>
  <c r="D54" i="4"/>
  <c r="E53" i="4"/>
  <c r="D53" i="4"/>
  <c r="D58" i="4" s="1"/>
  <c r="N37" i="4"/>
  <c r="Q37" i="4" s="1"/>
  <c r="R82" i="4" s="1"/>
  <c r="N36" i="4"/>
  <c r="Q36" i="4" s="1"/>
  <c r="T33" i="4"/>
  <c r="T32" i="4"/>
  <c r="T29" i="4"/>
  <c r="P29" i="4"/>
  <c r="O29" i="4"/>
  <c r="Q29" i="4" s="1"/>
  <c r="P28" i="4"/>
  <c r="O28" i="4"/>
  <c r="Q28" i="4" s="1"/>
  <c r="T27" i="4"/>
  <c r="P27" i="4"/>
  <c r="O27" i="4"/>
  <c r="Q27" i="4" s="1"/>
  <c r="P26" i="4"/>
  <c r="O26" i="4"/>
  <c r="Q26" i="4" s="1"/>
  <c r="P25" i="4"/>
  <c r="O25" i="4"/>
  <c r="Q25" i="4" s="1"/>
  <c r="O24" i="4"/>
  <c r="C23" i="4"/>
  <c r="I22" i="4"/>
  <c r="B87" i="3"/>
  <c r="B88" i="3" s="1"/>
  <c r="B89" i="3" s="1"/>
  <c r="B90" i="3" s="1"/>
  <c r="B91" i="3" s="1"/>
  <c r="B92" i="3" s="1"/>
  <c r="B93" i="3" s="1"/>
  <c r="B94" i="3" s="1"/>
  <c r="B95" i="3" s="1"/>
  <c r="B96" i="3" s="1"/>
  <c r="B86" i="3"/>
  <c r="L85" i="3"/>
  <c r="N85" i="3" s="1"/>
  <c r="L84" i="3"/>
  <c r="N84" i="3" s="1"/>
  <c r="P78" i="3"/>
  <c r="P79" i="3" s="1"/>
  <c r="B55" i="3"/>
  <c r="B56" i="3" s="1"/>
  <c r="B57" i="3" s="1"/>
  <c r="B58" i="3" s="1"/>
  <c r="B59" i="3" s="1"/>
  <c r="B60" i="3" s="1"/>
  <c r="B61" i="3" s="1"/>
  <c r="B62" i="3" s="1"/>
  <c r="B53" i="3"/>
  <c r="B54" i="3" s="1"/>
  <c r="B52" i="3"/>
  <c r="W30" i="3"/>
  <c r="X30" i="3" s="1"/>
  <c r="L30" i="3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M45" i="3" s="1"/>
  <c r="C29" i="3"/>
  <c r="B29" i="3"/>
  <c r="C28" i="3"/>
  <c r="B28" i="3"/>
  <c r="B27" i="3"/>
  <c r="B26" i="3"/>
  <c r="X25" i="3"/>
  <c r="M25" i="3"/>
  <c r="M30" i="3" s="1"/>
  <c r="D16" i="3"/>
  <c r="D15" i="3"/>
  <c r="D14" i="3"/>
  <c r="C27" i="3" s="1"/>
  <c r="D13" i="3"/>
  <c r="C26" i="3" s="1"/>
  <c r="T69" i="2"/>
  <c r="T70" i="2" s="1"/>
  <c r="T71" i="2" s="1"/>
  <c r="T72" i="2" s="1"/>
  <c r="K69" i="2"/>
  <c r="K70" i="2" s="1"/>
  <c r="K71" i="2" s="1"/>
  <c r="B67" i="2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U64" i="2"/>
  <c r="U65" i="2" s="1"/>
  <c r="L64" i="2"/>
  <c r="L65" i="2" s="1"/>
  <c r="L69" i="2" s="1"/>
  <c r="G19" i="2"/>
  <c r="C64" i="2" s="1"/>
  <c r="T18" i="2"/>
  <c r="K18" i="2"/>
  <c r="K19" i="2" s="1"/>
  <c r="K20" i="2" s="1"/>
  <c r="K21" i="2" s="1"/>
  <c r="G18" i="2"/>
  <c r="D14" i="2" s="1"/>
  <c r="B14" i="2"/>
  <c r="B15" i="2" s="1"/>
  <c r="U13" i="2"/>
  <c r="U14" i="2" s="1"/>
  <c r="L13" i="2"/>
  <c r="B17" i="1"/>
  <c r="B18" i="1" s="1"/>
  <c r="C18" i="1" s="1"/>
  <c r="B15" i="1"/>
  <c r="B16" i="1" s="1"/>
  <c r="C14" i="1"/>
  <c r="B14" i="1"/>
  <c r="D7" i="1"/>
  <c r="I82" i="4" l="1"/>
  <c r="I36" i="4"/>
  <c r="I35" i="4"/>
  <c r="I32" i="4"/>
  <c r="I31" i="4"/>
  <c r="I29" i="4"/>
  <c r="I27" i="4"/>
  <c r="I26" i="4"/>
  <c r="C31" i="4"/>
  <c r="C30" i="4"/>
  <c r="C28" i="4"/>
  <c r="C26" i="4"/>
  <c r="E58" i="4"/>
  <c r="C14" i="2"/>
  <c r="U69" i="2"/>
  <c r="U15" i="2"/>
  <c r="D15" i="2"/>
  <c r="B16" i="2"/>
  <c r="U18" i="2"/>
  <c r="L15" i="2"/>
  <c r="L14" i="2"/>
  <c r="C77" i="2"/>
  <c r="C76" i="2"/>
  <c r="C75" i="2"/>
  <c r="C74" i="2"/>
  <c r="C69" i="2"/>
  <c r="C71" i="2"/>
  <c r="C70" i="2"/>
  <c r="C73" i="2"/>
  <c r="C72" i="2"/>
  <c r="C68" i="2"/>
  <c r="T73" i="2"/>
  <c r="U72" i="2"/>
  <c r="B19" i="1"/>
  <c r="B20" i="1" s="1"/>
  <c r="B21" i="1" s="1"/>
  <c r="B22" i="1" s="1"/>
  <c r="T19" i="2"/>
  <c r="H27" i="3"/>
  <c r="H29" i="3" s="1"/>
  <c r="H28" i="3"/>
  <c r="F76" i="3" s="1"/>
  <c r="L18" i="2"/>
  <c r="L21" i="2"/>
  <c r="D16" i="2"/>
  <c r="C16" i="2"/>
  <c r="L19" i="2"/>
  <c r="C67" i="2"/>
  <c r="B17" i="2"/>
  <c r="C21" i="1"/>
  <c r="C19" i="1"/>
  <c r="C17" i="1"/>
  <c r="C15" i="1"/>
  <c r="D8" i="1"/>
  <c r="C16" i="1"/>
  <c r="C20" i="1"/>
  <c r="C15" i="2"/>
  <c r="L20" i="2"/>
  <c r="K22" i="2"/>
  <c r="K72" i="2"/>
  <c r="L71" i="2"/>
  <c r="M35" i="3"/>
  <c r="M43" i="3"/>
  <c r="L70" i="2"/>
  <c r="W31" i="3"/>
  <c r="M34" i="3"/>
  <c r="M38" i="3"/>
  <c r="M42" i="3"/>
  <c r="M31" i="3"/>
  <c r="M39" i="3"/>
  <c r="M33" i="3"/>
  <c r="M37" i="3"/>
  <c r="M41" i="3"/>
  <c r="I83" i="4"/>
  <c r="I84" i="4"/>
  <c r="U70" i="2"/>
  <c r="U71" i="2"/>
  <c r="M32" i="3"/>
  <c r="M36" i="3"/>
  <c r="M40" i="3"/>
  <c r="M44" i="3"/>
  <c r="P76" i="3"/>
  <c r="P77" i="3" s="1"/>
  <c r="P80" i="3" s="1"/>
  <c r="M84" i="3" s="1"/>
  <c r="L86" i="3"/>
  <c r="C36" i="4"/>
  <c r="C32" i="4"/>
  <c r="C29" i="4"/>
  <c r="C27" i="4"/>
  <c r="C83" i="4"/>
  <c r="C84" i="4" s="1"/>
  <c r="C33" i="4"/>
  <c r="C34" i="4"/>
  <c r="R83" i="4"/>
  <c r="R84" i="4" s="1"/>
  <c r="T36" i="4"/>
  <c r="T34" i="4"/>
  <c r="T30" i="4"/>
  <c r="T35" i="4"/>
  <c r="T31" i="4"/>
  <c r="T28" i="4"/>
  <c r="T26" i="4"/>
  <c r="C35" i="4"/>
  <c r="I28" i="4"/>
  <c r="I30" i="4"/>
  <c r="I34" i="4"/>
  <c r="I33" i="4"/>
  <c r="R96" i="4" l="1"/>
  <c r="R92" i="4"/>
  <c r="R88" i="4"/>
  <c r="R93" i="4"/>
  <c r="R89" i="4"/>
  <c r="R94" i="4"/>
  <c r="R90" i="4"/>
  <c r="R95" i="4"/>
  <c r="R91" i="4"/>
  <c r="R87" i="4"/>
  <c r="N86" i="3"/>
  <c r="M86" i="3"/>
  <c r="L87" i="3"/>
  <c r="M85" i="3"/>
  <c r="K73" i="2"/>
  <c r="L72" i="2"/>
  <c r="B23" i="1"/>
  <c r="C22" i="1"/>
  <c r="I95" i="4"/>
  <c r="I91" i="4"/>
  <c r="I87" i="4"/>
  <c r="I96" i="4"/>
  <c r="I92" i="4"/>
  <c r="I88" i="4"/>
  <c r="I93" i="4"/>
  <c r="I89" i="4"/>
  <c r="I94" i="4"/>
  <c r="I90" i="4"/>
  <c r="K23" i="2"/>
  <c r="L22" i="2"/>
  <c r="B18" i="2"/>
  <c r="D17" i="2"/>
  <c r="C17" i="2"/>
  <c r="F77" i="3"/>
  <c r="F78" i="3" s="1"/>
  <c r="C58" i="3"/>
  <c r="C55" i="3"/>
  <c r="C60" i="3"/>
  <c r="C57" i="3"/>
  <c r="C52" i="3"/>
  <c r="C61" i="3"/>
  <c r="C53" i="3"/>
  <c r="C62" i="3"/>
  <c r="C59" i="3"/>
  <c r="C54" i="3"/>
  <c r="C56" i="3"/>
  <c r="C94" i="4"/>
  <c r="C90" i="4"/>
  <c r="C95" i="4"/>
  <c r="C91" i="4"/>
  <c r="C87" i="4"/>
  <c r="C96" i="4"/>
  <c r="C92" i="4"/>
  <c r="C88" i="4"/>
  <c r="C93" i="4"/>
  <c r="C89" i="4"/>
  <c r="X31" i="3"/>
  <c r="W32" i="3"/>
  <c r="U19" i="2"/>
  <c r="T20" i="2"/>
  <c r="T74" i="2"/>
  <c r="U73" i="2"/>
  <c r="T21" i="2" l="1"/>
  <c r="U20" i="2"/>
  <c r="B19" i="2"/>
  <c r="D18" i="2"/>
  <c r="C18" i="2"/>
  <c r="K74" i="2"/>
  <c r="L73" i="2"/>
  <c r="T75" i="2"/>
  <c r="U74" i="2"/>
  <c r="C93" i="3"/>
  <c r="C89" i="3"/>
  <c r="C96" i="3"/>
  <c r="C95" i="3"/>
  <c r="C94" i="3"/>
  <c r="C88" i="3"/>
  <c r="C87" i="3"/>
  <c r="C86" i="3"/>
  <c r="C92" i="3"/>
  <c r="C91" i="3"/>
  <c r="C90" i="3"/>
  <c r="W33" i="3"/>
  <c r="X32" i="3"/>
  <c r="K24" i="2"/>
  <c r="L23" i="2"/>
  <c r="B24" i="1"/>
  <c r="C24" i="1" s="1"/>
  <c r="C23" i="1"/>
  <c r="L88" i="3"/>
  <c r="M87" i="3"/>
  <c r="N87" i="3"/>
  <c r="T76" i="2" l="1"/>
  <c r="U75" i="2"/>
  <c r="L24" i="2"/>
  <c r="K25" i="2"/>
  <c r="B20" i="2"/>
  <c r="D19" i="2"/>
  <c r="C19" i="2"/>
  <c r="N88" i="3"/>
  <c r="M88" i="3"/>
  <c r="L89" i="3"/>
  <c r="K75" i="2"/>
  <c r="L74" i="2"/>
  <c r="W34" i="3"/>
  <c r="X33" i="3"/>
  <c r="T22" i="2"/>
  <c r="U21" i="2"/>
  <c r="U22" i="2" l="1"/>
  <c r="T23" i="2"/>
  <c r="N89" i="3"/>
  <c r="M89" i="3"/>
  <c r="L90" i="3"/>
  <c r="L25" i="2"/>
  <c r="K26" i="2"/>
  <c r="K76" i="2"/>
  <c r="L75" i="2"/>
  <c r="X34" i="3"/>
  <c r="W35" i="3"/>
  <c r="B21" i="2"/>
  <c r="C20" i="2"/>
  <c r="D20" i="2"/>
  <c r="T77" i="2"/>
  <c r="U76" i="2"/>
  <c r="C21" i="2" l="1"/>
  <c r="D21" i="2"/>
  <c r="B22" i="2"/>
  <c r="T78" i="2"/>
  <c r="U77" i="2"/>
  <c r="U23" i="2"/>
  <c r="T24" i="2"/>
  <c r="K77" i="2"/>
  <c r="L76" i="2"/>
  <c r="X35" i="3"/>
  <c r="W36" i="3"/>
  <c r="L26" i="2"/>
  <c r="K27" i="2"/>
  <c r="N90" i="3"/>
  <c r="M90" i="3"/>
  <c r="L91" i="3"/>
  <c r="K78" i="2" l="1"/>
  <c r="L77" i="2"/>
  <c r="W37" i="3"/>
  <c r="X36" i="3"/>
  <c r="T25" i="2"/>
  <c r="U24" i="2"/>
  <c r="D22" i="2"/>
  <c r="B23" i="2"/>
  <c r="C22" i="2"/>
  <c r="L92" i="3"/>
  <c r="M91" i="3"/>
  <c r="N91" i="3"/>
  <c r="T79" i="2"/>
  <c r="U78" i="2"/>
  <c r="L27" i="2"/>
  <c r="K28" i="2"/>
  <c r="L28" i="2" l="1"/>
  <c r="K29" i="2"/>
  <c r="B24" i="2"/>
  <c r="C23" i="2"/>
  <c r="D23" i="2"/>
  <c r="N92" i="3"/>
  <c r="M92" i="3"/>
  <c r="L93" i="3"/>
  <c r="W38" i="3"/>
  <c r="X37" i="3"/>
  <c r="T80" i="2"/>
  <c r="U79" i="2"/>
  <c r="U25" i="2"/>
  <c r="T26" i="2"/>
  <c r="K79" i="2"/>
  <c r="L78" i="2"/>
  <c r="N93" i="3" l="1"/>
  <c r="M93" i="3"/>
  <c r="L94" i="3"/>
  <c r="D24" i="2"/>
  <c r="C24" i="2"/>
  <c r="U26" i="2"/>
  <c r="T27" i="2"/>
  <c r="L29" i="2"/>
  <c r="K30" i="2"/>
  <c r="L79" i="2"/>
  <c r="K80" i="2"/>
  <c r="T81" i="2"/>
  <c r="U80" i="2"/>
  <c r="X38" i="3"/>
  <c r="W39" i="3"/>
  <c r="X39" i="3" l="1"/>
  <c r="W40" i="3"/>
  <c r="U27" i="2"/>
  <c r="T28" i="2"/>
  <c r="N94" i="3"/>
  <c r="M94" i="3"/>
  <c r="L95" i="3"/>
  <c r="T82" i="2"/>
  <c r="U81" i="2"/>
  <c r="L80" i="2"/>
  <c r="K81" i="2"/>
  <c r="L30" i="2"/>
  <c r="K31" i="2"/>
  <c r="U28" i="2" l="1"/>
  <c r="T29" i="2"/>
  <c r="L96" i="3"/>
  <c r="M95" i="3"/>
  <c r="N95" i="3"/>
  <c r="W41" i="3"/>
  <c r="X40" i="3"/>
  <c r="T83" i="2"/>
  <c r="U82" i="2"/>
  <c r="K82" i="2"/>
  <c r="L81" i="2"/>
  <c r="L31" i="2"/>
  <c r="K32" i="2"/>
  <c r="T84" i="2" l="1"/>
  <c r="U84" i="2" s="1"/>
  <c r="U83" i="2"/>
  <c r="L97" i="3"/>
  <c r="N96" i="3"/>
  <c r="M96" i="3"/>
  <c r="K83" i="2"/>
  <c r="L82" i="2"/>
  <c r="W42" i="3"/>
  <c r="X41" i="3"/>
  <c r="T30" i="2"/>
  <c r="U29" i="2"/>
  <c r="L32" i="2"/>
  <c r="K33" i="2"/>
  <c r="L33" i="2" s="1"/>
  <c r="M97" i="3" l="1"/>
  <c r="N97" i="3"/>
  <c r="L98" i="3"/>
  <c r="T31" i="2"/>
  <c r="U30" i="2"/>
  <c r="L83" i="2"/>
  <c r="K84" i="2"/>
  <c r="L84" i="2" s="1"/>
  <c r="X42" i="3"/>
  <c r="W43" i="3"/>
  <c r="U31" i="2" l="1"/>
  <c r="T32" i="2"/>
  <c r="N98" i="3"/>
  <c r="L99" i="3"/>
  <c r="M98" i="3"/>
  <c r="X43" i="3"/>
  <c r="W44" i="3"/>
  <c r="W45" i="3" l="1"/>
  <c r="X45" i="3" s="1"/>
  <c r="X44" i="3"/>
  <c r="U32" i="2"/>
  <c r="T33" i="2"/>
  <c r="U33" i="2" s="1"/>
  <c r="M99" i="3"/>
  <c r="N99" i="3"/>
</calcChain>
</file>

<file path=xl/sharedStrings.xml><?xml version="1.0" encoding="utf-8"?>
<sst xmlns="http://schemas.openxmlformats.org/spreadsheetml/2006/main" count="325" uniqueCount="98">
  <si>
    <t>SIMPLE IPR CURVE FOR UNDERSATURATED RESERVOIR</t>
  </si>
  <si>
    <t>Avg. Pr</t>
  </si>
  <si>
    <t>psi</t>
  </si>
  <si>
    <r>
      <rPr>
        <sz val="10"/>
        <color theme="1"/>
        <rFont val="Arial"/>
      </rPr>
      <t>(Pwf)</t>
    </r>
    <r>
      <rPr>
        <sz val="8"/>
        <color theme="1"/>
        <rFont val="Arial"/>
      </rPr>
      <t>stablized</t>
    </r>
  </si>
  <si>
    <r>
      <rPr>
        <sz val="10"/>
        <color theme="1"/>
        <rFont val="Arial"/>
      </rPr>
      <t>(Qo)</t>
    </r>
    <r>
      <rPr>
        <sz val="8"/>
        <color theme="1"/>
        <rFont val="Arial"/>
      </rPr>
      <t>stablized</t>
    </r>
  </si>
  <si>
    <t>STB/day</t>
  </si>
  <si>
    <t>Productivity index</t>
  </si>
  <si>
    <t>STB/day-psi</t>
  </si>
  <si>
    <t>AOF</t>
  </si>
  <si>
    <t>data values for plotting IPR curve</t>
  </si>
  <si>
    <t>Pwf</t>
  </si>
  <si>
    <t>Qo</t>
  </si>
  <si>
    <t>Vogel’s Method</t>
  </si>
  <si>
    <t>Saturated oil reservoirs (pr ≤ pb)</t>
  </si>
  <si>
    <t>Undersaturated oil reservoirs (pr &gt; pb)</t>
  </si>
  <si>
    <t>Pb</t>
  </si>
  <si>
    <t>data for plotting IPR curve</t>
  </si>
  <si>
    <t>CASE 1:</t>
  </si>
  <si>
    <t>CASE 2:</t>
  </si>
  <si>
    <t>The recorded stabilized bottom-hole flowing pressure is greater than or equal to the bubble-point pressure, i.e. pwf ≥ pb</t>
  </si>
  <si>
    <t>The recorded stabilized bottom-hole flowing pressure is less than the bubble-point pressure pwf &lt; pb</t>
  </si>
  <si>
    <t>vogel's</t>
  </si>
  <si>
    <t>constant J approach</t>
  </si>
  <si>
    <t>J</t>
  </si>
  <si>
    <t>Qob</t>
  </si>
  <si>
    <t>(Qmax)vogel</t>
  </si>
  <si>
    <t xml:space="preserve">J </t>
  </si>
  <si>
    <t xml:space="preserve">(Qo)max </t>
  </si>
  <si>
    <t>VOGEL'S FUTURE IPR PREDICTION</t>
  </si>
  <si>
    <t>Future Avg. Pr</t>
  </si>
  <si>
    <t>(Qomax)f</t>
  </si>
  <si>
    <t>(J)p</t>
  </si>
  <si>
    <t>(J)f</t>
  </si>
  <si>
    <t>(Qo)f</t>
  </si>
  <si>
    <t>IPR CURVE USING FETKOVITCH MODEL</t>
  </si>
  <si>
    <t>h</t>
  </si>
  <si>
    <t>in</t>
  </si>
  <si>
    <t>rw</t>
  </si>
  <si>
    <t>re</t>
  </si>
  <si>
    <t>uo at 2600psi</t>
  </si>
  <si>
    <t>cp</t>
  </si>
  <si>
    <t>Bo at 2600psi</t>
  </si>
  <si>
    <t>bbl/STB</t>
  </si>
  <si>
    <t>Qo, STB/day</t>
  </si>
  <si>
    <t>pwf, psi</t>
  </si>
  <si>
    <t>(Pr^2 - Pwf^2)</t>
  </si>
  <si>
    <t>S</t>
  </si>
  <si>
    <t>---</t>
  </si>
  <si>
    <t>value of uo and Bo is measured at (Pr+Pwf)/2</t>
  </si>
  <si>
    <t>K</t>
  </si>
  <si>
    <t>md</t>
  </si>
  <si>
    <t>log(Qo)</t>
  </si>
  <si>
    <t>log(Pr^2 - Pwf^2)</t>
  </si>
  <si>
    <t>slope</t>
  </si>
  <si>
    <t>intercept</t>
  </si>
  <si>
    <t>n</t>
  </si>
  <si>
    <t>C</t>
  </si>
  <si>
    <t>FETKOVITCH'S FUTURE IPR CURVE PREDICTION</t>
  </si>
  <si>
    <t>(n)p</t>
  </si>
  <si>
    <t>(C)p</t>
  </si>
  <si>
    <t>(C)f</t>
  </si>
  <si>
    <t>(vogels method)</t>
  </si>
  <si>
    <t>Fetkovich assumes that the value of the exponent n would not change as the reservoir pressure declines.</t>
  </si>
  <si>
    <t>(fetkovitch method)</t>
  </si>
  <si>
    <t>fetkovitch</t>
  </si>
  <si>
    <t>vogel</t>
  </si>
  <si>
    <t>Field case 3: Well B, Keokuk Pool, Seminole County, Oklahoma, August 1935</t>
  </si>
  <si>
    <t>Saturated reservoir</t>
  </si>
  <si>
    <t>Multi-rate test data</t>
  </si>
  <si>
    <t>Pr</t>
  </si>
  <si>
    <t>Pwf (psi)</t>
  </si>
  <si>
    <t>Oil Rate (bbl/day)</t>
  </si>
  <si>
    <t>C1</t>
  </si>
  <si>
    <t>test point (for two point correlation's)</t>
  </si>
  <si>
    <t>test point (for single point correlation's)</t>
  </si>
  <si>
    <t xml:space="preserve">IPR curve by using New correlation </t>
  </si>
  <si>
    <t>IPR curve by using Vogel's method</t>
  </si>
  <si>
    <t>IPR curve by using  Fetkovitch's method</t>
  </si>
  <si>
    <t>(Qo)max</t>
  </si>
  <si>
    <t>(Pr^2-Pwf^2)</t>
  </si>
  <si>
    <t>log(Pr^2-Pwf^2)</t>
  </si>
  <si>
    <t>null</t>
  </si>
  <si>
    <t>test point</t>
  </si>
  <si>
    <t>using test points to calculate C and n</t>
  </si>
  <si>
    <t>New correlation</t>
  </si>
  <si>
    <t>Vogel's</t>
  </si>
  <si>
    <t>Fetkovitch's</t>
  </si>
  <si>
    <t xml:space="preserve">Percentage Error </t>
  </si>
  <si>
    <t>Average absolute errors</t>
  </si>
  <si>
    <t xml:space="preserve">Field case 3: Well B, Keokuk Pool, Seminole County, Oklahoma, August 1935. </t>
  </si>
  <si>
    <t>The multi rate test has been repeated for this well from Field Case 2 after 8 months of production with a drop in reservoir pressure from 1714 psi to 1605 psi.</t>
  </si>
  <si>
    <t>(Pr)f</t>
  </si>
  <si>
    <t>(Pr)p</t>
  </si>
  <si>
    <t xml:space="preserve">Future IPR curve by using New correlation </t>
  </si>
  <si>
    <t>Future IPR curve by using Vogel's method</t>
  </si>
  <si>
    <t>(Qomax)p</t>
  </si>
  <si>
    <t>(by using Eickmeier equation)</t>
  </si>
  <si>
    <t>(by using vogel's equation)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</si>
</sst>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"/>
    <numFmt numFmtId="166" formatCode="0.000000000"/>
  </numFmts>
  <fonts count="18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i/>
      <sz val="10"/>
      <color theme="1"/>
      <name val="Arial"/>
    </font>
    <font>
      <b/>
      <i/>
      <sz val="10"/>
      <color theme="1"/>
      <name val="Arial"/>
      <scheme val="minor"/>
    </font>
    <font>
      <sz val="10"/>
      <color rgb="FFFFFFFF"/>
      <name val="Arial"/>
    </font>
    <font>
      <sz val="10"/>
      <color rgb="FFFFFFFF"/>
      <name val="Arial"/>
      <scheme val="minor"/>
    </font>
    <font>
      <sz val="10"/>
      <color rgb="FF000000"/>
      <name val="Inherit"/>
    </font>
    <font>
      <sz val="9"/>
      <color rgb="FF000000"/>
      <name val="Arial"/>
    </font>
    <font>
      <i/>
      <sz val="10"/>
      <color theme="1"/>
      <name val="Arial"/>
      <scheme val="minor"/>
    </font>
    <font>
      <b/>
      <i/>
      <sz val="10"/>
      <color rgb="FF000000"/>
      <name val="Arial"/>
    </font>
    <font>
      <i/>
      <sz val="11"/>
      <color rgb="FF000000"/>
      <name val="Arial"/>
    </font>
    <font>
      <sz val="8"/>
      <color theme="1"/>
      <name val="Arial"/>
    </font>
    <font>
      <b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0" xfId="0" applyFont="1" applyAlignment="1">
      <alignment horizontal="left"/>
    </xf>
    <xf numFmtId="0" fontId="2" fillId="5" borderId="1" xfId="0" applyFont="1" applyFill="1" applyBorder="1"/>
    <xf numFmtId="0" fontId="2" fillId="0" borderId="0" xfId="0" applyFont="1"/>
    <xf numFmtId="0" fontId="1" fillId="4" borderId="1" xfId="0" applyFont="1" applyFill="1" applyBorder="1"/>
    <xf numFmtId="0" fontId="2" fillId="6" borderId="1" xfId="0" applyFont="1" applyFill="1" applyBorder="1"/>
    <xf numFmtId="0" fontId="2" fillId="4" borderId="1" xfId="0" applyFont="1" applyFill="1" applyBorder="1"/>
    <xf numFmtId="0" fontId="5" fillId="3" borderId="1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4" borderId="1" xfId="0" applyFont="1" applyFill="1" applyBorder="1"/>
    <xf numFmtId="0" fontId="5" fillId="5" borderId="1" xfId="0" applyFont="1" applyFill="1" applyBorder="1"/>
    <xf numFmtId="0" fontId="3" fillId="0" borderId="0" xfId="0" applyFont="1"/>
    <xf numFmtId="0" fontId="2" fillId="5" borderId="1" xfId="0" applyFont="1" applyFill="1" applyBorder="1" applyAlignment="1">
      <alignment horizontal="right"/>
    </xf>
    <xf numFmtId="0" fontId="5" fillId="6" borderId="1" xfId="0" applyFont="1" applyFill="1" applyBorder="1"/>
    <xf numFmtId="0" fontId="2" fillId="7" borderId="1" xfId="0" applyFont="1" applyFill="1" applyBorder="1"/>
    <xf numFmtId="0" fontId="5" fillId="7" borderId="1" xfId="0" applyFont="1" applyFill="1" applyBorder="1"/>
    <xf numFmtId="0" fontId="6" fillId="4" borderId="1" xfId="0" applyFont="1" applyFill="1" applyBorder="1"/>
    <xf numFmtId="0" fontId="5" fillId="6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8" fillId="0" borderId="0" xfId="0" applyFont="1"/>
    <xf numFmtId="2" fontId="5" fillId="5" borderId="1" xfId="0" applyNumberFormat="1" applyFont="1" applyFill="1" applyBorder="1" applyAlignment="1">
      <alignment horizontal="right"/>
    </xf>
    <xf numFmtId="164" fontId="5" fillId="5" borderId="1" xfId="0" applyNumberFormat="1" applyFont="1" applyFill="1" applyBorder="1"/>
    <xf numFmtId="165" fontId="5" fillId="6" borderId="1" xfId="0" applyNumberFormat="1" applyFont="1" applyFill="1" applyBorder="1"/>
    <xf numFmtId="0" fontId="5" fillId="0" borderId="0" xfId="0" applyFont="1" applyAlignment="1">
      <alignment horizontal="left"/>
    </xf>
    <xf numFmtId="0" fontId="9" fillId="8" borderId="0" xfId="0" applyFont="1" applyFill="1"/>
    <xf numFmtId="0" fontId="10" fillId="8" borderId="0" xfId="0" applyFont="1" applyFill="1"/>
    <xf numFmtId="0" fontId="11" fillId="4" borderId="1" xfId="0" applyFont="1" applyFill="1" applyBorder="1" applyAlignment="1">
      <alignment horizontal="left"/>
    </xf>
    <xf numFmtId="0" fontId="12" fillId="7" borderId="1" xfId="0" applyFont="1" applyFill="1" applyBorder="1" applyAlignment="1">
      <alignment horizontal="right"/>
    </xf>
    <xf numFmtId="0" fontId="5" fillId="5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0" fontId="8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4" fillId="4" borderId="1" xfId="0" applyFont="1" applyFill="1" applyBorder="1" applyAlignment="1">
      <alignment horizontal="left"/>
    </xf>
    <xf numFmtId="0" fontId="8" fillId="4" borderId="1" xfId="0" applyFont="1" applyFill="1" applyBorder="1"/>
    <xf numFmtId="0" fontId="5" fillId="9" borderId="1" xfId="0" applyFont="1" applyFill="1" applyBorder="1"/>
    <xf numFmtId="0" fontId="15" fillId="0" borderId="0" xfId="0" applyFont="1"/>
    <xf numFmtId="0" fontId="12" fillId="8" borderId="0" xfId="0" applyFont="1" applyFill="1" applyAlignment="1">
      <alignment horizontal="center"/>
    </xf>
    <xf numFmtId="0" fontId="13" fillId="0" borderId="0" xfId="0" applyFont="1"/>
    <xf numFmtId="166" fontId="5" fillId="5" borderId="1" xfId="0" applyNumberFormat="1" applyFont="1" applyFill="1" applyBorder="1"/>
    <xf numFmtId="2" fontId="5" fillId="6" borderId="1" xfId="0" applyNumberFormat="1" applyFont="1" applyFill="1" applyBorder="1"/>
    <xf numFmtId="2" fontId="5" fillId="6" borderId="1" xfId="0" applyNumberFormat="1" applyFont="1" applyFill="1" applyBorder="1" applyAlignment="1">
      <alignment horizontal="right"/>
    </xf>
    <xf numFmtId="0" fontId="17" fillId="0" borderId="0" xfId="0" applyFont="1"/>
    <xf numFmtId="0" fontId="14" fillId="0" borderId="0" xfId="0" applyFont="1"/>
    <xf numFmtId="0" fontId="14" fillId="8" borderId="0" xfId="0" applyFont="1" applyFill="1"/>
    <xf numFmtId="0" fontId="2" fillId="4" borderId="2" xfId="0" applyFont="1" applyFill="1" applyBorder="1" applyAlignment="1"/>
    <xf numFmtId="0" fontId="4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IPR 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constant J approach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Sheet1!$C$14:$C$24</c:f>
              <c:numCache>
                <c:formatCode>General</c:formatCode>
                <c:ptCount val="11"/>
                <c:pt idx="0">
                  <c:v>0</c:v>
                </c:pt>
                <c:pt idx="1">
                  <c:v>35.75</c:v>
                </c:pt>
                <c:pt idx="2">
                  <c:v>71.5</c:v>
                </c:pt>
                <c:pt idx="3">
                  <c:v>107.25000000000001</c:v>
                </c:pt>
                <c:pt idx="4">
                  <c:v>143</c:v>
                </c:pt>
                <c:pt idx="5">
                  <c:v>178.75000000000003</c:v>
                </c:pt>
                <c:pt idx="6">
                  <c:v>214.50000000000003</c:v>
                </c:pt>
                <c:pt idx="7">
                  <c:v>250.25000000000003</c:v>
                </c:pt>
                <c:pt idx="8">
                  <c:v>286</c:v>
                </c:pt>
                <c:pt idx="9">
                  <c:v>321.75</c:v>
                </c:pt>
                <c:pt idx="10">
                  <c:v>357.50000000000006</c:v>
                </c:pt>
              </c:numCache>
            </c:numRef>
          </c:xVal>
          <c:yVal>
            <c:numRef>
              <c:f>Sheet1!$B$14:$B$24</c:f>
              <c:numCache>
                <c:formatCode>General</c:formatCode>
                <c:ptCount val="11"/>
                <c:pt idx="0">
                  <c:v>1300</c:v>
                </c:pt>
                <c:pt idx="1">
                  <c:v>1170</c:v>
                </c:pt>
                <c:pt idx="2">
                  <c:v>1040</c:v>
                </c:pt>
                <c:pt idx="3">
                  <c:v>910</c:v>
                </c:pt>
                <c:pt idx="4">
                  <c:v>780</c:v>
                </c:pt>
                <c:pt idx="5">
                  <c:v>650</c:v>
                </c:pt>
                <c:pt idx="6">
                  <c:v>520</c:v>
                </c:pt>
                <c:pt idx="7">
                  <c:v>390</c:v>
                </c:pt>
                <c:pt idx="8">
                  <c:v>260</c:v>
                </c:pt>
                <c:pt idx="9">
                  <c:v>130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202-4DFA-82C7-9F8227C4A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420400"/>
        <c:axId val="1117431440"/>
      </c:scatterChart>
      <c:valAx>
        <c:axId val="111742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31440"/>
        <c:crosses val="autoZero"/>
        <c:crossBetween val="midCat"/>
      </c:valAx>
      <c:valAx>
        <c:axId val="11174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Pwf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2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IPR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Fetkovitch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Sheet3!$M$30:$M$45</c:f>
              <c:numCache>
                <c:formatCode>0.00</c:formatCode>
                <c:ptCount val="16"/>
                <c:pt idx="0">
                  <c:v>0</c:v>
                </c:pt>
                <c:pt idx="1">
                  <c:v>127.4834946135188</c:v>
                </c:pt>
                <c:pt idx="2">
                  <c:v>254.9669892270376</c:v>
                </c:pt>
                <c:pt idx="3">
                  <c:v>382.45048384055639</c:v>
                </c:pt>
                <c:pt idx="4">
                  <c:v>509.9339784540752</c:v>
                </c:pt>
                <c:pt idx="5">
                  <c:v>637.41747306759396</c:v>
                </c:pt>
                <c:pt idx="6">
                  <c:v>697.97213300901535</c:v>
                </c:pt>
                <c:pt idx="7">
                  <c:v>752.15261821976094</c:v>
                </c:pt>
                <c:pt idx="8">
                  <c:v>799.95892869983038</c:v>
                </c:pt>
                <c:pt idx="9">
                  <c:v>841.39106444922402</c:v>
                </c:pt>
                <c:pt idx="10">
                  <c:v>876.44902546794174</c:v>
                </c:pt>
                <c:pt idx="11">
                  <c:v>905.13281175598343</c:v>
                </c:pt>
                <c:pt idx="12">
                  <c:v>927.4424233133492</c:v>
                </c:pt>
                <c:pt idx="13">
                  <c:v>943.37786014003905</c:v>
                </c:pt>
                <c:pt idx="14">
                  <c:v>952.93912223605298</c:v>
                </c:pt>
                <c:pt idx="15">
                  <c:v>956.126209601391</c:v>
                </c:pt>
              </c:numCache>
            </c:numRef>
          </c:xVal>
          <c:yVal>
            <c:numRef>
              <c:f>Sheet3!$L$30:$L$45</c:f>
              <c:numCache>
                <c:formatCode>General</c:formatCode>
                <c:ptCount val="16"/>
                <c:pt idx="0">
                  <c:v>3000</c:v>
                </c:pt>
                <c:pt idx="1">
                  <c:v>2700</c:v>
                </c:pt>
                <c:pt idx="2">
                  <c:v>2400</c:v>
                </c:pt>
                <c:pt idx="3">
                  <c:v>2100</c:v>
                </c:pt>
                <c:pt idx="4">
                  <c:v>1800</c:v>
                </c:pt>
                <c:pt idx="5">
                  <c:v>1500</c:v>
                </c:pt>
                <c:pt idx="6">
                  <c:v>1350</c:v>
                </c:pt>
                <c:pt idx="7">
                  <c:v>1200</c:v>
                </c:pt>
                <c:pt idx="8">
                  <c:v>1050</c:v>
                </c:pt>
                <c:pt idx="9">
                  <c:v>900</c:v>
                </c:pt>
                <c:pt idx="10">
                  <c:v>750</c:v>
                </c:pt>
                <c:pt idx="11">
                  <c:v>600</c:v>
                </c:pt>
                <c:pt idx="12">
                  <c:v>450</c:v>
                </c:pt>
                <c:pt idx="13">
                  <c:v>300</c:v>
                </c:pt>
                <c:pt idx="14">
                  <c:v>150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CA-477D-8C08-671D9329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420400"/>
        <c:axId val="1117431440"/>
      </c:scatterChart>
      <c:valAx>
        <c:axId val="1117420400"/>
        <c:scaling>
          <c:orientation val="minMax"/>
          <c:max val="1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31440"/>
        <c:crosses val="autoZero"/>
        <c:crossBetween val="midCat"/>
      </c:valAx>
      <c:valAx>
        <c:axId val="11174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Pwf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2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IPR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Fetkovitch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Sheet3!$X$30:$X$45</c:f>
              <c:numCache>
                <c:formatCode>General</c:formatCode>
                <c:ptCount val="16"/>
                <c:pt idx="0">
                  <c:v>0</c:v>
                </c:pt>
                <c:pt idx="1">
                  <c:v>112</c:v>
                </c:pt>
                <c:pt idx="2">
                  <c:v>224</c:v>
                </c:pt>
                <c:pt idx="3">
                  <c:v>336</c:v>
                </c:pt>
                <c:pt idx="4">
                  <c:v>448</c:v>
                </c:pt>
                <c:pt idx="5">
                  <c:v>560</c:v>
                </c:pt>
                <c:pt idx="6">
                  <c:v>772.8</c:v>
                </c:pt>
                <c:pt idx="7">
                  <c:v>963.19999999999993</c:v>
                </c:pt>
                <c:pt idx="8">
                  <c:v>1131.1999999999998</c:v>
                </c:pt>
                <c:pt idx="9">
                  <c:v>1276.8</c:v>
                </c:pt>
                <c:pt idx="10">
                  <c:v>1400</c:v>
                </c:pt>
                <c:pt idx="11">
                  <c:v>1500.8</c:v>
                </c:pt>
                <c:pt idx="12">
                  <c:v>1579.1999999999998</c:v>
                </c:pt>
                <c:pt idx="13">
                  <c:v>1635.1999999999998</c:v>
                </c:pt>
                <c:pt idx="14">
                  <c:v>1668.8</c:v>
                </c:pt>
                <c:pt idx="15">
                  <c:v>1680</c:v>
                </c:pt>
              </c:numCache>
            </c:numRef>
          </c:xVal>
          <c:yVal>
            <c:numRef>
              <c:f>Sheet3!$W$30:$W$45</c:f>
              <c:numCache>
                <c:formatCode>General</c:formatCode>
                <c:ptCount val="16"/>
                <c:pt idx="0">
                  <c:v>4000</c:v>
                </c:pt>
                <c:pt idx="1">
                  <c:v>3840</c:v>
                </c:pt>
                <c:pt idx="2">
                  <c:v>3680</c:v>
                </c:pt>
                <c:pt idx="3">
                  <c:v>3520</c:v>
                </c:pt>
                <c:pt idx="4">
                  <c:v>3360</c:v>
                </c:pt>
                <c:pt idx="5">
                  <c:v>3200</c:v>
                </c:pt>
                <c:pt idx="6">
                  <c:v>2880</c:v>
                </c:pt>
                <c:pt idx="7">
                  <c:v>2560</c:v>
                </c:pt>
                <c:pt idx="8">
                  <c:v>2240</c:v>
                </c:pt>
                <c:pt idx="9">
                  <c:v>1920</c:v>
                </c:pt>
                <c:pt idx="10">
                  <c:v>1600</c:v>
                </c:pt>
                <c:pt idx="11">
                  <c:v>1280</c:v>
                </c:pt>
                <c:pt idx="12">
                  <c:v>960</c:v>
                </c:pt>
                <c:pt idx="13">
                  <c:v>640</c:v>
                </c:pt>
                <c:pt idx="14">
                  <c:v>320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BF-4A42-86DC-8E5CB0904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420400"/>
        <c:axId val="1117431440"/>
      </c:scatterChart>
      <c:valAx>
        <c:axId val="111742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31440"/>
        <c:crosses val="autoZero"/>
        <c:crossBetween val="midCat"/>
      </c:valAx>
      <c:valAx>
        <c:axId val="11174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Pwf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2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Future IPR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Fetkovitch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Sheet3!$C$86:$C$96</c:f>
              <c:numCache>
                <c:formatCode>General</c:formatCode>
                <c:ptCount val="11"/>
                <c:pt idx="0">
                  <c:v>0</c:v>
                </c:pt>
                <c:pt idx="1">
                  <c:v>48.308854298727503</c:v>
                </c:pt>
                <c:pt idx="2">
                  <c:v>81.345402177152806</c:v>
                </c:pt>
                <c:pt idx="3">
                  <c:v>108.06195082759261</c:v>
                </c:pt>
                <c:pt idx="4">
                  <c:v>130.03992494754692</c:v>
                </c:pt>
                <c:pt idx="5">
                  <c:v>147.99285603786876</c:v>
                </c:pt>
                <c:pt idx="6">
                  <c:v>162.31993799085552</c:v>
                </c:pt>
                <c:pt idx="7">
                  <c:v>173.26705759280597</c:v>
                </c:pt>
                <c:pt idx="8">
                  <c:v>180.99101608628956</c:v>
                </c:pt>
                <c:pt idx="9">
                  <c:v>185.5896063384387</c:v>
                </c:pt>
                <c:pt idx="10">
                  <c:v>187.11672223487849</c:v>
                </c:pt>
              </c:numCache>
            </c:numRef>
          </c:xVal>
          <c:yVal>
            <c:numRef>
              <c:f>Sheet3!$B$86:$B$96</c:f>
              <c:numCache>
                <c:formatCode>General</c:formatCode>
                <c:ptCount val="11"/>
                <c:pt idx="0">
                  <c:v>2000</c:v>
                </c:pt>
                <c:pt idx="1">
                  <c:v>1800</c:v>
                </c:pt>
                <c:pt idx="2">
                  <c:v>1600</c:v>
                </c:pt>
                <c:pt idx="3">
                  <c:v>1400</c:v>
                </c:pt>
                <c:pt idx="4">
                  <c:v>1200</c:v>
                </c:pt>
                <c:pt idx="5">
                  <c:v>1000</c:v>
                </c:pt>
                <c:pt idx="6">
                  <c:v>800</c:v>
                </c:pt>
                <c:pt idx="7">
                  <c:v>600</c:v>
                </c:pt>
                <c:pt idx="8">
                  <c:v>400</c:v>
                </c:pt>
                <c:pt idx="9">
                  <c:v>200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18-4427-B404-DDA3F17BD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420400"/>
        <c:axId val="1117431440"/>
      </c:scatterChart>
      <c:valAx>
        <c:axId val="111742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31440"/>
        <c:crosses val="autoZero"/>
        <c:crossBetween val="midCat"/>
      </c:valAx>
      <c:valAx>
        <c:axId val="11174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Pwf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2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Future IPR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Fetkovitch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Sheet3!$M$84:$M$99</c:f>
              <c:numCache>
                <c:formatCode>0.00</c:formatCode>
                <c:ptCount val="16"/>
                <c:pt idx="0">
                  <c:v>0</c:v>
                </c:pt>
                <c:pt idx="1">
                  <c:v>58.333333333333336</c:v>
                </c:pt>
                <c:pt idx="2">
                  <c:v>116.66666666666667</c:v>
                </c:pt>
                <c:pt idx="3">
                  <c:v>175</c:v>
                </c:pt>
                <c:pt idx="4">
                  <c:v>233.33333333333334</c:v>
                </c:pt>
                <c:pt idx="5">
                  <c:v>291.66666666666669</c:v>
                </c:pt>
                <c:pt idx="6">
                  <c:v>333.22916666666669</c:v>
                </c:pt>
                <c:pt idx="7">
                  <c:v>370.41666666666669</c:v>
                </c:pt>
                <c:pt idx="8">
                  <c:v>403.22916666666669</c:v>
                </c:pt>
                <c:pt idx="9">
                  <c:v>431.66666666666669</c:v>
                </c:pt>
                <c:pt idx="10">
                  <c:v>455.72916666666669</c:v>
                </c:pt>
                <c:pt idx="11">
                  <c:v>475.41666666666669</c:v>
                </c:pt>
                <c:pt idx="12">
                  <c:v>490.72916666666669</c:v>
                </c:pt>
                <c:pt idx="13">
                  <c:v>501.66666666666669</c:v>
                </c:pt>
                <c:pt idx="14">
                  <c:v>508.22916666666669</c:v>
                </c:pt>
                <c:pt idx="15">
                  <c:v>510.41666666666669</c:v>
                </c:pt>
              </c:numCache>
            </c:numRef>
          </c:xVal>
          <c:yVal>
            <c:numRef>
              <c:f>Sheet3!$L$84:$L$99</c:f>
              <c:numCache>
                <c:formatCode>General</c:formatCode>
                <c:ptCount val="16"/>
                <c:pt idx="0">
                  <c:v>2500</c:v>
                </c:pt>
                <c:pt idx="1">
                  <c:v>2300</c:v>
                </c:pt>
                <c:pt idx="2">
                  <c:v>2100</c:v>
                </c:pt>
                <c:pt idx="3">
                  <c:v>1900</c:v>
                </c:pt>
                <c:pt idx="4">
                  <c:v>1700</c:v>
                </c:pt>
                <c:pt idx="5">
                  <c:v>1500</c:v>
                </c:pt>
                <c:pt idx="6">
                  <c:v>1350</c:v>
                </c:pt>
                <c:pt idx="7">
                  <c:v>1200</c:v>
                </c:pt>
                <c:pt idx="8">
                  <c:v>1050</c:v>
                </c:pt>
                <c:pt idx="9">
                  <c:v>900</c:v>
                </c:pt>
                <c:pt idx="10">
                  <c:v>750</c:v>
                </c:pt>
                <c:pt idx="11">
                  <c:v>600</c:v>
                </c:pt>
                <c:pt idx="12">
                  <c:v>450</c:v>
                </c:pt>
                <c:pt idx="13">
                  <c:v>300</c:v>
                </c:pt>
                <c:pt idx="14">
                  <c:v>150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84-463A-905F-5CEA54BE9109}"/>
            </c:ext>
          </c:extLst>
        </c:ser>
        <c:ser>
          <c:idx val="1"/>
          <c:order val="1"/>
          <c:tx>
            <c:v>Vogel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Sheet3!$N$84:$N$99</c:f>
              <c:numCache>
                <c:formatCode>0.00</c:formatCode>
                <c:ptCount val="16"/>
                <c:pt idx="0">
                  <c:v>0</c:v>
                </c:pt>
                <c:pt idx="1">
                  <c:v>48.611111111111114</c:v>
                </c:pt>
                <c:pt idx="2">
                  <c:v>97.222222222222229</c:v>
                </c:pt>
                <c:pt idx="3">
                  <c:v>145.83333333333334</c:v>
                </c:pt>
                <c:pt idx="4">
                  <c:v>194.44444444444446</c:v>
                </c:pt>
                <c:pt idx="5">
                  <c:v>243.05555555555557</c:v>
                </c:pt>
                <c:pt idx="6">
                  <c:v>277.69097222222223</c:v>
                </c:pt>
                <c:pt idx="7">
                  <c:v>308.6805555555556</c:v>
                </c:pt>
                <c:pt idx="8">
                  <c:v>336.0243055555556</c:v>
                </c:pt>
                <c:pt idx="9">
                  <c:v>359.72222222222229</c:v>
                </c:pt>
                <c:pt idx="10">
                  <c:v>379.7743055555556</c:v>
                </c:pt>
                <c:pt idx="11">
                  <c:v>396.1805555555556</c:v>
                </c:pt>
                <c:pt idx="12">
                  <c:v>408.94097222222229</c:v>
                </c:pt>
                <c:pt idx="13">
                  <c:v>418.0555555555556</c:v>
                </c:pt>
                <c:pt idx="14">
                  <c:v>423.5243055555556</c:v>
                </c:pt>
                <c:pt idx="15">
                  <c:v>425.34722222222229</c:v>
                </c:pt>
              </c:numCache>
            </c:numRef>
          </c:xVal>
          <c:yVal>
            <c:numRef>
              <c:f>Sheet3!$L$84:$L$99</c:f>
              <c:numCache>
                <c:formatCode>General</c:formatCode>
                <c:ptCount val="16"/>
                <c:pt idx="0">
                  <c:v>2500</c:v>
                </c:pt>
                <c:pt idx="1">
                  <c:v>2300</c:v>
                </c:pt>
                <c:pt idx="2">
                  <c:v>2100</c:v>
                </c:pt>
                <c:pt idx="3">
                  <c:v>1900</c:v>
                </c:pt>
                <c:pt idx="4">
                  <c:v>1700</c:v>
                </c:pt>
                <c:pt idx="5">
                  <c:v>1500</c:v>
                </c:pt>
                <c:pt idx="6">
                  <c:v>1350</c:v>
                </c:pt>
                <c:pt idx="7">
                  <c:v>1200</c:v>
                </c:pt>
                <c:pt idx="8">
                  <c:v>1050</c:v>
                </c:pt>
                <c:pt idx="9">
                  <c:v>900</c:v>
                </c:pt>
                <c:pt idx="10">
                  <c:v>750</c:v>
                </c:pt>
                <c:pt idx="11">
                  <c:v>600</c:v>
                </c:pt>
                <c:pt idx="12">
                  <c:v>450</c:v>
                </c:pt>
                <c:pt idx="13">
                  <c:v>300</c:v>
                </c:pt>
                <c:pt idx="14">
                  <c:v>150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84-463A-905F-5CEA54BE9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420400"/>
        <c:axId val="1117431440"/>
      </c:scatterChart>
      <c:valAx>
        <c:axId val="111742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31440"/>
        <c:crosses val="autoZero"/>
        <c:crossBetween val="midCat"/>
      </c:valAx>
      <c:valAx>
        <c:axId val="11174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Pwf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2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IPR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New Correlation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Sheet4!$C$26:$C$36</c:f>
              <c:numCache>
                <c:formatCode>General</c:formatCode>
                <c:ptCount val="11"/>
                <c:pt idx="0">
                  <c:v>0</c:v>
                </c:pt>
                <c:pt idx="1">
                  <c:v>311.35537213998288</c:v>
                </c:pt>
                <c:pt idx="2">
                  <c:v>624.00965575688883</c:v>
                </c:pt>
                <c:pt idx="3">
                  <c:v>977.73142678169836</c:v>
                </c:pt>
                <c:pt idx="4">
                  <c:v>1125</c:v>
                </c:pt>
                <c:pt idx="5">
                  <c:v>1506.8121353002578</c:v>
                </c:pt>
                <c:pt idx="6">
                  <c:v>1793.3636415104734</c:v>
                </c:pt>
                <c:pt idx="7">
                  <c:v>2067.796198534656</c:v>
                </c:pt>
                <c:pt idx="8">
                  <c:v>2299.8630926876453</c:v>
                </c:pt>
                <c:pt idx="9">
                  <c:v>2489.5643239694427</c:v>
                </c:pt>
                <c:pt idx="10">
                  <c:v>2636.8998923800468</c:v>
                </c:pt>
              </c:numCache>
            </c:numRef>
          </c:xVal>
          <c:yVal>
            <c:numRef>
              <c:f>Sheet4!$B$26:$B$36</c:f>
              <c:numCache>
                <c:formatCode>General</c:formatCode>
                <c:ptCount val="11"/>
                <c:pt idx="0">
                  <c:v>1714</c:v>
                </c:pt>
                <c:pt idx="1">
                  <c:v>1583</c:v>
                </c:pt>
                <c:pt idx="2">
                  <c:v>1443</c:v>
                </c:pt>
                <c:pt idx="3">
                  <c:v>1272</c:v>
                </c:pt>
                <c:pt idx="4">
                  <c:v>1196</c:v>
                </c:pt>
                <c:pt idx="5">
                  <c:v>982</c:v>
                </c:pt>
                <c:pt idx="6">
                  <c:v>800</c:v>
                </c:pt>
                <c:pt idx="7">
                  <c:v>600</c:v>
                </c:pt>
                <c:pt idx="8">
                  <c:v>400</c:v>
                </c:pt>
                <c:pt idx="9">
                  <c:v>200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AD-4A68-BCB0-75CF99639C6C}"/>
            </c:ext>
          </c:extLst>
        </c:ser>
        <c:ser>
          <c:idx val="1"/>
          <c:order val="1"/>
          <c:tx>
            <c:v>vogel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Sheet4!$I$26:$I$36</c:f>
              <c:numCache>
                <c:formatCode>General</c:formatCode>
                <c:ptCount val="11"/>
                <c:pt idx="0">
                  <c:v>0</c:v>
                </c:pt>
                <c:pt idx="1">
                  <c:v>317.48794918070024</c:v>
                </c:pt>
                <c:pt idx="2">
                  <c:v>632.10670902186541</c:v>
                </c:pt>
                <c:pt idx="3">
                  <c:v>981.79489262685286</c:v>
                </c:pt>
                <c:pt idx="4">
                  <c:v>1125</c:v>
                </c:pt>
                <c:pt idx="5">
                  <c:v>1487.8631653755215</c:v>
                </c:pt>
                <c:pt idx="6">
                  <c:v>1749.5809824887258</c:v>
                </c:pt>
                <c:pt idx="7">
                  <c:v>1987.4820235199149</c:v>
                </c:pt>
                <c:pt idx="8">
                  <c:v>2173.340178900311</c:v>
                </c:pt>
                <c:pt idx="9">
                  <c:v>2307.1554486299137</c:v>
                </c:pt>
                <c:pt idx="10">
                  <c:v>2388.9278327087227</c:v>
                </c:pt>
              </c:numCache>
            </c:numRef>
          </c:xVal>
          <c:yVal>
            <c:numRef>
              <c:f>Sheet4!$H$26:$H$36</c:f>
              <c:numCache>
                <c:formatCode>General</c:formatCode>
                <c:ptCount val="11"/>
                <c:pt idx="0">
                  <c:v>1714</c:v>
                </c:pt>
                <c:pt idx="1">
                  <c:v>1583</c:v>
                </c:pt>
                <c:pt idx="2">
                  <c:v>1443</c:v>
                </c:pt>
                <c:pt idx="3">
                  <c:v>1272</c:v>
                </c:pt>
                <c:pt idx="4">
                  <c:v>1196</c:v>
                </c:pt>
                <c:pt idx="5">
                  <c:v>982</c:v>
                </c:pt>
                <c:pt idx="6">
                  <c:v>800</c:v>
                </c:pt>
                <c:pt idx="7">
                  <c:v>600</c:v>
                </c:pt>
                <c:pt idx="8">
                  <c:v>400</c:v>
                </c:pt>
                <c:pt idx="9">
                  <c:v>200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AD-4A68-BCB0-75CF99639C6C}"/>
            </c:ext>
          </c:extLst>
        </c:ser>
        <c:ser>
          <c:idx val="2"/>
          <c:order val="2"/>
          <c:tx>
            <c:v>Fetkovitch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Sheet4!$T$26:$T$36</c:f>
              <c:numCache>
                <c:formatCode>General</c:formatCode>
                <c:ptCount val="11"/>
                <c:pt idx="0">
                  <c:v>0</c:v>
                </c:pt>
                <c:pt idx="1">
                  <c:v>194.60782602014262</c:v>
                </c:pt>
                <c:pt idx="2">
                  <c:v>507.99999999999829</c:v>
                </c:pt>
                <c:pt idx="3">
                  <c:v>933.55972662981117</c:v>
                </c:pt>
                <c:pt idx="4">
                  <c:v>1124.9999999999982</c:v>
                </c:pt>
                <c:pt idx="5">
                  <c:v>1642.1048780591145</c:v>
                </c:pt>
                <c:pt idx="6">
                  <c:v>2033.1073425590339</c:v>
                </c:pt>
                <c:pt idx="7">
                  <c:v>2389.2338561991078</c:v>
                </c:pt>
                <c:pt idx="8">
                  <c:v>2653.4587813275466</c:v>
                </c:pt>
                <c:pt idx="9">
                  <c:v>2815.7582602130456</c:v>
                </c:pt>
                <c:pt idx="10">
                  <c:v>2870.4696090162961</c:v>
                </c:pt>
              </c:numCache>
            </c:numRef>
          </c:xVal>
          <c:yVal>
            <c:numRef>
              <c:f>Sheet4!$S$26:$S$36</c:f>
              <c:numCache>
                <c:formatCode>General</c:formatCode>
                <c:ptCount val="11"/>
                <c:pt idx="0">
                  <c:v>1714</c:v>
                </c:pt>
                <c:pt idx="1">
                  <c:v>1583</c:v>
                </c:pt>
                <c:pt idx="2">
                  <c:v>1443</c:v>
                </c:pt>
                <c:pt idx="3">
                  <c:v>1272</c:v>
                </c:pt>
                <c:pt idx="4">
                  <c:v>1196</c:v>
                </c:pt>
                <c:pt idx="5">
                  <c:v>982</c:v>
                </c:pt>
                <c:pt idx="6">
                  <c:v>800</c:v>
                </c:pt>
                <c:pt idx="7">
                  <c:v>600</c:v>
                </c:pt>
                <c:pt idx="8">
                  <c:v>400</c:v>
                </c:pt>
                <c:pt idx="9">
                  <c:v>200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AD-4A68-BCB0-75CF99639C6C}"/>
            </c:ext>
          </c:extLst>
        </c:ser>
        <c:ser>
          <c:idx val="3"/>
          <c:order val="3"/>
          <c:tx>
            <c:v>actual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Sheet4!$F$7:$F$12</c:f>
              <c:numCache>
                <c:formatCode>General</c:formatCode>
                <c:ptCount val="6"/>
                <c:pt idx="0">
                  <c:v>0</c:v>
                </c:pt>
                <c:pt idx="1">
                  <c:v>280</c:v>
                </c:pt>
                <c:pt idx="2">
                  <c:v>508</c:v>
                </c:pt>
                <c:pt idx="3">
                  <c:v>780</c:v>
                </c:pt>
                <c:pt idx="4">
                  <c:v>1125</c:v>
                </c:pt>
                <c:pt idx="5">
                  <c:v>1335</c:v>
                </c:pt>
              </c:numCache>
            </c:numRef>
          </c:xVal>
          <c:yVal>
            <c:numRef>
              <c:f>Sheet4!$E$7:$E$12</c:f>
              <c:numCache>
                <c:formatCode>General</c:formatCode>
                <c:ptCount val="6"/>
                <c:pt idx="0">
                  <c:v>1714</c:v>
                </c:pt>
                <c:pt idx="1">
                  <c:v>1583</c:v>
                </c:pt>
                <c:pt idx="2">
                  <c:v>1443</c:v>
                </c:pt>
                <c:pt idx="3">
                  <c:v>1272</c:v>
                </c:pt>
                <c:pt idx="4">
                  <c:v>1196</c:v>
                </c:pt>
                <c:pt idx="5">
                  <c:v>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AD-4A68-BCB0-75CF99639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420400"/>
        <c:axId val="1117431440"/>
      </c:scatterChart>
      <c:valAx>
        <c:axId val="111742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31440"/>
        <c:crosses val="autoZero"/>
        <c:crossBetween val="midCat"/>
      </c:valAx>
      <c:valAx>
        <c:axId val="11174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Pwf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2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Future</a:t>
            </a:r>
            <a:r>
              <a:rPr lang="en-US" baseline="0"/>
              <a:t> </a:t>
            </a:r>
            <a:r>
              <a:rPr lang="en-US"/>
              <a:t>IPR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New Correlation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Sheet4!$C$87:$C$96</c:f>
              <c:numCache>
                <c:formatCode>General</c:formatCode>
                <c:ptCount val="10"/>
                <c:pt idx="0">
                  <c:v>0</c:v>
                </c:pt>
                <c:pt idx="1">
                  <c:v>434.77691935731832</c:v>
                </c:pt>
                <c:pt idx="2">
                  <c:v>701.87471493112207</c:v>
                </c:pt>
                <c:pt idx="3">
                  <c:v>887.10856229418948</c:v>
                </c:pt>
                <c:pt idx="4">
                  <c:v>1102.6698989169317</c:v>
                </c:pt>
                <c:pt idx="5">
                  <c:v>1361.9961555971049</c:v>
                </c:pt>
                <c:pt idx="6">
                  <c:v>1614.2209344927528</c:v>
                </c:pt>
                <c:pt idx="7">
                  <c:v>1832.1534311432654</c:v>
                </c:pt>
                <c:pt idx="8">
                  <c:v>2015.7936455486438</c:v>
                </c:pt>
                <c:pt idx="9">
                  <c:v>2165.1415777088878</c:v>
                </c:pt>
              </c:numCache>
            </c:numRef>
          </c:xVal>
          <c:yVal>
            <c:numRef>
              <c:f>Sheet4!$B$87:$B$96</c:f>
              <c:numCache>
                <c:formatCode>General</c:formatCode>
                <c:ptCount val="10"/>
                <c:pt idx="0">
                  <c:v>1605</c:v>
                </c:pt>
                <c:pt idx="1">
                  <c:v>1381</c:v>
                </c:pt>
                <c:pt idx="2">
                  <c:v>1231</c:v>
                </c:pt>
                <c:pt idx="3">
                  <c:v>1120</c:v>
                </c:pt>
                <c:pt idx="4">
                  <c:v>982</c:v>
                </c:pt>
                <c:pt idx="5">
                  <c:v>800</c:v>
                </c:pt>
                <c:pt idx="6">
                  <c:v>600</c:v>
                </c:pt>
                <c:pt idx="7">
                  <c:v>400</c:v>
                </c:pt>
                <c:pt idx="8">
                  <c:v>200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10-4176-8226-12A90C9E772B}"/>
            </c:ext>
          </c:extLst>
        </c:ser>
        <c:ser>
          <c:idx val="1"/>
          <c:order val="1"/>
          <c:tx>
            <c:v>vogel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Sheet4!$I$87:$I$96</c:f>
              <c:numCache>
                <c:formatCode>General</c:formatCode>
                <c:ptCount val="10"/>
                <c:pt idx="0">
                  <c:v>0</c:v>
                </c:pt>
                <c:pt idx="1">
                  <c:v>462.20098967701318</c:v>
                </c:pt>
                <c:pt idx="2">
                  <c:v>737.53637265419536</c:v>
                </c:pt>
                <c:pt idx="3">
                  <c:v>923.6364100793088</c:v>
                </c:pt>
                <c:pt idx="4">
                  <c:v>1134.0718647022643</c:v>
                </c:pt>
                <c:pt idx="5">
                  <c:v>1376.1248582674796</c:v>
                </c:pt>
                <c:pt idx="6">
                  <c:v>1595.5768823113522</c:v>
                </c:pt>
                <c:pt idx="7">
                  <c:v>1766.2956324523523</c:v>
                </c:pt>
                <c:pt idx="8">
                  <c:v>1888.2811086904801</c:v>
                </c:pt>
                <c:pt idx="9">
                  <c:v>1961.5333110257352</c:v>
                </c:pt>
              </c:numCache>
            </c:numRef>
          </c:xVal>
          <c:yVal>
            <c:numRef>
              <c:f>Sheet4!$H$87:$H$96</c:f>
              <c:numCache>
                <c:formatCode>General</c:formatCode>
                <c:ptCount val="10"/>
                <c:pt idx="0">
                  <c:v>1605</c:v>
                </c:pt>
                <c:pt idx="1">
                  <c:v>1381</c:v>
                </c:pt>
                <c:pt idx="2">
                  <c:v>1231</c:v>
                </c:pt>
                <c:pt idx="3">
                  <c:v>1120</c:v>
                </c:pt>
                <c:pt idx="4">
                  <c:v>982</c:v>
                </c:pt>
                <c:pt idx="5">
                  <c:v>800</c:v>
                </c:pt>
                <c:pt idx="6">
                  <c:v>600</c:v>
                </c:pt>
                <c:pt idx="7">
                  <c:v>400</c:v>
                </c:pt>
                <c:pt idx="8">
                  <c:v>200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10-4176-8226-12A90C9E772B}"/>
            </c:ext>
          </c:extLst>
        </c:ser>
        <c:ser>
          <c:idx val="2"/>
          <c:order val="2"/>
          <c:tx>
            <c:v>Fetkovitch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Sheet4!$R$87:$R$96</c:f>
              <c:numCache>
                <c:formatCode>General</c:formatCode>
                <c:ptCount val="10"/>
                <c:pt idx="0">
                  <c:v>0</c:v>
                </c:pt>
                <c:pt idx="1">
                  <c:v>336.71333541631401</c:v>
                </c:pt>
                <c:pt idx="2">
                  <c:v>643.19689662910116</c:v>
                </c:pt>
                <c:pt idx="3">
                  <c:v>875.87714614348681</c:v>
                </c:pt>
                <c:pt idx="4">
                  <c:v>1157.208629036558</c:v>
                </c:pt>
                <c:pt idx="5">
                  <c:v>1496.8767261401904</c:v>
                </c:pt>
                <c:pt idx="6">
                  <c:v>1809.3985346108307</c:v>
                </c:pt>
                <c:pt idx="7">
                  <c:v>2042.7340087979592</c:v>
                </c:pt>
                <c:pt idx="8">
                  <c:v>2186.5699159297947</c:v>
                </c:pt>
                <c:pt idx="9">
                  <c:v>2235.1357462678102</c:v>
                </c:pt>
              </c:numCache>
            </c:numRef>
          </c:xVal>
          <c:yVal>
            <c:numRef>
              <c:f>Sheet4!$Q$87:$Q$96</c:f>
              <c:numCache>
                <c:formatCode>General</c:formatCode>
                <c:ptCount val="10"/>
                <c:pt idx="0">
                  <c:v>1605</c:v>
                </c:pt>
                <c:pt idx="1">
                  <c:v>1381</c:v>
                </c:pt>
                <c:pt idx="2">
                  <c:v>1231</c:v>
                </c:pt>
                <c:pt idx="3">
                  <c:v>1120</c:v>
                </c:pt>
                <c:pt idx="4">
                  <c:v>982</c:v>
                </c:pt>
                <c:pt idx="5">
                  <c:v>800</c:v>
                </c:pt>
                <c:pt idx="6">
                  <c:v>600</c:v>
                </c:pt>
                <c:pt idx="7">
                  <c:v>400</c:v>
                </c:pt>
                <c:pt idx="8">
                  <c:v>200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10-4176-8226-12A90C9E772B}"/>
            </c:ext>
          </c:extLst>
        </c:ser>
        <c:ser>
          <c:idx val="3"/>
          <c:order val="3"/>
          <c:tx>
            <c:v>actual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Sheet4!$F$75:$F$78</c:f>
              <c:numCache>
                <c:formatCode>General</c:formatCode>
                <c:ptCount val="4"/>
                <c:pt idx="0">
                  <c:v>0</c:v>
                </c:pt>
                <c:pt idx="1">
                  <c:v>420</c:v>
                </c:pt>
                <c:pt idx="2">
                  <c:v>720</c:v>
                </c:pt>
                <c:pt idx="3">
                  <c:v>850</c:v>
                </c:pt>
              </c:numCache>
            </c:numRef>
          </c:xVal>
          <c:yVal>
            <c:numRef>
              <c:f>Sheet4!$E$75:$E$78</c:f>
              <c:numCache>
                <c:formatCode>General</c:formatCode>
                <c:ptCount val="4"/>
                <c:pt idx="0">
                  <c:v>1605</c:v>
                </c:pt>
                <c:pt idx="1">
                  <c:v>1381</c:v>
                </c:pt>
                <c:pt idx="2">
                  <c:v>1231</c:v>
                </c:pt>
                <c:pt idx="3">
                  <c:v>1120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10-4176-8226-12A90C9E7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420400"/>
        <c:axId val="1117431440"/>
      </c:scatterChart>
      <c:valAx>
        <c:axId val="111742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31440"/>
        <c:crosses val="autoZero"/>
        <c:crossBetween val="midCat"/>
      </c:valAx>
      <c:valAx>
        <c:axId val="11174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Pwf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2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IPR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Sheet2!$C$12</c:f>
              <c:strCache>
                <c:ptCount val="1"/>
                <c:pt idx="0">
                  <c:v>vogel's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Sheet2!$C$14:$C$24</c:f>
              <c:numCache>
                <c:formatCode>General</c:formatCode>
                <c:ptCount val="11"/>
                <c:pt idx="0">
                  <c:v>0</c:v>
                </c:pt>
                <c:pt idx="1">
                  <c:v>183.53658536585354</c:v>
                </c:pt>
                <c:pt idx="2">
                  <c:v>349.99999999999994</c:v>
                </c:pt>
                <c:pt idx="3">
                  <c:v>499.39024390243924</c:v>
                </c:pt>
                <c:pt idx="4">
                  <c:v>631.707317073171</c:v>
                </c:pt>
                <c:pt idx="5">
                  <c:v>746.95121951219539</c:v>
                </c:pt>
                <c:pt idx="6">
                  <c:v>845.12195121951243</c:v>
                </c:pt>
                <c:pt idx="7">
                  <c:v>926.21951219512232</c:v>
                </c:pt>
                <c:pt idx="8">
                  <c:v>990.24390243902474</c:v>
                </c:pt>
                <c:pt idx="9">
                  <c:v>1037.1951219512198</c:v>
                </c:pt>
                <c:pt idx="10">
                  <c:v>1067.0731707317077</c:v>
                </c:pt>
              </c:numCache>
            </c:numRef>
          </c:xVal>
          <c:yVal>
            <c:numRef>
              <c:f>Sheet2!$B$14:$B$24</c:f>
              <c:numCache>
                <c:formatCode>General</c:formatCode>
                <c:ptCount val="11"/>
                <c:pt idx="0">
                  <c:v>2500</c:v>
                </c:pt>
                <c:pt idx="1">
                  <c:v>2250</c:v>
                </c:pt>
                <c:pt idx="2">
                  <c:v>2000</c:v>
                </c:pt>
                <c:pt idx="3">
                  <c:v>1750</c:v>
                </c:pt>
                <c:pt idx="4">
                  <c:v>1500</c:v>
                </c:pt>
                <c:pt idx="5">
                  <c:v>1250</c:v>
                </c:pt>
                <c:pt idx="6">
                  <c:v>1000</c:v>
                </c:pt>
                <c:pt idx="7">
                  <c:v>750</c:v>
                </c:pt>
                <c:pt idx="8">
                  <c:v>500</c:v>
                </c:pt>
                <c:pt idx="9">
                  <c:v>250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ED-4816-85E0-8DF7AE146F1B}"/>
            </c:ext>
          </c:extLst>
        </c:ser>
        <c:ser>
          <c:idx val="1"/>
          <c:order val="1"/>
          <c:tx>
            <c:strRef>
              <c:f>Sheet2!$D$12</c:f>
              <c:strCache>
                <c:ptCount val="1"/>
                <c:pt idx="0">
                  <c:v>constant J approach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Sheet2!$D$14:$D$24</c:f>
              <c:numCache>
                <c:formatCode>General</c:formatCode>
                <c:ptCount val="11"/>
                <c:pt idx="0">
                  <c:v>0</c:v>
                </c:pt>
                <c:pt idx="1">
                  <c:v>175</c:v>
                </c:pt>
                <c:pt idx="2">
                  <c:v>350</c:v>
                </c:pt>
                <c:pt idx="3">
                  <c:v>525</c:v>
                </c:pt>
                <c:pt idx="4">
                  <c:v>700</c:v>
                </c:pt>
                <c:pt idx="5">
                  <c:v>875</c:v>
                </c:pt>
                <c:pt idx="6">
                  <c:v>1050</c:v>
                </c:pt>
                <c:pt idx="7">
                  <c:v>1225</c:v>
                </c:pt>
                <c:pt idx="8">
                  <c:v>1400</c:v>
                </c:pt>
                <c:pt idx="9">
                  <c:v>1575</c:v>
                </c:pt>
                <c:pt idx="10">
                  <c:v>1750</c:v>
                </c:pt>
              </c:numCache>
            </c:numRef>
          </c:xVal>
          <c:yVal>
            <c:numRef>
              <c:f>Sheet2!$B$14:$B$24</c:f>
              <c:numCache>
                <c:formatCode>General</c:formatCode>
                <c:ptCount val="11"/>
                <c:pt idx="0">
                  <c:v>2500</c:v>
                </c:pt>
                <c:pt idx="1">
                  <c:v>2250</c:v>
                </c:pt>
                <c:pt idx="2">
                  <c:v>2000</c:v>
                </c:pt>
                <c:pt idx="3">
                  <c:v>1750</c:v>
                </c:pt>
                <c:pt idx="4">
                  <c:v>1500</c:v>
                </c:pt>
                <c:pt idx="5">
                  <c:v>1250</c:v>
                </c:pt>
                <c:pt idx="6">
                  <c:v>1000</c:v>
                </c:pt>
                <c:pt idx="7">
                  <c:v>750</c:v>
                </c:pt>
                <c:pt idx="8">
                  <c:v>500</c:v>
                </c:pt>
                <c:pt idx="9">
                  <c:v>250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ED-4816-85E0-8DF7AE146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420400"/>
        <c:axId val="1117431440"/>
      </c:scatterChart>
      <c:valAx>
        <c:axId val="111742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31440"/>
        <c:crosses val="autoZero"/>
        <c:crossBetween val="midCat"/>
      </c:valAx>
      <c:valAx>
        <c:axId val="11174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Pwf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2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IPR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Sheet2!$C$12</c:f>
              <c:strCache>
                <c:ptCount val="1"/>
                <c:pt idx="0">
                  <c:v>vogel's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Sheet2!$L$18:$L$33</c:f>
              <c:numCache>
                <c:formatCode>General</c:formatCode>
                <c:ptCount val="16"/>
                <c:pt idx="0">
                  <c:v>0</c:v>
                </c:pt>
                <c:pt idx="1">
                  <c:v>87</c:v>
                </c:pt>
                <c:pt idx="2">
                  <c:v>174</c:v>
                </c:pt>
                <c:pt idx="3">
                  <c:v>261</c:v>
                </c:pt>
                <c:pt idx="4">
                  <c:v>348</c:v>
                </c:pt>
                <c:pt idx="5">
                  <c:v>435</c:v>
                </c:pt>
                <c:pt idx="6">
                  <c:v>536.76666666666654</c:v>
                </c:pt>
                <c:pt idx="7">
                  <c:v>629.06666666666661</c:v>
                </c:pt>
                <c:pt idx="8">
                  <c:v>711.9</c:v>
                </c:pt>
                <c:pt idx="9">
                  <c:v>785.26666666666665</c:v>
                </c:pt>
                <c:pt idx="10">
                  <c:v>849.16666666666663</c:v>
                </c:pt>
                <c:pt idx="11">
                  <c:v>903.59999999999991</c:v>
                </c:pt>
                <c:pt idx="12">
                  <c:v>948.56666666666661</c:v>
                </c:pt>
                <c:pt idx="13">
                  <c:v>984.06666666666661</c:v>
                </c:pt>
                <c:pt idx="14">
                  <c:v>1010.0999999999999</c:v>
                </c:pt>
                <c:pt idx="15">
                  <c:v>1026.6666666666665</c:v>
                </c:pt>
              </c:numCache>
            </c:numRef>
          </c:xVal>
          <c:yVal>
            <c:numRef>
              <c:f>Sheet2!$K$18:$K$33</c:f>
              <c:numCache>
                <c:formatCode>General</c:formatCode>
                <c:ptCount val="16"/>
                <c:pt idx="0">
                  <c:v>3000</c:v>
                </c:pt>
                <c:pt idx="1">
                  <c:v>2826</c:v>
                </c:pt>
                <c:pt idx="2">
                  <c:v>2652</c:v>
                </c:pt>
                <c:pt idx="3">
                  <c:v>2478</c:v>
                </c:pt>
                <c:pt idx="4">
                  <c:v>2304</c:v>
                </c:pt>
                <c:pt idx="5">
                  <c:v>2130</c:v>
                </c:pt>
                <c:pt idx="6">
                  <c:v>1917</c:v>
                </c:pt>
                <c:pt idx="7">
                  <c:v>1704</c:v>
                </c:pt>
                <c:pt idx="8">
                  <c:v>1491</c:v>
                </c:pt>
                <c:pt idx="9">
                  <c:v>1278</c:v>
                </c:pt>
                <c:pt idx="10">
                  <c:v>1065</c:v>
                </c:pt>
                <c:pt idx="11">
                  <c:v>852</c:v>
                </c:pt>
                <c:pt idx="12">
                  <c:v>639</c:v>
                </c:pt>
                <c:pt idx="13">
                  <c:v>426</c:v>
                </c:pt>
                <c:pt idx="14">
                  <c:v>213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2C-4D9F-8CD4-85D683690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420400"/>
        <c:axId val="1117431440"/>
      </c:scatterChart>
      <c:valAx>
        <c:axId val="111742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31440"/>
        <c:crosses val="autoZero"/>
        <c:crossBetween val="midCat"/>
      </c:valAx>
      <c:valAx>
        <c:axId val="11174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Pwf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2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IPR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Sheet2!$C$12</c:f>
              <c:strCache>
                <c:ptCount val="1"/>
                <c:pt idx="0">
                  <c:v>vogel's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Sheet2!$U$18:$U$33</c:f>
              <c:numCache>
                <c:formatCode>General</c:formatCode>
                <c:ptCount val="16"/>
                <c:pt idx="0">
                  <c:v>0</c:v>
                </c:pt>
                <c:pt idx="1">
                  <c:v>86.998697594018552</c:v>
                </c:pt>
                <c:pt idx="2">
                  <c:v>173.9973951880371</c:v>
                </c:pt>
                <c:pt idx="3">
                  <c:v>260.99609278205565</c:v>
                </c:pt>
                <c:pt idx="4">
                  <c:v>347.99479037607421</c:v>
                </c:pt>
                <c:pt idx="5">
                  <c:v>434.99348797009276</c:v>
                </c:pt>
                <c:pt idx="6">
                  <c:v>536.7586311710653</c:v>
                </c:pt>
                <c:pt idx="7">
                  <c:v>629.05724942311031</c:v>
                </c:pt>
                <c:pt idx="8">
                  <c:v>711.88934272622771</c:v>
                </c:pt>
                <c:pt idx="9">
                  <c:v>785.25491108041729</c:v>
                </c:pt>
                <c:pt idx="10">
                  <c:v>849.15395448567915</c:v>
                </c:pt>
                <c:pt idx="11">
                  <c:v>903.58647294201342</c:v>
                </c:pt>
                <c:pt idx="12">
                  <c:v>948.55246644941985</c:v>
                </c:pt>
                <c:pt idx="13">
                  <c:v>984.05193500789869</c:v>
                </c:pt>
                <c:pt idx="14">
                  <c:v>1010.0848786174499</c:v>
                </c:pt>
                <c:pt idx="15">
                  <c:v>1026.6512972780733</c:v>
                </c:pt>
              </c:numCache>
            </c:numRef>
          </c:xVal>
          <c:yVal>
            <c:numRef>
              <c:f>Sheet2!$T$18:$T$33</c:f>
              <c:numCache>
                <c:formatCode>General</c:formatCode>
                <c:ptCount val="16"/>
                <c:pt idx="0">
                  <c:v>3000</c:v>
                </c:pt>
                <c:pt idx="1">
                  <c:v>2826</c:v>
                </c:pt>
                <c:pt idx="2">
                  <c:v>2652</c:v>
                </c:pt>
                <c:pt idx="3">
                  <c:v>2478</c:v>
                </c:pt>
                <c:pt idx="4">
                  <c:v>2304</c:v>
                </c:pt>
                <c:pt idx="5">
                  <c:v>2130</c:v>
                </c:pt>
                <c:pt idx="6">
                  <c:v>1917</c:v>
                </c:pt>
                <c:pt idx="7">
                  <c:v>1704</c:v>
                </c:pt>
                <c:pt idx="8">
                  <c:v>1491</c:v>
                </c:pt>
                <c:pt idx="9">
                  <c:v>1278</c:v>
                </c:pt>
                <c:pt idx="10">
                  <c:v>1065</c:v>
                </c:pt>
                <c:pt idx="11">
                  <c:v>852</c:v>
                </c:pt>
                <c:pt idx="12">
                  <c:v>639</c:v>
                </c:pt>
                <c:pt idx="13">
                  <c:v>426</c:v>
                </c:pt>
                <c:pt idx="14">
                  <c:v>213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8E-4A02-985E-B6011FD69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420400"/>
        <c:axId val="1117431440"/>
      </c:scatterChart>
      <c:valAx>
        <c:axId val="111742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31440"/>
        <c:crosses val="autoZero"/>
        <c:crossBetween val="midCat"/>
      </c:valAx>
      <c:valAx>
        <c:axId val="11174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Pwf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2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Future IPR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Sheet2!$C$12</c:f>
              <c:strCache>
                <c:ptCount val="1"/>
                <c:pt idx="0">
                  <c:v>vogel's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Sheet2!$C$67:$C$77</c:f>
              <c:numCache>
                <c:formatCode>General</c:formatCode>
                <c:ptCount val="11"/>
                <c:pt idx="0">
                  <c:v>0</c:v>
                </c:pt>
                <c:pt idx="1">
                  <c:v>146.00702439024383</c:v>
                </c:pt>
                <c:pt idx="2">
                  <c:v>278.43200000000002</c:v>
                </c:pt>
                <c:pt idx="3">
                  <c:v>397.27492682926851</c:v>
                </c:pt>
                <c:pt idx="4">
                  <c:v>502.53580487804913</c:v>
                </c:pt>
                <c:pt idx="5">
                  <c:v>594.21463414634172</c:v>
                </c:pt>
                <c:pt idx="6">
                  <c:v>672.31141463414667</c:v>
                </c:pt>
                <c:pt idx="7">
                  <c:v>736.82614634146375</c:v>
                </c:pt>
                <c:pt idx="8">
                  <c:v>787.75882926829308</c:v>
                </c:pt>
                <c:pt idx="9">
                  <c:v>825.10946341463455</c:v>
                </c:pt>
                <c:pt idx="10">
                  <c:v>848.87804878048826</c:v>
                </c:pt>
              </c:numCache>
            </c:numRef>
          </c:xVal>
          <c:yVal>
            <c:numRef>
              <c:f>Sheet2!$B$67:$B$77</c:f>
              <c:numCache>
                <c:formatCode>General</c:formatCode>
                <c:ptCount val="11"/>
                <c:pt idx="0">
                  <c:v>2200</c:v>
                </c:pt>
                <c:pt idx="1">
                  <c:v>1980</c:v>
                </c:pt>
                <c:pt idx="2">
                  <c:v>1760</c:v>
                </c:pt>
                <c:pt idx="3">
                  <c:v>1540</c:v>
                </c:pt>
                <c:pt idx="4">
                  <c:v>1320</c:v>
                </c:pt>
                <c:pt idx="5">
                  <c:v>1100</c:v>
                </c:pt>
                <c:pt idx="6">
                  <c:v>880</c:v>
                </c:pt>
                <c:pt idx="7">
                  <c:v>660</c:v>
                </c:pt>
                <c:pt idx="8">
                  <c:v>440</c:v>
                </c:pt>
                <c:pt idx="9">
                  <c:v>220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58-4036-B62C-27A6CF61F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420400"/>
        <c:axId val="1117431440"/>
      </c:scatterChart>
      <c:valAx>
        <c:axId val="111742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31440"/>
        <c:crosses val="autoZero"/>
        <c:crossBetween val="midCat"/>
      </c:valAx>
      <c:valAx>
        <c:axId val="11174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Pwf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2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Future IPR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Sheet2!$C$12</c:f>
              <c:strCache>
                <c:ptCount val="1"/>
                <c:pt idx="0">
                  <c:v>vogel's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Sheet2!$L$69:$L$84</c:f>
              <c:numCache>
                <c:formatCode>General</c:formatCode>
                <c:ptCount val="16"/>
                <c:pt idx="0">
                  <c:v>0</c:v>
                </c:pt>
                <c:pt idx="1">
                  <c:v>35.302222222222227</c:v>
                </c:pt>
                <c:pt idx="2">
                  <c:v>70.604444444444454</c:v>
                </c:pt>
                <c:pt idx="3">
                  <c:v>105.90666666666668</c:v>
                </c:pt>
                <c:pt idx="4">
                  <c:v>141.20888888888891</c:v>
                </c:pt>
                <c:pt idx="5">
                  <c:v>176.51111111111112</c:v>
                </c:pt>
                <c:pt idx="6">
                  <c:v>252.94918518518512</c:v>
                </c:pt>
                <c:pt idx="7">
                  <c:v>322.27674074074071</c:v>
                </c:pt>
                <c:pt idx="8">
                  <c:v>384.49377777777784</c:v>
                </c:pt>
                <c:pt idx="9">
                  <c:v>439.60029629629639</c:v>
                </c:pt>
                <c:pt idx="10">
                  <c:v>487.59629629629632</c:v>
                </c:pt>
                <c:pt idx="11">
                  <c:v>528.48177777777778</c:v>
                </c:pt>
                <c:pt idx="12">
                  <c:v>562.25674074074072</c:v>
                </c:pt>
                <c:pt idx="13">
                  <c:v>588.92118518518521</c:v>
                </c:pt>
                <c:pt idx="14">
                  <c:v>608.47511111111112</c:v>
                </c:pt>
                <c:pt idx="15">
                  <c:v>620.91851851851857</c:v>
                </c:pt>
              </c:numCache>
            </c:numRef>
          </c:xVal>
          <c:yVal>
            <c:numRef>
              <c:f>Sheet2!$K$69:$K$84</c:f>
              <c:numCache>
                <c:formatCode>General</c:formatCode>
                <c:ptCount val="16"/>
                <c:pt idx="0">
                  <c:v>2600</c:v>
                </c:pt>
                <c:pt idx="1">
                  <c:v>2506</c:v>
                </c:pt>
                <c:pt idx="2">
                  <c:v>2412</c:v>
                </c:pt>
                <c:pt idx="3">
                  <c:v>2318</c:v>
                </c:pt>
                <c:pt idx="4">
                  <c:v>2224</c:v>
                </c:pt>
                <c:pt idx="5">
                  <c:v>2130</c:v>
                </c:pt>
                <c:pt idx="6">
                  <c:v>1917</c:v>
                </c:pt>
                <c:pt idx="7">
                  <c:v>1704</c:v>
                </c:pt>
                <c:pt idx="8">
                  <c:v>1491</c:v>
                </c:pt>
                <c:pt idx="9">
                  <c:v>1278</c:v>
                </c:pt>
                <c:pt idx="10">
                  <c:v>1065</c:v>
                </c:pt>
                <c:pt idx="11">
                  <c:v>852</c:v>
                </c:pt>
                <c:pt idx="12">
                  <c:v>639</c:v>
                </c:pt>
                <c:pt idx="13">
                  <c:v>426</c:v>
                </c:pt>
                <c:pt idx="14">
                  <c:v>213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AE-4D1E-8664-2A92F4EDF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420400"/>
        <c:axId val="1117431440"/>
      </c:scatterChart>
      <c:valAx>
        <c:axId val="111742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31440"/>
        <c:crosses val="autoZero"/>
        <c:crossBetween val="midCat"/>
      </c:valAx>
      <c:valAx>
        <c:axId val="11174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Pwf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2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Future IPR curve </a:t>
            </a:r>
          </a:p>
          <a:p>
            <a:pPr>
              <a:defRPr/>
            </a:pPr>
            <a:endParaRPr lang="en-US"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Sheet2!$C$12</c:f>
              <c:strCache>
                <c:ptCount val="1"/>
                <c:pt idx="0">
                  <c:v>vogel's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Sheet2!$U$69:$U$84</c:f>
              <c:numCache>
                <c:formatCode>General</c:formatCode>
                <c:ptCount val="16"/>
                <c:pt idx="0">
                  <c:v>0</c:v>
                </c:pt>
                <c:pt idx="1">
                  <c:v>35.301693741470729</c:v>
                </c:pt>
                <c:pt idx="2">
                  <c:v>70.603387482941457</c:v>
                </c:pt>
                <c:pt idx="3">
                  <c:v>105.90508122441217</c:v>
                </c:pt>
                <c:pt idx="4">
                  <c:v>141.20677496588291</c:v>
                </c:pt>
                <c:pt idx="5">
                  <c:v>176.50846870735364</c:v>
                </c:pt>
                <c:pt idx="6">
                  <c:v>252.94539848941747</c:v>
                </c:pt>
                <c:pt idx="7">
                  <c:v>322.27191619873128</c:v>
                </c:pt>
                <c:pt idx="8">
                  <c:v>384.48802183529506</c:v>
                </c:pt>
                <c:pt idx="9">
                  <c:v>439.59371539910859</c:v>
                </c:pt>
                <c:pt idx="10">
                  <c:v>487.58899689017193</c:v>
                </c:pt>
                <c:pt idx="11">
                  <c:v>528.47386630848519</c:v>
                </c:pt>
                <c:pt idx="12">
                  <c:v>562.24832365404836</c:v>
                </c:pt>
                <c:pt idx="13">
                  <c:v>588.91236892686129</c:v>
                </c:pt>
                <c:pt idx="14">
                  <c:v>608.4660021269242</c:v>
                </c:pt>
                <c:pt idx="15">
                  <c:v>620.90922325423685</c:v>
                </c:pt>
              </c:numCache>
            </c:numRef>
          </c:xVal>
          <c:yVal>
            <c:numRef>
              <c:f>Sheet2!$T$69:$T$84</c:f>
              <c:numCache>
                <c:formatCode>General</c:formatCode>
                <c:ptCount val="16"/>
                <c:pt idx="0">
                  <c:v>2600</c:v>
                </c:pt>
                <c:pt idx="1">
                  <c:v>2506</c:v>
                </c:pt>
                <c:pt idx="2">
                  <c:v>2412</c:v>
                </c:pt>
                <c:pt idx="3">
                  <c:v>2318</c:v>
                </c:pt>
                <c:pt idx="4">
                  <c:v>2224</c:v>
                </c:pt>
                <c:pt idx="5">
                  <c:v>2130</c:v>
                </c:pt>
                <c:pt idx="6">
                  <c:v>1917</c:v>
                </c:pt>
                <c:pt idx="7">
                  <c:v>1704</c:v>
                </c:pt>
                <c:pt idx="8">
                  <c:v>1491</c:v>
                </c:pt>
                <c:pt idx="9">
                  <c:v>1278</c:v>
                </c:pt>
                <c:pt idx="10">
                  <c:v>1065</c:v>
                </c:pt>
                <c:pt idx="11">
                  <c:v>852</c:v>
                </c:pt>
                <c:pt idx="12">
                  <c:v>639</c:v>
                </c:pt>
                <c:pt idx="13">
                  <c:v>426</c:v>
                </c:pt>
                <c:pt idx="14">
                  <c:v>213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84-4A49-9ED4-F6775742F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420400"/>
        <c:axId val="1117431440"/>
      </c:scatterChart>
      <c:valAx>
        <c:axId val="111742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31440"/>
        <c:crosses val="autoZero"/>
        <c:crossBetween val="midCat"/>
      </c:valAx>
      <c:valAx>
        <c:axId val="11174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Pwf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2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851546472323714E-3"/>
                  <c:y val="0.201438456556566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Sheet3!$B$26:$B$29</c:f>
              <c:numCache>
                <c:formatCode>0.00</c:formatCode>
                <c:ptCount val="4"/>
                <c:pt idx="0">
                  <c:v>2.4199557484897576</c:v>
                </c:pt>
                <c:pt idx="1">
                  <c:v>2.5831987739686224</c:v>
                </c:pt>
                <c:pt idx="2">
                  <c:v>2.6963563887333319</c:v>
                </c:pt>
                <c:pt idx="3">
                  <c:v>2.8061799739838866</c:v>
                </c:pt>
              </c:numCache>
            </c:numRef>
          </c:xVal>
          <c:yVal>
            <c:numRef>
              <c:f>Sheet3!$C$26:$C$29</c:f>
              <c:numCache>
                <c:formatCode>0.00</c:formatCode>
                <c:ptCount val="4"/>
                <c:pt idx="0">
                  <c:v>6.4640571242647304</c:v>
                </c:pt>
                <c:pt idx="1">
                  <c:v>6.6635030455194446</c:v>
                </c:pt>
                <c:pt idx="2">
                  <c:v>6.8454949278480495</c:v>
                </c:pt>
                <c:pt idx="3">
                  <c:v>6.9210358469246049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38-4FE7-B2FA-87CEEAA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604656"/>
        <c:axId val="1117415600"/>
      </c:scatterChart>
      <c:valAx>
        <c:axId val="105060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log(Qo)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15600"/>
        <c:crosses val="autoZero"/>
        <c:crossBetween val="midCat"/>
      </c:valAx>
      <c:valAx>
        <c:axId val="11174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log(Pr^2 - Pwf^2)</a:t>
                </a:r>
              </a:p>
            </c:rich>
          </c:tx>
          <c:layout>
            <c:manualLayout>
              <c:xMode val="edge"/>
              <c:yMode val="edge"/>
              <c:x val="1.4474772539288668E-2"/>
              <c:y val="0.32597402597402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0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IPR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Fetkovitch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Sheet3!$C$52:$C$62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226.76946939079008</c:v>
                </c:pt>
                <c:pt idx="2">
                  <c:v>381.84829586362792</c:v>
                </c:pt>
                <c:pt idx="3">
                  <c:v>507.26003765219491</c:v>
                </c:pt>
                <c:pt idx="4">
                  <c:v>610.42815459091219</c:v>
                </c:pt>
                <c:pt idx="5">
                  <c:v>694.70207738334102</c:v>
                </c:pt>
                <c:pt idx="6">
                  <c:v>761.95568584829618</c:v>
                </c:pt>
                <c:pt idx="7">
                  <c:v>813.34321179004075</c:v>
                </c:pt>
                <c:pt idx="8">
                  <c:v>849.60070525765082</c:v>
                </c:pt>
                <c:pt idx="9">
                  <c:v>871.18722157155548</c:v>
                </c:pt>
                <c:pt idx="10">
                  <c:v>878.35574722923946</c:v>
                </c:pt>
              </c:numCache>
            </c:numRef>
          </c:xVal>
          <c:yVal>
            <c:numRef>
              <c:f>Sheet3!$B$52:$B$62</c:f>
              <c:numCache>
                <c:formatCode>General</c:formatCode>
                <c:ptCount val="11"/>
                <c:pt idx="0">
                  <c:v>3600</c:v>
                </c:pt>
                <c:pt idx="1">
                  <c:v>3240</c:v>
                </c:pt>
                <c:pt idx="2">
                  <c:v>2880</c:v>
                </c:pt>
                <c:pt idx="3">
                  <c:v>2520</c:v>
                </c:pt>
                <c:pt idx="4">
                  <c:v>2160</c:v>
                </c:pt>
                <c:pt idx="5">
                  <c:v>1800</c:v>
                </c:pt>
                <c:pt idx="6">
                  <c:v>1440</c:v>
                </c:pt>
                <c:pt idx="7">
                  <c:v>1080</c:v>
                </c:pt>
                <c:pt idx="8">
                  <c:v>720</c:v>
                </c:pt>
                <c:pt idx="9">
                  <c:v>360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FE-424A-9625-797BF3E93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420400"/>
        <c:axId val="1117431440"/>
      </c:scatterChart>
      <c:valAx>
        <c:axId val="111742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31440"/>
        <c:crosses val="autoZero"/>
        <c:crossBetween val="midCat"/>
      </c:valAx>
      <c:valAx>
        <c:axId val="11174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Pwf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2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3.xml"/><Relationship Id="rId5" Type="http://schemas.openxmlformats.org/officeDocument/2006/relationships/image" Target="../media/image5.png"/><Relationship Id="rId15" Type="http://schemas.openxmlformats.org/officeDocument/2006/relationships/chart" Target="../charts/chart7.xml"/><Relationship Id="rId10" Type="http://schemas.openxmlformats.org/officeDocument/2006/relationships/chart" Target="../charts/chart2.xml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22.png"/><Relationship Id="rId18" Type="http://schemas.openxmlformats.org/officeDocument/2006/relationships/chart" Target="../charts/chart10.xml"/><Relationship Id="rId3" Type="http://schemas.openxmlformats.org/officeDocument/2006/relationships/image" Target="../media/image12.png"/><Relationship Id="rId21" Type="http://schemas.openxmlformats.org/officeDocument/2006/relationships/chart" Target="../charts/chart13.xml"/><Relationship Id="rId7" Type="http://schemas.openxmlformats.org/officeDocument/2006/relationships/image" Target="../media/image16.png"/><Relationship Id="rId12" Type="http://schemas.openxmlformats.org/officeDocument/2006/relationships/image" Target="../media/image21.png"/><Relationship Id="rId17" Type="http://schemas.openxmlformats.org/officeDocument/2006/relationships/chart" Target="../charts/chart9.xml"/><Relationship Id="rId2" Type="http://schemas.openxmlformats.org/officeDocument/2006/relationships/image" Target="../media/image11.png"/><Relationship Id="rId16" Type="http://schemas.openxmlformats.org/officeDocument/2006/relationships/chart" Target="../charts/chart8.xml"/><Relationship Id="rId20" Type="http://schemas.openxmlformats.org/officeDocument/2006/relationships/chart" Target="../charts/chart12.xml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11" Type="http://schemas.openxmlformats.org/officeDocument/2006/relationships/image" Target="../media/image20.png"/><Relationship Id="rId5" Type="http://schemas.openxmlformats.org/officeDocument/2006/relationships/image" Target="../media/image14.png"/><Relationship Id="rId15" Type="http://schemas.openxmlformats.org/officeDocument/2006/relationships/image" Target="../media/image24.png"/><Relationship Id="rId10" Type="http://schemas.openxmlformats.org/officeDocument/2006/relationships/image" Target="../media/image19.png"/><Relationship Id="rId19" Type="http://schemas.openxmlformats.org/officeDocument/2006/relationships/chart" Target="../charts/chart11.xml"/><Relationship Id="rId4" Type="http://schemas.openxmlformats.org/officeDocument/2006/relationships/image" Target="../media/image13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7" Type="http://schemas.openxmlformats.org/officeDocument/2006/relationships/chart" Target="../charts/chart15.xml"/><Relationship Id="rId2" Type="http://schemas.openxmlformats.org/officeDocument/2006/relationships/image" Target="../media/image8.png"/><Relationship Id="rId1" Type="http://schemas.openxmlformats.org/officeDocument/2006/relationships/image" Target="../media/image25.png"/><Relationship Id="rId6" Type="http://schemas.openxmlformats.org/officeDocument/2006/relationships/chart" Target="../charts/chart14.xml"/><Relationship Id="rId5" Type="http://schemas.openxmlformats.org/officeDocument/2006/relationships/image" Target="../media/image24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13</xdr:row>
      <xdr:rowOff>19050</xdr:rowOff>
    </xdr:from>
    <xdr:to>
      <xdr:col>10</xdr:col>
      <xdr:colOff>685800</xdr:colOff>
      <xdr:row>26</xdr:row>
      <xdr:rowOff>186690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37E527-C2CE-CE6A-DAA3-65EA2ADB1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123825</xdr:colOff>
      <xdr:row>19</xdr:row>
      <xdr:rowOff>200025</xdr:rowOff>
    </xdr:from>
    <xdr:ext cx="3095625" cy="933450"/>
    <xdr:pic>
      <xdr:nvPicPr>
        <xdr:cNvPr id="8" name="image2.png" title="Image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123825</xdr:colOff>
      <xdr:row>11</xdr:row>
      <xdr:rowOff>47625</xdr:rowOff>
    </xdr:from>
    <xdr:ext cx="3162300" cy="866775"/>
    <xdr:pic>
      <xdr:nvPicPr>
        <xdr:cNvPr id="9" name="image4.png" title="Image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28575</xdr:colOff>
      <xdr:row>11</xdr:row>
      <xdr:rowOff>190500</xdr:rowOff>
    </xdr:from>
    <xdr:ext cx="1028700" cy="723900"/>
    <xdr:pic>
      <xdr:nvPicPr>
        <xdr:cNvPr id="10" name="image18.png" title="Image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428625</xdr:colOff>
      <xdr:row>12</xdr:row>
      <xdr:rowOff>190500</xdr:rowOff>
    </xdr:from>
    <xdr:ext cx="1419225" cy="323850"/>
    <xdr:pic>
      <xdr:nvPicPr>
        <xdr:cNvPr id="11" name="image3.png" title="Image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485775</xdr:colOff>
      <xdr:row>19</xdr:row>
      <xdr:rowOff>9525</xdr:rowOff>
    </xdr:from>
    <xdr:ext cx="1285875" cy="323850"/>
    <xdr:pic>
      <xdr:nvPicPr>
        <xdr:cNvPr id="12" name="image5.png" title="Imag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419100</xdr:colOff>
      <xdr:row>24</xdr:row>
      <xdr:rowOff>171450</xdr:rowOff>
    </xdr:from>
    <xdr:ext cx="3343275" cy="866775"/>
    <xdr:pic>
      <xdr:nvPicPr>
        <xdr:cNvPr id="13" name="image6.png" title="Image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952500</xdr:colOff>
      <xdr:row>11</xdr:row>
      <xdr:rowOff>47625</xdr:rowOff>
    </xdr:from>
    <xdr:ext cx="3267075" cy="1133475"/>
    <xdr:pic>
      <xdr:nvPicPr>
        <xdr:cNvPr id="14" name="image8.png" title="Image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628650</xdr:colOff>
      <xdr:row>24</xdr:row>
      <xdr:rowOff>171450</xdr:rowOff>
    </xdr:from>
    <xdr:ext cx="3267075" cy="866775"/>
    <xdr:pic>
      <xdr:nvPicPr>
        <xdr:cNvPr id="15" name="image6.png" title="Image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628650</xdr:colOff>
      <xdr:row>19</xdr:row>
      <xdr:rowOff>114300</xdr:rowOff>
    </xdr:from>
    <xdr:ext cx="1285875" cy="323850"/>
    <xdr:pic>
      <xdr:nvPicPr>
        <xdr:cNvPr id="16" name="image5.png" title="Image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476250</xdr:colOff>
      <xdr:row>12</xdr:row>
      <xdr:rowOff>28575</xdr:rowOff>
    </xdr:from>
    <xdr:ext cx="1419225" cy="323850"/>
    <xdr:pic>
      <xdr:nvPicPr>
        <xdr:cNvPr id="17" name="image3.png" title="Image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</xdr:colOff>
      <xdr:row>62</xdr:row>
      <xdr:rowOff>19050</xdr:rowOff>
    </xdr:from>
    <xdr:ext cx="3267075" cy="933450"/>
    <xdr:pic>
      <xdr:nvPicPr>
        <xdr:cNvPr id="18" name="image22.png" title="Image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95250</xdr:colOff>
      <xdr:row>70</xdr:row>
      <xdr:rowOff>28575</xdr:rowOff>
    </xdr:from>
    <xdr:ext cx="3095625" cy="933450"/>
    <xdr:pic>
      <xdr:nvPicPr>
        <xdr:cNvPr id="19" name="image2.png" title="Image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142875</xdr:colOff>
      <xdr:row>62</xdr:row>
      <xdr:rowOff>104775</xdr:rowOff>
    </xdr:from>
    <xdr:ext cx="1504950" cy="523875"/>
    <xdr:pic>
      <xdr:nvPicPr>
        <xdr:cNvPr id="20" name="image1.png" title="Image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1</xdr:col>
      <xdr:colOff>7620</xdr:colOff>
      <xdr:row>26</xdr:row>
      <xdr:rowOff>15240</xdr:rowOff>
    </xdr:from>
    <xdr:to>
      <xdr:col>7</xdr:col>
      <xdr:colOff>845820</xdr:colOff>
      <xdr:row>48</xdr:row>
      <xdr:rowOff>160020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D289ED1-C769-4C71-878D-0FB3CE209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22860</xdr:colOff>
      <xdr:row>34</xdr:row>
      <xdr:rowOff>15240</xdr:rowOff>
    </xdr:from>
    <xdr:to>
      <xdr:col>16</xdr:col>
      <xdr:colOff>853440</xdr:colOff>
      <xdr:row>51</xdr:row>
      <xdr:rowOff>175260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E212D7B-8B93-4D88-9CA1-E0BDCE51B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34</xdr:row>
      <xdr:rowOff>0</xdr:rowOff>
    </xdr:from>
    <xdr:to>
      <xdr:col>25</xdr:col>
      <xdr:colOff>830580</xdr:colOff>
      <xdr:row>51</xdr:row>
      <xdr:rowOff>160020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E38D960-93D0-4058-9F2E-091A7B168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78</xdr:row>
      <xdr:rowOff>0</xdr:rowOff>
    </xdr:from>
    <xdr:to>
      <xdr:col>7</xdr:col>
      <xdr:colOff>853440</xdr:colOff>
      <xdr:row>95</xdr:row>
      <xdr:rowOff>175260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5DA261B-D87F-44C7-A068-5BFD06FAB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85</xdr:row>
      <xdr:rowOff>0</xdr:rowOff>
    </xdr:from>
    <xdr:to>
      <xdr:col>16</xdr:col>
      <xdr:colOff>830580</xdr:colOff>
      <xdr:row>102</xdr:row>
      <xdr:rowOff>160020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55392AA-B8D2-43E3-AE1E-F0731CE1B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0</xdr:colOff>
      <xdr:row>85</xdr:row>
      <xdr:rowOff>0</xdr:rowOff>
    </xdr:from>
    <xdr:to>
      <xdr:col>25</xdr:col>
      <xdr:colOff>830580</xdr:colOff>
      <xdr:row>102</xdr:row>
      <xdr:rowOff>160020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9C00F9C-7654-4340-BA61-F1DCECCFD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971550</xdr:colOff>
      <xdr:row>1</xdr:row>
      <xdr:rowOff>171450</xdr:rowOff>
    </xdr:from>
    <xdr:ext cx="2457450" cy="962025"/>
    <xdr:pic>
      <xdr:nvPicPr>
        <xdr:cNvPr id="2" name="image14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962025</xdr:colOff>
      <xdr:row>2</xdr:row>
      <xdr:rowOff>171450</xdr:rowOff>
    </xdr:from>
    <xdr:ext cx="923925" cy="590550"/>
    <xdr:pic>
      <xdr:nvPicPr>
        <xdr:cNvPr id="3" name="image10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6</xdr:row>
      <xdr:rowOff>123825</xdr:rowOff>
    </xdr:from>
    <xdr:ext cx="1190625" cy="647700"/>
    <xdr:pic>
      <xdr:nvPicPr>
        <xdr:cNvPr id="4" name="image7.png" title="Imag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66675</xdr:colOff>
      <xdr:row>11</xdr:row>
      <xdr:rowOff>76200</xdr:rowOff>
    </xdr:from>
    <xdr:ext cx="1619250" cy="647700"/>
    <xdr:pic>
      <xdr:nvPicPr>
        <xdr:cNvPr id="5" name="image11.png" title="Imag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9525</xdr:colOff>
      <xdr:row>17</xdr:row>
      <xdr:rowOff>180975</xdr:rowOff>
    </xdr:from>
    <xdr:ext cx="2695575" cy="904875"/>
    <xdr:pic>
      <xdr:nvPicPr>
        <xdr:cNvPr id="6" name="image17.png" title="Image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971550</xdr:colOff>
      <xdr:row>16</xdr:row>
      <xdr:rowOff>200025</xdr:rowOff>
    </xdr:from>
    <xdr:ext cx="2857500" cy="1076325"/>
    <xdr:pic>
      <xdr:nvPicPr>
        <xdr:cNvPr id="7" name="image20.png" title="Imag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28575</xdr:colOff>
      <xdr:row>18</xdr:row>
      <xdr:rowOff>19050</xdr:rowOff>
    </xdr:from>
    <xdr:ext cx="3667125" cy="904875"/>
    <xdr:pic>
      <xdr:nvPicPr>
        <xdr:cNvPr id="14" name="image15.png" title="Imag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18</xdr:row>
      <xdr:rowOff>133350</xdr:rowOff>
    </xdr:from>
    <xdr:ext cx="1257300" cy="504825"/>
    <xdr:pic>
      <xdr:nvPicPr>
        <xdr:cNvPr id="15" name="image19.png" title="Image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9525</xdr:colOff>
      <xdr:row>17</xdr:row>
      <xdr:rowOff>180975</xdr:rowOff>
    </xdr:from>
    <xdr:ext cx="2857500" cy="904875"/>
    <xdr:pic>
      <xdr:nvPicPr>
        <xdr:cNvPr id="16" name="image12.png" title="Image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9525</xdr:colOff>
      <xdr:row>30</xdr:row>
      <xdr:rowOff>28575</xdr:rowOff>
    </xdr:from>
    <xdr:ext cx="1295400" cy="314325"/>
    <xdr:pic>
      <xdr:nvPicPr>
        <xdr:cNvPr id="17" name="image9.png" title="Imag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971550</xdr:colOff>
      <xdr:row>9</xdr:row>
      <xdr:rowOff>76200</xdr:rowOff>
    </xdr:from>
    <xdr:ext cx="1619250" cy="647700"/>
    <xdr:pic>
      <xdr:nvPicPr>
        <xdr:cNvPr id="18" name="image11.png" title="Imag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952500</xdr:colOff>
      <xdr:row>9</xdr:row>
      <xdr:rowOff>76200</xdr:rowOff>
    </xdr:from>
    <xdr:ext cx="1190625" cy="647700"/>
    <xdr:pic>
      <xdr:nvPicPr>
        <xdr:cNvPr id="19" name="image7.png" title="Imag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20</xdr:row>
      <xdr:rowOff>95250</xdr:rowOff>
    </xdr:from>
    <xdr:ext cx="304800" cy="190500"/>
    <xdr:pic>
      <xdr:nvPicPr>
        <xdr:cNvPr id="20" name="image13.png" title="Imag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123825</xdr:colOff>
      <xdr:row>18</xdr:row>
      <xdr:rowOff>57150</xdr:rowOff>
    </xdr:from>
    <xdr:ext cx="1714500" cy="647700"/>
    <xdr:pic>
      <xdr:nvPicPr>
        <xdr:cNvPr id="21" name="image21.png" title="Image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104775</xdr:colOff>
      <xdr:row>24</xdr:row>
      <xdr:rowOff>133350</xdr:rowOff>
    </xdr:from>
    <xdr:ext cx="2356485" cy="575310"/>
    <xdr:pic>
      <xdr:nvPicPr>
        <xdr:cNvPr id="22" name="image16.png" title="Image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2802255" y="4705350"/>
          <a:ext cx="2356485" cy="575310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9525</xdr:colOff>
      <xdr:row>36</xdr:row>
      <xdr:rowOff>200025</xdr:rowOff>
    </xdr:from>
    <xdr:ext cx="2857500" cy="647700"/>
    <xdr:pic>
      <xdr:nvPicPr>
        <xdr:cNvPr id="23" name="image25.png" title="Image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9525</xdr:colOff>
      <xdr:row>31</xdr:row>
      <xdr:rowOff>28575</xdr:rowOff>
    </xdr:from>
    <xdr:ext cx="1295400" cy="314325"/>
    <xdr:pic>
      <xdr:nvPicPr>
        <xdr:cNvPr id="24" name="image9.png" title="Image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9525</xdr:colOff>
      <xdr:row>37</xdr:row>
      <xdr:rowOff>200025</xdr:rowOff>
    </xdr:from>
    <xdr:ext cx="2857500" cy="647700"/>
    <xdr:pic>
      <xdr:nvPicPr>
        <xdr:cNvPr id="25" name="image25.png" title="Image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266700</xdr:colOff>
      <xdr:row>75</xdr:row>
      <xdr:rowOff>9525</xdr:rowOff>
    </xdr:from>
    <xdr:ext cx="1914525" cy="504825"/>
    <xdr:pic>
      <xdr:nvPicPr>
        <xdr:cNvPr id="26" name="image23.png" title="Image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342900</xdr:colOff>
      <xdr:row>81</xdr:row>
      <xdr:rowOff>123825</xdr:rowOff>
    </xdr:from>
    <xdr:ext cx="2857500" cy="647700"/>
    <xdr:pic>
      <xdr:nvPicPr>
        <xdr:cNvPr id="27" name="image25.png" title="Image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1</xdr:col>
      <xdr:colOff>7620</xdr:colOff>
      <xdr:row>30</xdr:row>
      <xdr:rowOff>11430</xdr:rowOff>
    </xdr:from>
    <xdr:to>
      <xdr:col>7</xdr:col>
      <xdr:colOff>845820</xdr:colOff>
      <xdr:row>47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8D1B0FE-38CB-8A72-9539-6480EC865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0</xdr:colOff>
      <xdr:row>50</xdr:row>
      <xdr:rowOff>0</xdr:rowOff>
    </xdr:from>
    <xdr:to>
      <xdr:col>9</xdr:col>
      <xdr:colOff>861060</xdr:colOff>
      <xdr:row>68</xdr:row>
      <xdr:rowOff>99060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7029837-5D00-4091-9178-4B6583A77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7620</xdr:colOff>
      <xdr:row>47</xdr:row>
      <xdr:rowOff>0</xdr:rowOff>
    </xdr:from>
    <xdr:to>
      <xdr:col>18</xdr:col>
      <xdr:colOff>7620</xdr:colOff>
      <xdr:row>66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6605FB-5B1C-48B0-8E32-84F69238F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0</xdr:colOff>
      <xdr:row>47</xdr:row>
      <xdr:rowOff>0</xdr:rowOff>
    </xdr:from>
    <xdr:to>
      <xdr:col>29</xdr:col>
      <xdr:colOff>0</xdr:colOff>
      <xdr:row>66</xdr:row>
      <xdr:rowOff>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065DE9F-12AB-4539-A2E9-08D2506D9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0</xdr:colOff>
      <xdr:row>83</xdr:row>
      <xdr:rowOff>0</xdr:rowOff>
    </xdr:from>
    <xdr:to>
      <xdr:col>9</xdr:col>
      <xdr:colOff>861060</xdr:colOff>
      <xdr:row>101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AE607D19-0E2D-4D57-B099-3CF867FF1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0</xdr:colOff>
      <xdr:row>87</xdr:row>
      <xdr:rowOff>0</xdr:rowOff>
    </xdr:from>
    <xdr:to>
      <xdr:col>20</xdr:col>
      <xdr:colOff>861060</xdr:colOff>
      <xdr:row>105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25E0163B-34E2-4A45-9F6F-803ADF94F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66675</xdr:colOff>
      <xdr:row>19</xdr:row>
      <xdr:rowOff>142875</xdr:rowOff>
    </xdr:from>
    <xdr:ext cx="2514600" cy="619125"/>
    <xdr:pic>
      <xdr:nvPicPr>
        <xdr:cNvPr id="2" name="image26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9525</xdr:colOff>
      <xdr:row>83</xdr:row>
      <xdr:rowOff>9525</xdr:rowOff>
    </xdr:from>
    <xdr:ext cx="2514600" cy="723900"/>
    <xdr:pic>
      <xdr:nvPicPr>
        <xdr:cNvPr id="3" name="image22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485775</xdr:colOff>
      <xdr:row>88</xdr:row>
      <xdr:rowOff>171450</xdr:rowOff>
    </xdr:from>
    <xdr:ext cx="2514600" cy="619125"/>
    <xdr:pic>
      <xdr:nvPicPr>
        <xdr:cNvPr id="4" name="image26.png" title="Image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66675</xdr:colOff>
      <xdr:row>81</xdr:row>
      <xdr:rowOff>104775</xdr:rowOff>
    </xdr:from>
    <xdr:ext cx="1876425" cy="514350"/>
    <xdr:pic>
      <xdr:nvPicPr>
        <xdr:cNvPr id="5" name="image24.png" title="Image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9525</xdr:colOff>
      <xdr:row>80</xdr:row>
      <xdr:rowOff>19050</xdr:rowOff>
    </xdr:from>
    <xdr:ext cx="1876425" cy="514350"/>
    <xdr:pic>
      <xdr:nvPicPr>
        <xdr:cNvPr id="6" name="image24.png" title="Image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447675</xdr:colOff>
      <xdr:row>88</xdr:row>
      <xdr:rowOff>57150</xdr:rowOff>
    </xdr:from>
    <xdr:ext cx="2733675" cy="790575"/>
    <xdr:pic>
      <xdr:nvPicPr>
        <xdr:cNvPr id="7" name="image2.png" title="Image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95250</xdr:colOff>
      <xdr:row>81</xdr:row>
      <xdr:rowOff>47625</xdr:rowOff>
    </xdr:from>
    <xdr:ext cx="1581150" cy="419100"/>
    <xdr:pic>
      <xdr:nvPicPr>
        <xdr:cNvPr id="8" name="image23.png" title="Image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7</xdr:col>
      <xdr:colOff>0</xdr:colOff>
      <xdr:row>39</xdr:row>
      <xdr:rowOff>19050</xdr:rowOff>
    </xdr:from>
    <xdr:to>
      <xdr:col>14</xdr:col>
      <xdr:colOff>838200</xdr:colOff>
      <xdr:row>62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F2541D-A0F9-42FE-B9BC-784C59DD52EC}"/>
            </a:ext>
            <a:ext uri="{147F2762-F138-4A5C-976F-8EAC2B608ADB}">
              <a16:predDERef xmlns:a16="http://schemas.microsoft.com/office/drawing/2014/main" pre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100</xdr:row>
      <xdr:rowOff>0</xdr:rowOff>
    </xdr:from>
    <xdr:to>
      <xdr:col>15</xdr:col>
      <xdr:colOff>0</xdr:colOff>
      <xdr:row>123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F4A43B-01B9-44D9-BFCA-FF0BBA742F6D}"/>
            </a:ext>
            <a:ext uri="{147F2762-F138-4A5C-976F-8EAC2B608ADB}">
              <a16:predDERef xmlns:a16="http://schemas.microsoft.com/office/drawing/2014/main" pred="{D2F2541D-A0F9-42FE-B9BC-784C59DD5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B1:E1000"/>
  <sheetViews>
    <sheetView workbookViewId="0">
      <selection activeCell="F8" sqref="F8"/>
    </sheetView>
  </sheetViews>
  <sheetFormatPr defaultColWidth="12.7109375" defaultRowHeight="15" customHeight="1"/>
  <cols>
    <col min="1" max="6" width="12.7109375" customWidth="1"/>
  </cols>
  <sheetData>
    <row r="1" spans="2:5" ht="15.75" customHeight="1">
      <c r="E1" s="1" t="s">
        <v>0</v>
      </c>
    </row>
    <row r="2" spans="2:5" ht="15.75" customHeight="1"/>
    <row r="3" spans="2:5" ht="15.75" customHeight="1">
      <c r="B3" s="2" t="s">
        <v>1</v>
      </c>
      <c r="C3" s="3">
        <v>1300</v>
      </c>
      <c r="D3" s="4" t="s">
        <v>2</v>
      </c>
    </row>
    <row r="4" spans="2:5" ht="15.75" customHeight="1">
      <c r="B4" s="2" t="s">
        <v>3</v>
      </c>
      <c r="C4" s="3">
        <v>900</v>
      </c>
      <c r="D4" s="4" t="s">
        <v>2</v>
      </c>
    </row>
    <row r="5" spans="2:5" ht="15.75" customHeight="1">
      <c r="B5" s="2" t="s">
        <v>4</v>
      </c>
      <c r="C5" s="3">
        <v>110</v>
      </c>
      <c r="D5" s="4" t="s">
        <v>5</v>
      </c>
    </row>
    <row r="6" spans="2:5" ht="15.75" customHeight="1"/>
    <row r="7" spans="2:5" ht="15.75" customHeight="1">
      <c r="B7" s="50" t="s">
        <v>6</v>
      </c>
      <c r="C7" s="51"/>
      <c r="D7" s="5">
        <f>C5/(C3-C4)</f>
        <v>0.27500000000000002</v>
      </c>
      <c r="E7" s="4" t="s">
        <v>7</v>
      </c>
    </row>
    <row r="8" spans="2:5" ht="15.75" customHeight="1">
      <c r="B8" s="50" t="s">
        <v>8</v>
      </c>
      <c r="C8" s="51"/>
      <c r="D8" s="5">
        <f>D7*C3</f>
        <v>357.50000000000006</v>
      </c>
      <c r="E8" s="4" t="s">
        <v>5</v>
      </c>
    </row>
    <row r="9" spans="2:5" ht="15.75" customHeight="1"/>
    <row r="10" spans="2:5" ht="15.75" customHeight="1"/>
    <row r="11" spans="2:5" ht="15.75" customHeight="1">
      <c r="B11" s="6" t="s">
        <v>9</v>
      </c>
    </row>
    <row r="12" spans="2:5" ht="15.75" customHeight="1"/>
    <row r="13" spans="2:5" ht="15.75" customHeight="1">
      <c r="B13" s="7" t="s">
        <v>10</v>
      </c>
      <c r="C13" s="7" t="s">
        <v>11</v>
      </c>
    </row>
    <row r="14" spans="2:5" ht="15.75" customHeight="1">
      <c r="B14" s="8">
        <f>C3</f>
        <v>1300</v>
      </c>
      <c r="C14" s="8">
        <f t="shared" ref="C14:C24" si="0">$D$7*($C$3-B14)</f>
        <v>0</v>
      </c>
    </row>
    <row r="15" spans="2:5" ht="15.75" customHeight="1">
      <c r="B15" s="8">
        <f t="shared" ref="B15:B24" si="1">B14-($B$14/10)</f>
        <v>1170</v>
      </c>
      <c r="C15" s="8">
        <f t="shared" si="0"/>
        <v>35.75</v>
      </c>
    </row>
    <row r="16" spans="2:5" ht="15.75" customHeight="1">
      <c r="B16" s="8">
        <f t="shared" si="1"/>
        <v>1040</v>
      </c>
      <c r="C16" s="8">
        <f t="shared" si="0"/>
        <v>71.5</v>
      </c>
    </row>
    <row r="17" spans="2:3" ht="15.75" customHeight="1">
      <c r="B17" s="8">
        <f t="shared" si="1"/>
        <v>910</v>
      </c>
      <c r="C17" s="8">
        <f t="shared" si="0"/>
        <v>107.25000000000001</v>
      </c>
    </row>
    <row r="18" spans="2:3" ht="15.75" customHeight="1">
      <c r="B18" s="8">
        <f t="shared" si="1"/>
        <v>780</v>
      </c>
      <c r="C18" s="8">
        <f t="shared" si="0"/>
        <v>143</v>
      </c>
    </row>
    <row r="19" spans="2:3" ht="15.75" customHeight="1">
      <c r="B19" s="8">
        <f t="shared" si="1"/>
        <v>650</v>
      </c>
      <c r="C19" s="8">
        <f t="shared" si="0"/>
        <v>178.75000000000003</v>
      </c>
    </row>
    <row r="20" spans="2:3" ht="15.75" customHeight="1">
      <c r="B20" s="8">
        <f t="shared" si="1"/>
        <v>520</v>
      </c>
      <c r="C20" s="8">
        <f t="shared" si="0"/>
        <v>214.50000000000003</v>
      </c>
    </row>
    <row r="21" spans="2:3" ht="15.75" customHeight="1">
      <c r="B21" s="8">
        <f t="shared" si="1"/>
        <v>390</v>
      </c>
      <c r="C21" s="8">
        <f t="shared" si="0"/>
        <v>250.25000000000003</v>
      </c>
    </row>
    <row r="22" spans="2:3" ht="15.75" customHeight="1">
      <c r="B22" s="8">
        <f t="shared" si="1"/>
        <v>260</v>
      </c>
      <c r="C22" s="8">
        <f t="shared" si="0"/>
        <v>286</v>
      </c>
    </row>
    <row r="23" spans="2:3" ht="15.75" customHeight="1">
      <c r="B23" s="8">
        <f t="shared" si="1"/>
        <v>130</v>
      </c>
      <c r="C23" s="8">
        <f t="shared" si="0"/>
        <v>321.75</v>
      </c>
    </row>
    <row r="24" spans="2:3" ht="15.75" customHeight="1">
      <c r="B24" s="8">
        <f t="shared" si="1"/>
        <v>0</v>
      </c>
      <c r="C24" s="8">
        <f t="shared" si="0"/>
        <v>357.50000000000006</v>
      </c>
    </row>
    <row r="25" spans="2:3" ht="15.75" customHeight="1"/>
    <row r="26" spans="2:3" ht="15.75" customHeight="1"/>
    <row r="27" spans="2:3" ht="15.75" customHeight="1"/>
    <row r="28" spans="2:3" ht="15.75" customHeight="1"/>
    <row r="29" spans="2:3" ht="15.75" customHeight="1"/>
    <row r="30" spans="2:3" ht="15.75" customHeight="1"/>
    <row r="31" spans="2:3" ht="15.75" customHeight="1"/>
    <row r="32" spans="2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7:C7"/>
    <mergeCell ref="B8:C8"/>
  </mergeCells>
  <pageMargins left="0" right="0" top="0" bottom="0" header="0" footer="0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V1002"/>
  <sheetViews>
    <sheetView topLeftCell="A39" workbookViewId="0">
      <selection activeCell="D11" sqref="D11"/>
    </sheetView>
  </sheetViews>
  <sheetFormatPr defaultColWidth="12.7109375" defaultRowHeight="15" customHeight="1"/>
  <cols>
    <col min="1" max="3" width="12.7109375" customWidth="1"/>
    <col min="4" max="4" width="18.28515625" customWidth="1"/>
    <col min="5" max="6" width="12.7109375" customWidth="1"/>
  </cols>
  <sheetData>
    <row r="1" spans="1:22" ht="15.75" customHeight="1">
      <c r="H1" s="1" t="s">
        <v>12</v>
      </c>
    </row>
    <row r="2" spans="1:22" ht="15.75" customHeight="1"/>
    <row r="3" spans="1:22" ht="15.75" customHeight="1">
      <c r="A3" s="6"/>
      <c r="B3" s="1" t="s">
        <v>13</v>
      </c>
      <c r="K3" s="1" t="s">
        <v>14</v>
      </c>
      <c r="T3" s="1" t="s">
        <v>14</v>
      </c>
    </row>
    <row r="4" spans="1:22" ht="15.75" customHeight="1">
      <c r="A4" s="6"/>
      <c r="B4" s="9" t="s">
        <v>1</v>
      </c>
      <c r="C4" s="3">
        <v>2500</v>
      </c>
      <c r="D4" s="4" t="s">
        <v>2</v>
      </c>
      <c r="K4" s="9" t="s">
        <v>1</v>
      </c>
      <c r="L4" s="3">
        <v>3000</v>
      </c>
      <c r="M4" s="4" t="s">
        <v>2</v>
      </c>
      <c r="T4" s="9" t="s">
        <v>1</v>
      </c>
      <c r="U4" s="3">
        <v>3000</v>
      </c>
      <c r="V4" s="4" t="s">
        <v>2</v>
      </c>
    </row>
    <row r="5" spans="1:22" ht="15.75" customHeight="1">
      <c r="A5" s="6"/>
      <c r="B5" s="9" t="s">
        <v>3</v>
      </c>
      <c r="C5" s="3">
        <v>2000</v>
      </c>
      <c r="D5" s="4" t="s">
        <v>2</v>
      </c>
      <c r="K5" s="9" t="s">
        <v>3</v>
      </c>
      <c r="L5" s="3">
        <v>2500</v>
      </c>
      <c r="M5" s="4" t="s">
        <v>2</v>
      </c>
      <c r="T5" s="9" t="s">
        <v>3</v>
      </c>
      <c r="U5" s="3">
        <v>1700</v>
      </c>
      <c r="V5" s="4" t="s">
        <v>2</v>
      </c>
    </row>
    <row r="6" spans="1:22" ht="15.75" customHeight="1">
      <c r="A6" s="6"/>
      <c r="B6" s="9" t="s">
        <v>4</v>
      </c>
      <c r="C6" s="3">
        <v>350</v>
      </c>
      <c r="D6" s="4" t="s">
        <v>5</v>
      </c>
      <c r="K6" s="9" t="s">
        <v>4</v>
      </c>
      <c r="L6" s="3">
        <v>250</v>
      </c>
      <c r="M6" s="4" t="s">
        <v>5</v>
      </c>
      <c r="T6" s="9" t="s">
        <v>4</v>
      </c>
      <c r="U6" s="3">
        <v>630.70000000000005</v>
      </c>
      <c r="V6" s="4" t="s">
        <v>5</v>
      </c>
    </row>
    <row r="7" spans="1:22" ht="15.75" customHeight="1">
      <c r="A7" s="6"/>
      <c r="B7" s="6"/>
      <c r="K7" s="9" t="s">
        <v>15</v>
      </c>
      <c r="L7" s="10">
        <v>2130</v>
      </c>
      <c r="M7" s="11" t="s">
        <v>2</v>
      </c>
      <c r="T7" s="9" t="s">
        <v>15</v>
      </c>
      <c r="U7" s="10">
        <v>2130</v>
      </c>
      <c r="V7" s="11" t="s">
        <v>2</v>
      </c>
    </row>
    <row r="8" spans="1:22" ht="15.75" customHeight="1">
      <c r="A8" s="6"/>
    </row>
    <row r="9" spans="1:22" ht="15.75" customHeight="1"/>
    <row r="10" spans="1:22" ht="15.75" customHeight="1">
      <c r="A10" s="6"/>
      <c r="B10" s="6" t="s">
        <v>16</v>
      </c>
      <c r="K10" s="12" t="s">
        <v>17</v>
      </c>
      <c r="T10" s="12" t="s">
        <v>18</v>
      </c>
    </row>
    <row r="11" spans="1:22" ht="15.75" customHeight="1">
      <c r="A11" s="6"/>
      <c r="B11" s="6"/>
      <c r="K11" s="12" t="s">
        <v>19</v>
      </c>
      <c r="T11" s="12" t="s">
        <v>20</v>
      </c>
    </row>
    <row r="12" spans="1:22" ht="15.75" customHeight="1">
      <c r="B12" s="12"/>
      <c r="C12" s="13" t="s">
        <v>21</v>
      </c>
      <c r="D12" s="48" t="s">
        <v>22</v>
      </c>
    </row>
    <row r="13" spans="1:22" ht="15.75" customHeight="1">
      <c r="A13" s="6"/>
      <c r="B13" s="7" t="s">
        <v>10</v>
      </c>
      <c r="C13" s="7" t="s">
        <v>11</v>
      </c>
      <c r="D13" s="7" t="s">
        <v>11</v>
      </c>
      <c r="K13" s="14" t="s">
        <v>23</v>
      </c>
      <c r="L13" s="15">
        <f>L6/(L4-L5)</f>
        <v>0.5</v>
      </c>
      <c r="M13" s="6" t="s">
        <v>7</v>
      </c>
      <c r="T13" s="14" t="s">
        <v>23</v>
      </c>
      <c r="U13" s="15">
        <f>U6/((U4-U7)+(U7/1.8)*(1-0.2*(U5/U7)-0.8*(U5/U7)^2))</f>
        <v>0.49999251490815261</v>
      </c>
      <c r="V13" s="6" t="s">
        <v>7</v>
      </c>
    </row>
    <row r="14" spans="1:22" ht="15.75" customHeight="1">
      <c r="B14" s="8">
        <f>C4</f>
        <v>2500</v>
      </c>
      <c r="C14" s="8">
        <f t="shared" ref="C14:C24" si="0">$G$19*(1-0.2*(B14/$C$4)-0.8*(B14/$C$4)^2)</f>
        <v>0</v>
      </c>
      <c r="D14" s="8">
        <f t="shared" ref="D14:D24" si="1">$G$18*($C$4-B14)</f>
        <v>0</v>
      </c>
      <c r="K14" s="14" t="s">
        <v>24</v>
      </c>
      <c r="L14" s="15">
        <f>L13*(L4-L7)</f>
        <v>435</v>
      </c>
      <c r="M14" s="16" t="s">
        <v>5</v>
      </c>
      <c r="T14" s="14" t="s">
        <v>24</v>
      </c>
      <c r="U14" s="15">
        <f>U13*(U4-U7)</f>
        <v>434.99348797009276</v>
      </c>
      <c r="V14" s="16" t="s">
        <v>5</v>
      </c>
    </row>
    <row r="15" spans="1:22" ht="15.75" customHeight="1">
      <c r="B15" s="8">
        <f t="shared" ref="B15:B24" si="2">B14-($C$4/10)</f>
        <v>2250</v>
      </c>
      <c r="C15" s="8">
        <f t="shared" si="0"/>
        <v>183.53658536585354</v>
      </c>
      <c r="D15" s="8">
        <f t="shared" si="1"/>
        <v>175</v>
      </c>
      <c r="K15" s="14" t="s">
        <v>25</v>
      </c>
      <c r="L15" s="15">
        <f>(L13*L7)/1.8</f>
        <v>591.66666666666663</v>
      </c>
      <c r="M15" s="16" t="s">
        <v>5</v>
      </c>
      <c r="T15" s="14" t="s">
        <v>25</v>
      </c>
      <c r="U15" s="15">
        <f>(U13*U7)/1.8</f>
        <v>591.65780930798064</v>
      </c>
      <c r="V15" s="16" t="s">
        <v>5</v>
      </c>
    </row>
    <row r="16" spans="1:22" ht="15.75" customHeight="1">
      <c r="B16" s="8">
        <f t="shared" si="2"/>
        <v>2000</v>
      </c>
      <c r="C16" s="8">
        <f t="shared" si="0"/>
        <v>349.99999999999994</v>
      </c>
      <c r="D16" s="8">
        <f t="shared" si="1"/>
        <v>350</v>
      </c>
    </row>
    <row r="17" spans="2:21" ht="15.75" customHeight="1">
      <c r="B17" s="8">
        <f t="shared" si="2"/>
        <v>1750</v>
      </c>
      <c r="C17" s="8">
        <f t="shared" si="0"/>
        <v>499.39024390243924</v>
      </c>
      <c r="D17" s="8">
        <f t="shared" si="1"/>
        <v>525</v>
      </c>
      <c r="K17" s="14" t="s">
        <v>10</v>
      </c>
      <c r="L17" s="14" t="s">
        <v>11</v>
      </c>
      <c r="T17" s="14" t="s">
        <v>10</v>
      </c>
      <c r="U17" s="14" t="s">
        <v>11</v>
      </c>
    </row>
    <row r="18" spans="2:21" ht="15.75" customHeight="1">
      <c r="B18" s="8">
        <f t="shared" si="2"/>
        <v>1500</v>
      </c>
      <c r="C18" s="8">
        <f t="shared" si="0"/>
        <v>631.707317073171</v>
      </c>
      <c r="D18" s="8">
        <f t="shared" si="1"/>
        <v>700</v>
      </c>
      <c r="F18" s="9" t="s">
        <v>26</v>
      </c>
      <c r="G18" s="17">
        <f>C6/(C4-C5)</f>
        <v>0.7</v>
      </c>
      <c r="H18" s="6" t="s">
        <v>7</v>
      </c>
      <c r="K18" s="18">
        <f>L4</f>
        <v>3000</v>
      </c>
      <c r="L18" s="18">
        <f t="shared" ref="L18:L33" si="3">IF(K18&gt;$L$7,$L$13*($L$4-K18),$L$14+$L$15*(1-0.2*(K18/$L$7)-0.8*(K18/$L$7)^2))</f>
        <v>0</v>
      </c>
      <c r="T18" s="18">
        <f>U4</f>
        <v>3000</v>
      </c>
      <c r="U18" s="18">
        <f t="shared" ref="U18:U33" si="4">IF(T18&gt;$U$7,$U$13*($U$4-T18),$U$14+$U$15*(1-0.2*(T18/$U$7)-0.8*(T18/$U$7)^2))</f>
        <v>0</v>
      </c>
    </row>
    <row r="19" spans="2:21" ht="15.75" customHeight="1">
      <c r="B19" s="8">
        <f t="shared" si="2"/>
        <v>1250</v>
      </c>
      <c r="C19" s="8">
        <f t="shared" si="0"/>
        <v>746.95121951219539</v>
      </c>
      <c r="D19" s="8">
        <f t="shared" si="1"/>
        <v>875</v>
      </c>
      <c r="F19" s="9" t="s">
        <v>27</v>
      </c>
      <c r="G19" s="17">
        <f>C6/(1-0.2*(C5/C4)-0.8*(C5/C4)^2)</f>
        <v>1067.0731707317077</v>
      </c>
      <c r="H19" s="6" t="s">
        <v>5</v>
      </c>
      <c r="K19" s="18">
        <f t="shared" ref="K19:K33" si="5">IF(K18&gt;$L$7,K18-(($L$4-$L$7)/5),K18-($L$7/10))</f>
        <v>2826</v>
      </c>
      <c r="L19" s="18">
        <f t="shared" si="3"/>
        <v>87</v>
      </c>
      <c r="T19" s="18">
        <f t="shared" ref="T19:T33" si="6">IF(T18&gt;$U$7,T18-(($U$4-$U$7)/5),T18-($U$7/10))</f>
        <v>2826</v>
      </c>
      <c r="U19" s="18">
        <f t="shared" si="4"/>
        <v>86.998697594018552</v>
      </c>
    </row>
    <row r="20" spans="2:21" ht="15.75" customHeight="1">
      <c r="B20" s="8">
        <f t="shared" si="2"/>
        <v>1000</v>
      </c>
      <c r="C20" s="8">
        <f t="shared" si="0"/>
        <v>845.12195121951243</v>
      </c>
      <c r="D20" s="8">
        <f t="shared" si="1"/>
        <v>1050</v>
      </c>
      <c r="K20" s="18">
        <f t="shared" si="5"/>
        <v>2652</v>
      </c>
      <c r="L20" s="18">
        <f t="shared" si="3"/>
        <v>174</v>
      </c>
      <c r="T20" s="18">
        <f t="shared" si="6"/>
        <v>2652</v>
      </c>
      <c r="U20" s="18">
        <f t="shared" si="4"/>
        <v>173.9973951880371</v>
      </c>
    </row>
    <row r="21" spans="2:21" ht="15.75" customHeight="1">
      <c r="B21" s="8">
        <f t="shared" si="2"/>
        <v>750</v>
      </c>
      <c r="C21" s="8">
        <f t="shared" si="0"/>
        <v>926.21951219512232</v>
      </c>
      <c r="D21" s="8">
        <f t="shared" si="1"/>
        <v>1225</v>
      </c>
      <c r="K21" s="18">
        <f t="shared" si="5"/>
        <v>2478</v>
      </c>
      <c r="L21" s="18">
        <f t="shared" si="3"/>
        <v>261</v>
      </c>
      <c r="T21" s="18">
        <f t="shared" si="6"/>
        <v>2478</v>
      </c>
      <c r="U21" s="18">
        <f t="shared" si="4"/>
        <v>260.99609278205565</v>
      </c>
    </row>
    <row r="22" spans="2:21" ht="15.75" customHeight="1">
      <c r="B22" s="8">
        <f t="shared" si="2"/>
        <v>500</v>
      </c>
      <c r="C22" s="8">
        <f t="shared" si="0"/>
        <v>990.24390243902474</v>
      </c>
      <c r="D22" s="8">
        <f t="shared" si="1"/>
        <v>1400</v>
      </c>
      <c r="K22" s="18">
        <f t="shared" si="5"/>
        <v>2304</v>
      </c>
      <c r="L22" s="18">
        <f t="shared" si="3"/>
        <v>348</v>
      </c>
      <c r="T22" s="18">
        <f t="shared" si="6"/>
        <v>2304</v>
      </c>
      <c r="U22" s="18">
        <f t="shared" si="4"/>
        <v>347.99479037607421</v>
      </c>
    </row>
    <row r="23" spans="2:21" ht="15.75" customHeight="1">
      <c r="B23" s="8">
        <f t="shared" si="2"/>
        <v>250</v>
      </c>
      <c r="C23" s="8">
        <f t="shared" si="0"/>
        <v>1037.1951219512198</v>
      </c>
      <c r="D23" s="8">
        <f t="shared" si="1"/>
        <v>1575</v>
      </c>
      <c r="K23" s="18">
        <f t="shared" si="5"/>
        <v>2130</v>
      </c>
      <c r="L23" s="18">
        <f t="shared" si="3"/>
        <v>435</v>
      </c>
      <c r="T23" s="18">
        <f t="shared" si="6"/>
        <v>2130</v>
      </c>
      <c r="U23" s="18">
        <f t="shared" si="4"/>
        <v>434.99348797009276</v>
      </c>
    </row>
    <row r="24" spans="2:21" ht="15.75" customHeight="1">
      <c r="B24" s="8">
        <f t="shared" si="2"/>
        <v>0</v>
      </c>
      <c r="C24" s="8">
        <f t="shared" si="0"/>
        <v>1067.0731707317077</v>
      </c>
      <c r="D24" s="8">
        <f t="shared" si="1"/>
        <v>1750</v>
      </c>
      <c r="K24" s="18">
        <f t="shared" si="5"/>
        <v>1917</v>
      </c>
      <c r="L24" s="18">
        <f t="shared" si="3"/>
        <v>536.76666666666654</v>
      </c>
      <c r="T24" s="18">
        <f t="shared" si="6"/>
        <v>1917</v>
      </c>
      <c r="U24" s="18">
        <f t="shared" si="4"/>
        <v>536.7586311710653</v>
      </c>
    </row>
    <row r="25" spans="2:21" ht="15.75" customHeight="1">
      <c r="K25" s="18">
        <f t="shared" si="5"/>
        <v>1704</v>
      </c>
      <c r="L25" s="18">
        <f t="shared" si="3"/>
        <v>629.06666666666661</v>
      </c>
      <c r="T25" s="18">
        <f t="shared" si="6"/>
        <v>1704</v>
      </c>
      <c r="U25" s="18">
        <f t="shared" si="4"/>
        <v>629.05724942311031</v>
      </c>
    </row>
    <row r="26" spans="2:21" ht="15.75" customHeight="1">
      <c r="K26" s="18">
        <f t="shared" si="5"/>
        <v>1491</v>
      </c>
      <c r="L26" s="18">
        <f t="shared" si="3"/>
        <v>711.9</v>
      </c>
      <c r="T26" s="18">
        <f t="shared" si="6"/>
        <v>1491</v>
      </c>
      <c r="U26" s="18">
        <f t="shared" si="4"/>
        <v>711.88934272622771</v>
      </c>
    </row>
    <row r="27" spans="2:21" ht="15.75" customHeight="1">
      <c r="K27" s="18">
        <f t="shared" si="5"/>
        <v>1278</v>
      </c>
      <c r="L27" s="18">
        <f t="shared" si="3"/>
        <v>785.26666666666665</v>
      </c>
      <c r="T27" s="18">
        <f t="shared" si="6"/>
        <v>1278</v>
      </c>
      <c r="U27" s="18">
        <f t="shared" si="4"/>
        <v>785.25491108041729</v>
      </c>
    </row>
    <row r="28" spans="2:21" ht="15.75" customHeight="1">
      <c r="K28" s="18">
        <f t="shared" si="5"/>
        <v>1065</v>
      </c>
      <c r="L28" s="18">
        <f t="shared" si="3"/>
        <v>849.16666666666663</v>
      </c>
      <c r="T28" s="18">
        <f t="shared" si="6"/>
        <v>1065</v>
      </c>
      <c r="U28" s="18">
        <f t="shared" si="4"/>
        <v>849.15395448567915</v>
      </c>
    </row>
    <row r="29" spans="2:21" ht="15.75" customHeight="1">
      <c r="K29" s="18">
        <f t="shared" si="5"/>
        <v>852</v>
      </c>
      <c r="L29" s="18">
        <f t="shared" si="3"/>
        <v>903.59999999999991</v>
      </c>
      <c r="T29" s="18">
        <f t="shared" si="6"/>
        <v>852</v>
      </c>
      <c r="U29" s="18">
        <f t="shared" si="4"/>
        <v>903.58647294201342</v>
      </c>
    </row>
    <row r="30" spans="2:21" ht="15.75" customHeight="1">
      <c r="K30" s="18">
        <f t="shared" si="5"/>
        <v>639</v>
      </c>
      <c r="L30" s="18">
        <f t="shared" si="3"/>
        <v>948.56666666666661</v>
      </c>
      <c r="T30" s="18">
        <f t="shared" si="6"/>
        <v>639</v>
      </c>
      <c r="U30" s="18">
        <f t="shared" si="4"/>
        <v>948.55246644941985</v>
      </c>
    </row>
    <row r="31" spans="2:21" ht="15.75" customHeight="1">
      <c r="K31" s="18">
        <f t="shared" si="5"/>
        <v>426</v>
      </c>
      <c r="L31" s="18">
        <f t="shared" si="3"/>
        <v>984.06666666666661</v>
      </c>
      <c r="T31" s="18">
        <f t="shared" si="6"/>
        <v>426</v>
      </c>
      <c r="U31" s="18">
        <f t="shared" si="4"/>
        <v>984.05193500789869</v>
      </c>
    </row>
    <row r="32" spans="2:21" ht="15.75" customHeight="1">
      <c r="K32" s="18">
        <f t="shared" si="5"/>
        <v>213</v>
      </c>
      <c r="L32" s="18">
        <f t="shared" si="3"/>
        <v>1010.0999999999999</v>
      </c>
      <c r="T32" s="18">
        <f t="shared" si="6"/>
        <v>213</v>
      </c>
      <c r="U32" s="18">
        <f t="shared" si="4"/>
        <v>1010.0848786174499</v>
      </c>
    </row>
    <row r="33" spans="11:21" ht="15.75" customHeight="1">
      <c r="K33" s="18">
        <f t="shared" si="5"/>
        <v>0</v>
      </c>
      <c r="L33" s="18">
        <f t="shared" si="3"/>
        <v>1026.6666666666665</v>
      </c>
      <c r="T33" s="18">
        <f t="shared" si="6"/>
        <v>0</v>
      </c>
      <c r="U33" s="18">
        <f t="shared" si="4"/>
        <v>1026.6512972780733</v>
      </c>
    </row>
    <row r="34" spans="11:21" ht="15.75" customHeight="1"/>
    <row r="35" spans="11:21" ht="15.75" customHeight="1"/>
    <row r="36" spans="11:21" ht="15.75" customHeight="1"/>
    <row r="37" spans="11:21" ht="15.75" customHeight="1"/>
    <row r="38" spans="11:21" ht="15.75" customHeight="1"/>
    <row r="39" spans="11:21" ht="15.75" customHeight="1"/>
    <row r="40" spans="11:21" ht="15.75" customHeight="1"/>
    <row r="41" spans="11:21" ht="15.75" customHeight="1"/>
    <row r="42" spans="11:21" ht="15.75" customHeight="1"/>
    <row r="43" spans="11:21" ht="15.75" customHeight="1"/>
    <row r="44" spans="11:21" ht="15.75" customHeight="1"/>
    <row r="45" spans="11:21" ht="15.75" customHeight="1"/>
    <row r="46" spans="11:21" ht="15.75" customHeight="1"/>
    <row r="47" spans="11:21" ht="15.75" customHeight="1"/>
    <row r="48" spans="11:21" ht="15.75" customHeight="1"/>
    <row r="49" spans="2:22" ht="15.75" customHeight="1"/>
    <row r="50" spans="2:22" ht="15.75" customHeight="1"/>
    <row r="51" spans="2:22" ht="15.75" customHeight="1"/>
    <row r="52" spans="2:22" ht="15.75" customHeight="1"/>
    <row r="53" spans="2:22" ht="15.75" customHeight="1"/>
    <row r="54" spans="2:22" ht="15.75" customHeight="1"/>
    <row r="55" spans="2:22" ht="15.75" customHeight="1">
      <c r="H55" s="12" t="s">
        <v>28</v>
      </c>
    </row>
    <row r="56" spans="2:22" ht="15.75" customHeight="1"/>
    <row r="57" spans="2:22" ht="15.75" customHeight="1">
      <c r="B57" s="1" t="s">
        <v>13</v>
      </c>
      <c r="K57" s="1" t="s">
        <v>14</v>
      </c>
      <c r="T57" s="1" t="s">
        <v>14</v>
      </c>
    </row>
    <row r="58" spans="2:22" ht="15.75" customHeight="1">
      <c r="B58" s="9" t="s">
        <v>1</v>
      </c>
      <c r="C58" s="19">
        <v>2500</v>
      </c>
      <c r="D58" s="4" t="s">
        <v>2</v>
      </c>
      <c r="K58" s="9" t="s">
        <v>1</v>
      </c>
      <c r="L58" s="19">
        <v>3000</v>
      </c>
      <c r="M58" s="4" t="s">
        <v>2</v>
      </c>
      <c r="T58" s="9" t="s">
        <v>1</v>
      </c>
      <c r="U58" s="19">
        <v>3000</v>
      </c>
      <c r="V58" s="4" t="s">
        <v>2</v>
      </c>
    </row>
    <row r="59" spans="2:22" ht="15.75" customHeight="1">
      <c r="B59" s="9" t="s">
        <v>3</v>
      </c>
      <c r="C59" s="19">
        <v>2000</v>
      </c>
      <c r="D59" s="4" t="s">
        <v>2</v>
      </c>
      <c r="K59" s="9" t="s">
        <v>3</v>
      </c>
      <c r="L59" s="19">
        <v>2500</v>
      </c>
      <c r="M59" s="4" t="s">
        <v>2</v>
      </c>
      <c r="T59" s="9" t="s">
        <v>3</v>
      </c>
      <c r="U59" s="19">
        <v>1700</v>
      </c>
      <c r="V59" s="4" t="s">
        <v>2</v>
      </c>
    </row>
    <row r="60" spans="2:22" ht="15.75" customHeight="1">
      <c r="B60" s="9" t="s">
        <v>4</v>
      </c>
      <c r="C60" s="19">
        <v>350</v>
      </c>
      <c r="D60" s="4" t="s">
        <v>5</v>
      </c>
      <c r="K60" s="9" t="s">
        <v>4</v>
      </c>
      <c r="L60" s="19">
        <v>250</v>
      </c>
      <c r="M60" s="4" t="s">
        <v>5</v>
      </c>
      <c r="T60" s="9" t="s">
        <v>4</v>
      </c>
      <c r="U60" s="19">
        <v>630.70000000000005</v>
      </c>
      <c r="V60" s="4" t="s">
        <v>5</v>
      </c>
    </row>
    <row r="61" spans="2:22" ht="15.75" customHeight="1">
      <c r="B61" s="14" t="s">
        <v>29</v>
      </c>
      <c r="C61" s="20">
        <v>2200</v>
      </c>
      <c r="D61" s="11" t="s">
        <v>2</v>
      </c>
      <c r="K61" s="9" t="s">
        <v>15</v>
      </c>
      <c r="L61" s="20">
        <v>2130</v>
      </c>
      <c r="M61" s="11" t="s">
        <v>2</v>
      </c>
      <c r="T61" s="9" t="s">
        <v>15</v>
      </c>
      <c r="U61" s="20">
        <v>2130</v>
      </c>
      <c r="V61" s="11" t="s">
        <v>2</v>
      </c>
    </row>
    <row r="62" spans="2:22" ht="15.75" customHeight="1">
      <c r="K62" s="14" t="s">
        <v>29</v>
      </c>
      <c r="L62" s="20">
        <v>2600</v>
      </c>
      <c r="M62" s="11" t="s">
        <v>2</v>
      </c>
      <c r="T62" s="14" t="s">
        <v>29</v>
      </c>
      <c r="U62" s="20">
        <v>2600</v>
      </c>
      <c r="V62" s="11" t="s">
        <v>2</v>
      </c>
    </row>
    <row r="63" spans="2:22" ht="15.75" customHeight="1"/>
    <row r="64" spans="2:22" ht="15.75" customHeight="1">
      <c r="B64" s="14" t="s">
        <v>30</v>
      </c>
      <c r="C64" s="15">
        <f>G19*(C61/C58)*(0.2+0.8*(C61/C58))</f>
        <v>848.87804878048826</v>
      </c>
      <c r="D64" s="4" t="s">
        <v>5</v>
      </c>
      <c r="K64" s="14" t="s">
        <v>31</v>
      </c>
      <c r="L64" s="15">
        <f>L60/(L58-L59)</f>
        <v>0.5</v>
      </c>
      <c r="M64" s="6" t="s">
        <v>7</v>
      </c>
      <c r="T64" s="14" t="s">
        <v>31</v>
      </c>
      <c r="U64" s="15">
        <f>U60/((U58-U61)+(U61/1.8)*(1-0.2*(U59/U61)-0.8*(U59/U61)^2))</f>
        <v>0.49999251490815261</v>
      </c>
      <c r="V64" s="6" t="s">
        <v>7</v>
      </c>
    </row>
    <row r="65" spans="2:22" ht="15.75" customHeight="1">
      <c r="K65" s="14" t="s">
        <v>32</v>
      </c>
      <c r="L65" s="15">
        <f>L64*(L62/L58)^2</f>
        <v>0.37555555555555559</v>
      </c>
      <c r="M65" s="6" t="s">
        <v>7</v>
      </c>
      <c r="T65" s="14" t="s">
        <v>32</v>
      </c>
      <c r="U65" s="15">
        <f>U64*(U62/U58)^2</f>
        <v>0.37554993341990134</v>
      </c>
      <c r="V65" s="6" t="s">
        <v>7</v>
      </c>
    </row>
    <row r="66" spans="2:22" ht="15.75" customHeight="1">
      <c r="B66" s="7" t="s">
        <v>10</v>
      </c>
      <c r="C66" s="21" t="s">
        <v>33</v>
      </c>
    </row>
    <row r="67" spans="2:22" ht="15.75" customHeight="1">
      <c r="B67" s="8">
        <f>C61</f>
        <v>2200</v>
      </c>
      <c r="C67" s="22">
        <f t="shared" ref="C67:C77" si="7">$C$64*(1-0.2*(B67/$C$61)-0.8*(B67/$C$61)^2)</f>
        <v>0</v>
      </c>
    </row>
    <row r="68" spans="2:22" ht="15.75" customHeight="1">
      <c r="B68" s="8">
        <f t="shared" ref="B68:B77" si="8">B67-($C$61/10)</f>
        <v>1980</v>
      </c>
      <c r="C68" s="22">
        <f t="shared" si="7"/>
        <v>146.00702439024383</v>
      </c>
      <c r="K68" s="7" t="s">
        <v>10</v>
      </c>
      <c r="L68" s="21" t="s">
        <v>33</v>
      </c>
      <c r="T68" s="7" t="s">
        <v>10</v>
      </c>
      <c r="U68" s="21" t="s">
        <v>33</v>
      </c>
    </row>
    <row r="69" spans="2:22" ht="15.75" customHeight="1">
      <c r="B69" s="8">
        <f t="shared" si="8"/>
        <v>1760</v>
      </c>
      <c r="C69" s="22">
        <f t="shared" si="7"/>
        <v>278.43200000000002</v>
      </c>
      <c r="K69" s="8">
        <f>L62</f>
        <v>2600</v>
      </c>
      <c r="L69" s="18">
        <f t="shared" ref="L69:L84" si="9">IF(K69&gt;$L$61,$L$65*($L$62-K69),$L$65*($L$62-$L$61)+(($L$65*$L$61)/1.8)*(1-0.2*(K69/$L$61)-0.8*(K69/$L$61)^2))</f>
        <v>0</v>
      </c>
      <c r="T69" s="8">
        <f>U62</f>
        <v>2600</v>
      </c>
      <c r="U69" s="18">
        <f t="shared" ref="U69:U84" si="10">IF(T69&gt;$U$61,$U$65*($U$62-T69),$U$65*($U$62-$U$61)+(($U$65*$U$61)/1.8)*(1-0.2*(T69/$U$61)-0.8*(T69/$U$61)^2))</f>
        <v>0</v>
      </c>
    </row>
    <row r="70" spans="2:22" ht="15.75" customHeight="1">
      <c r="B70" s="8">
        <f t="shared" si="8"/>
        <v>1540</v>
      </c>
      <c r="C70" s="22">
        <f t="shared" si="7"/>
        <v>397.27492682926851</v>
      </c>
      <c r="K70" s="8">
        <f t="shared" ref="K70:K84" si="11">IF(K69&gt;$L$61,K69-(($L$62-$L$61)/5),K69-($L$61/10))</f>
        <v>2506</v>
      </c>
      <c r="L70" s="18">
        <f t="shared" si="9"/>
        <v>35.302222222222227</v>
      </c>
      <c r="T70" s="8">
        <f t="shared" ref="T70:T84" si="12">IF(T69&gt;$L$61,T69-(($L$62-$L$61)/5),T69-($L$61/10))</f>
        <v>2506</v>
      </c>
      <c r="U70" s="18">
        <f t="shared" si="10"/>
        <v>35.301693741470729</v>
      </c>
    </row>
    <row r="71" spans="2:22" ht="15.75" customHeight="1">
      <c r="B71" s="8">
        <f t="shared" si="8"/>
        <v>1320</v>
      </c>
      <c r="C71" s="22">
        <f t="shared" si="7"/>
        <v>502.53580487804913</v>
      </c>
      <c r="K71" s="8">
        <f t="shared" si="11"/>
        <v>2412</v>
      </c>
      <c r="L71" s="18">
        <f t="shared" si="9"/>
        <v>70.604444444444454</v>
      </c>
      <c r="T71" s="8">
        <f t="shared" si="12"/>
        <v>2412</v>
      </c>
      <c r="U71" s="18">
        <f t="shared" si="10"/>
        <v>70.603387482941457</v>
      </c>
    </row>
    <row r="72" spans="2:22" ht="15.75" customHeight="1">
      <c r="B72" s="8">
        <f t="shared" si="8"/>
        <v>1100</v>
      </c>
      <c r="C72" s="22">
        <f t="shared" si="7"/>
        <v>594.21463414634172</v>
      </c>
      <c r="K72" s="8">
        <f t="shared" si="11"/>
        <v>2318</v>
      </c>
      <c r="L72" s="18">
        <f t="shared" si="9"/>
        <v>105.90666666666668</v>
      </c>
      <c r="T72" s="8">
        <f t="shared" si="12"/>
        <v>2318</v>
      </c>
      <c r="U72" s="18">
        <f t="shared" si="10"/>
        <v>105.90508122441217</v>
      </c>
    </row>
    <row r="73" spans="2:22" ht="15.75" customHeight="1">
      <c r="B73" s="8">
        <f t="shared" si="8"/>
        <v>880</v>
      </c>
      <c r="C73" s="22">
        <f t="shared" si="7"/>
        <v>672.31141463414667</v>
      </c>
      <c r="K73" s="8">
        <f t="shared" si="11"/>
        <v>2224</v>
      </c>
      <c r="L73" s="18">
        <f t="shared" si="9"/>
        <v>141.20888888888891</v>
      </c>
      <c r="T73" s="8">
        <f t="shared" si="12"/>
        <v>2224</v>
      </c>
      <c r="U73" s="18">
        <f t="shared" si="10"/>
        <v>141.20677496588291</v>
      </c>
    </row>
    <row r="74" spans="2:22" ht="15.75" customHeight="1">
      <c r="B74" s="8">
        <f t="shared" si="8"/>
        <v>660</v>
      </c>
      <c r="C74" s="22">
        <f t="shared" si="7"/>
        <v>736.82614634146375</v>
      </c>
      <c r="K74" s="8">
        <f t="shared" si="11"/>
        <v>2130</v>
      </c>
      <c r="L74" s="18">
        <f t="shared" si="9"/>
        <v>176.51111111111112</v>
      </c>
      <c r="T74" s="8">
        <f t="shared" si="12"/>
        <v>2130</v>
      </c>
      <c r="U74" s="18">
        <f t="shared" si="10"/>
        <v>176.50846870735364</v>
      </c>
    </row>
    <row r="75" spans="2:22" ht="15.75" customHeight="1">
      <c r="B75" s="8">
        <f t="shared" si="8"/>
        <v>440</v>
      </c>
      <c r="C75" s="22">
        <f t="shared" si="7"/>
        <v>787.75882926829308</v>
      </c>
      <c r="K75" s="8">
        <f t="shared" si="11"/>
        <v>1917</v>
      </c>
      <c r="L75" s="18">
        <f t="shared" si="9"/>
        <v>252.94918518518512</v>
      </c>
      <c r="T75" s="8">
        <f t="shared" si="12"/>
        <v>1917</v>
      </c>
      <c r="U75" s="18">
        <f t="shared" si="10"/>
        <v>252.94539848941747</v>
      </c>
    </row>
    <row r="76" spans="2:22" ht="15.75" customHeight="1">
      <c r="B76" s="8">
        <f t="shared" si="8"/>
        <v>220</v>
      </c>
      <c r="C76" s="22">
        <f t="shared" si="7"/>
        <v>825.10946341463455</v>
      </c>
      <c r="K76" s="8">
        <f t="shared" si="11"/>
        <v>1704</v>
      </c>
      <c r="L76" s="18">
        <f t="shared" si="9"/>
        <v>322.27674074074071</v>
      </c>
      <c r="T76" s="8">
        <f t="shared" si="12"/>
        <v>1704</v>
      </c>
      <c r="U76" s="18">
        <f t="shared" si="10"/>
        <v>322.27191619873128</v>
      </c>
    </row>
    <row r="77" spans="2:22" ht="15.75" customHeight="1">
      <c r="B77" s="8">
        <f t="shared" si="8"/>
        <v>0</v>
      </c>
      <c r="C77" s="22">
        <f t="shared" si="7"/>
        <v>848.87804878048826</v>
      </c>
      <c r="K77" s="8">
        <f t="shared" si="11"/>
        <v>1491</v>
      </c>
      <c r="L77" s="18">
        <f t="shared" si="9"/>
        <v>384.49377777777784</v>
      </c>
      <c r="T77" s="8">
        <f t="shared" si="12"/>
        <v>1491</v>
      </c>
      <c r="U77" s="18">
        <f t="shared" si="10"/>
        <v>384.48802183529506</v>
      </c>
    </row>
    <row r="78" spans="2:22" ht="15.75" customHeight="1">
      <c r="K78" s="8">
        <f t="shared" si="11"/>
        <v>1278</v>
      </c>
      <c r="L78" s="18">
        <f t="shared" si="9"/>
        <v>439.60029629629639</v>
      </c>
      <c r="T78" s="8">
        <f t="shared" si="12"/>
        <v>1278</v>
      </c>
      <c r="U78" s="18">
        <f t="shared" si="10"/>
        <v>439.59371539910859</v>
      </c>
    </row>
    <row r="79" spans="2:22" ht="15.75" customHeight="1">
      <c r="K79" s="8">
        <f t="shared" si="11"/>
        <v>1065</v>
      </c>
      <c r="L79" s="18">
        <f t="shared" si="9"/>
        <v>487.59629629629632</v>
      </c>
      <c r="T79" s="8">
        <f t="shared" si="12"/>
        <v>1065</v>
      </c>
      <c r="U79" s="18">
        <f t="shared" si="10"/>
        <v>487.58899689017193</v>
      </c>
    </row>
    <row r="80" spans="2:22" ht="15.75" customHeight="1">
      <c r="K80" s="8">
        <f t="shared" si="11"/>
        <v>852</v>
      </c>
      <c r="L80" s="18">
        <f t="shared" si="9"/>
        <v>528.48177777777778</v>
      </c>
      <c r="T80" s="8">
        <f t="shared" si="12"/>
        <v>852</v>
      </c>
      <c r="U80" s="18">
        <f t="shared" si="10"/>
        <v>528.47386630848519</v>
      </c>
    </row>
    <row r="81" spans="11:21" ht="15.75" customHeight="1">
      <c r="K81" s="8">
        <f t="shared" si="11"/>
        <v>639</v>
      </c>
      <c r="L81" s="18">
        <f t="shared" si="9"/>
        <v>562.25674074074072</v>
      </c>
      <c r="T81" s="8">
        <f t="shared" si="12"/>
        <v>639</v>
      </c>
      <c r="U81" s="18">
        <f t="shared" si="10"/>
        <v>562.24832365404836</v>
      </c>
    </row>
    <row r="82" spans="11:21" ht="15.75" customHeight="1">
      <c r="K82" s="8">
        <f t="shared" si="11"/>
        <v>426</v>
      </c>
      <c r="L82" s="18">
        <f t="shared" si="9"/>
        <v>588.92118518518521</v>
      </c>
      <c r="T82" s="8">
        <f t="shared" si="12"/>
        <v>426</v>
      </c>
      <c r="U82" s="18">
        <f t="shared" si="10"/>
        <v>588.91236892686129</v>
      </c>
    </row>
    <row r="83" spans="11:21" ht="15.75" customHeight="1">
      <c r="K83" s="8">
        <f t="shared" si="11"/>
        <v>213</v>
      </c>
      <c r="L83" s="18">
        <f t="shared" si="9"/>
        <v>608.47511111111112</v>
      </c>
      <c r="T83" s="8">
        <f t="shared" si="12"/>
        <v>213</v>
      </c>
      <c r="U83" s="18">
        <f t="shared" si="10"/>
        <v>608.4660021269242</v>
      </c>
    </row>
    <row r="84" spans="11:21" ht="15.75" customHeight="1">
      <c r="K84" s="8">
        <f t="shared" si="11"/>
        <v>0</v>
      </c>
      <c r="L84" s="18">
        <f t="shared" si="9"/>
        <v>620.91851851851857</v>
      </c>
      <c r="T84" s="8">
        <f t="shared" si="12"/>
        <v>0</v>
      </c>
      <c r="U84" s="18">
        <f t="shared" si="10"/>
        <v>620.90922325423685</v>
      </c>
    </row>
    <row r="85" spans="11:21" ht="15.75" customHeight="1">
      <c r="K85" s="6"/>
    </row>
    <row r="86" spans="11:21" ht="15.75" customHeight="1">
      <c r="K86" s="6"/>
    </row>
    <row r="87" spans="11:21" ht="15.75" customHeight="1"/>
    <row r="88" spans="11:21" ht="15.75" customHeight="1"/>
    <row r="89" spans="11:21" ht="15.75" customHeight="1"/>
    <row r="90" spans="11:21" ht="15.75" customHeight="1"/>
    <row r="91" spans="11:21" ht="15.75" customHeight="1"/>
    <row r="92" spans="11:21" ht="15.75" customHeight="1"/>
    <row r="93" spans="11:21" ht="15.75" customHeight="1"/>
    <row r="94" spans="11:21" ht="15.75" customHeight="1"/>
    <row r="95" spans="11:21" ht="15.75" customHeight="1"/>
    <row r="96" spans="11:21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" right="0" top="0" bottom="0" header="0" footer="0"/>
  <pageSetup paperSize="8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B1:Y108"/>
  <sheetViews>
    <sheetView topLeftCell="D1" workbookViewId="0">
      <selection activeCell="L70" sqref="L70"/>
    </sheetView>
  </sheetViews>
  <sheetFormatPr defaultColWidth="12.7109375" defaultRowHeight="15" customHeight="1"/>
  <cols>
    <col min="3" max="3" width="14" customWidth="1"/>
  </cols>
  <sheetData>
    <row r="1" spans="2:25">
      <c r="G1" s="12" t="s">
        <v>34</v>
      </c>
      <c r="K1" s="11"/>
    </row>
    <row r="2" spans="2:25">
      <c r="K2" s="11"/>
    </row>
    <row r="3" spans="2:25">
      <c r="K3" s="11"/>
    </row>
    <row r="4" spans="2:25">
      <c r="K4" s="11"/>
    </row>
    <row r="5" spans="2:25">
      <c r="K5" s="11"/>
    </row>
    <row r="6" spans="2:25">
      <c r="K6" s="11"/>
    </row>
    <row r="7" spans="2:25">
      <c r="K7" s="11"/>
      <c r="O7" s="14" t="s">
        <v>35</v>
      </c>
      <c r="P7" s="20">
        <v>20</v>
      </c>
      <c r="Q7" s="11" t="s">
        <v>36</v>
      </c>
    </row>
    <row r="8" spans="2:25">
      <c r="K8" s="11"/>
      <c r="O8" s="14" t="s">
        <v>37</v>
      </c>
      <c r="P8" s="20">
        <v>0.3</v>
      </c>
      <c r="Q8" s="11" t="s">
        <v>36</v>
      </c>
    </row>
    <row r="9" spans="2:25">
      <c r="B9" s="13" t="s">
        <v>13</v>
      </c>
      <c r="K9" s="11"/>
      <c r="L9" s="47" t="s">
        <v>14</v>
      </c>
      <c r="O9" s="14" t="s">
        <v>38</v>
      </c>
      <c r="P9" s="20">
        <v>660</v>
      </c>
      <c r="Q9" s="11" t="s">
        <v>36</v>
      </c>
      <c r="W9" s="47" t="s">
        <v>14</v>
      </c>
    </row>
    <row r="10" spans="2:25">
      <c r="B10" s="8" t="s">
        <v>1</v>
      </c>
      <c r="C10" s="19">
        <v>3600</v>
      </c>
      <c r="D10" s="4" t="s">
        <v>2</v>
      </c>
      <c r="K10" s="11"/>
      <c r="L10" s="9" t="s">
        <v>1</v>
      </c>
      <c r="M10" s="19">
        <v>3000</v>
      </c>
      <c r="N10" s="4" t="s">
        <v>2</v>
      </c>
      <c r="O10" s="14" t="s">
        <v>39</v>
      </c>
      <c r="P10" s="20">
        <v>2.4</v>
      </c>
      <c r="Q10" s="11" t="s">
        <v>40</v>
      </c>
      <c r="W10" s="9" t="s">
        <v>1</v>
      </c>
      <c r="X10" s="19">
        <v>4000</v>
      </c>
      <c r="Y10" s="4" t="s">
        <v>2</v>
      </c>
    </row>
    <row r="11" spans="2:25">
      <c r="D11" s="4"/>
      <c r="K11" s="11"/>
      <c r="L11" s="9" t="s">
        <v>3</v>
      </c>
      <c r="M11" s="19">
        <v>2200</v>
      </c>
      <c r="N11" s="4" t="s">
        <v>2</v>
      </c>
      <c r="O11" s="14" t="s">
        <v>41</v>
      </c>
      <c r="P11" s="20">
        <v>1.4</v>
      </c>
      <c r="Q11" s="11" t="s">
        <v>42</v>
      </c>
      <c r="W11" s="9" t="s">
        <v>3</v>
      </c>
      <c r="X11" s="19">
        <v>3000</v>
      </c>
      <c r="Y11" s="4" t="s">
        <v>2</v>
      </c>
    </row>
    <row r="12" spans="2:25">
      <c r="B12" s="9" t="s">
        <v>43</v>
      </c>
      <c r="C12" s="14" t="s">
        <v>44</v>
      </c>
      <c r="D12" s="23" t="s">
        <v>45</v>
      </c>
      <c r="K12" s="11"/>
      <c r="L12" s="9" t="s">
        <v>4</v>
      </c>
      <c r="M12" s="19">
        <v>280</v>
      </c>
      <c r="N12" s="4" t="s">
        <v>5</v>
      </c>
      <c r="O12" s="14" t="s">
        <v>46</v>
      </c>
      <c r="P12" s="20">
        <v>-0.5</v>
      </c>
      <c r="Q12" s="11" t="s">
        <v>47</v>
      </c>
      <c r="R12" s="11" t="s">
        <v>48</v>
      </c>
      <c r="W12" s="9" t="s">
        <v>4</v>
      </c>
      <c r="X12" s="19">
        <v>700</v>
      </c>
      <c r="Y12" s="4" t="s">
        <v>5</v>
      </c>
    </row>
    <row r="13" spans="2:25">
      <c r="B13" s="19">
        <v>263</v>
      </c>
      <c r="C13" s="20">
        <v>3170</v>
      </c>
      <c r="D13" s="15">
        <f t="shared" ref="D13:D16" si="0">($C$10^2-C13^2)</f>
        <v>2911100</v>
      </c>
      <c r="K13" s="11"/>
      <c r="L13" s="9" t="s">
        <v>15</v>
      </c>
      <c r="M13" s="20">
        <v>1500</v>
      </c>
      <c r="N13" s="11" t="s">
        <v>2</v>
      </c>
      <c r="O13" s="14" t="s">
        <v>49</v>
      </c>
      <c r="P13" s="20">
        <v>65</v>
      </c>
      <c r="Q13" s="11" t="s">
        <v>50</v>
      </c>
      <c r="W13" s="9" t="s">
        <v>15</v>
      </c>
      <c r="X13" s="20">
        <v>3200</v>
      </c>
      <c r="Y13" s="11" t="s">
        <v>2</v>
      </c>
    </row>
    <row r="14" spans="2:25">
      <c r="B14" s="20">
        <v>383</v>
      </c>
      <c r="C14" s="20">
        <v>2890</v>
      </c>
      <c r="D14" s="15">
        <f t="shared" si="0"/>
        <v>4607900</v>
      </c>
      <c r="K14" s="11"/>
    </row>
    <row r="15" spans="2:25">
      <c r="B15" s="20">
        <v>497</v>
      </c>
      <c r="C15" s="20">
        <v>2440</v>
      </c>
      <c r="D15" s="15">
        <f t="shared" si="0"/>
        <v>7006400</v>
      </c>
      <c r="K15" s="11"/>
    </row>
    <row r="16" spans="2:25">
      <c r="B16" s="20">
        <v>640</v>
      </c>
      <c r="C16" s="20">
        <v>2150</v>
      </c>
      <c r="D16" s="15">
        <f t="shared" si="0"/>
        <v>8337500</v>
      </c>
      <c r="K16" s="11"/>
      <c r="L16" s="24" t="s">
        <v>17</v>
      </c>
      <c r="W16" s="24" t="s">
        <v>18</v>
      </c>
    </row>
    <row r="17" spans="2:25">
      <c r="K17" s="11"/>
      <c r="L17" s="24" t="s">
        <v>19</v>
      </c>
      <c r="W17" s="24" t="s">
        <v>20</v>
      </c>
    </row>
    <row r="18" spans="2:25">
      <c r="K18" s="11"/>
    </row>
    <row r="19" spans="2:25">
      <c r="K19" s="11"/>
    </row>
    <row r="20" spans="2:25">
      <c r="K20" s="11"/>
    </row>
    <row r="21" spans="2:25">
      <c r="K21" s="11"/>
    </row>
    <row r="22" spans="2:25">
      <c r="K22" s="11"/>
    </row>
    <row r="23" spans="2:25">
      <c r="K23" s="11"/>
    </row>
    <row r="24" spans="2:25">
      <c r="K24" s="11"/>
    </row>
    <row r="25" spans="2:25">
      <c r="B25" s="14" t="s">
        <v>51</v>
      </c>
      <c r="C25" s="14" t="s">
        <v>52</v>
      </c>
      <c r="K25" s="11"/>
      <c r="L25" s="14" t="s">
        <v>23</v>
      </c>
      <c r="M25" s="15">
        <f>(0.00708*P13*P7)/(P10*P11*(LN(P9/P8)-0.75+P12))</f>
        <v>0.42494498204506265</v>
      </c>
      <c r="N25" s="6" t="s">
        <v>7</v>
      </c>
      <c r="W25" s="14" t="s">
        <v>23</v>
      </c>
      <c r="X25" s="15">
        <f>X12/(X10-X11)</f>
        <v>0.7</v>
      </c>
      <c r="Y25" s="4" t="s">
        <v>7</v>
      </c>
    </row>
    <row r="26" spans="2:25">
      <c r="B26" s="25">
        <f t="shared" ref="B26:B29" si="1">LOG(B13,10)</f>
        <v>2.4199557484897576</v>
      </c>
      <c r="C26" s="25">
        <f t="shared" ref="C26:C29" si="2">LOG(D13,10)</f>
        <v>6.4640571242647304</v>
      </c>
      <c r="G26" s="14" t="s">
        <v>53</v>
      </c>
      <c r="H26" s="26">
        <f>SLOPE(C26:C29,B26:B29)</f>
        <v>1.2264304311616578</v>
      </c>
      <c r="K26" s="11"/>
      <c r="N26" s="16"/>
    </row>
    <row r="27" spans="2:25">
      <c r="B27" s="25">
        <f t="shared" si="1"/>
        <v>2.5831987739686224</v>
      </c>
      <c r="C27" s="25">
        <f t="shared" si="2"/>
        <v>6.6635030455194446</v>
      </c>
      <c r="G27" s="14" t="s">
        <v>54</v>
      </c>
      <c r="H27" s="26">
        <f>INTERCEPT(C26:C29,B26:B29)</f>
        <v>3.5023979856499547</v>
      </c>
      <c r="K27" s="11"/>
      <c r="N27" s="16"/>
    </row>
    <row r="28" spans="2:25">
      <c r="B28" s="25">
        <f t="shared" si="1"/>
        <v>2.6963563887333319</v>
      </c>
      <c r="C28" s="25">
        <f t="shared" si="2"/>
        <v>6.8454949278480495</v>
      </c>
      <c r="G28" s="14" t="s">
        <v>55</v>
      </c>
      <c r="H28" s="26">
        <f>1/H26</f>
        <v>0.81537441879423511</v>
      </c>
      <c r="K28" s="11"/>
    </row>
    <row r="29" spans="2:25">
      <c r="B29" s="25">
        <f t="shared" si="1"/>
        <v>2.8061799739838866</v>
      </c>
      <c r="C29" s="25">
        <f t="shared" si="2"/>
        <v>6.9210358469246049</v>
      </c>
      <c r="G29" s="14" t="s">
        <v>56</v>
      </c>
      <c r="H29" s="26">
        <f>10^-(H27/H26)</f>
        <v>1.3939085374079043E-3</v>
      </c>
      <c r="K29" s="11"/>
      <c r="L29" s="14" t="s">
        <v>10</v>
      </c>
      <c r="M29" s="14" t="s">
        <v>11</v>
      </c>
      <c r="W29" s="14" t="s">
        <v>10</v>
      </c>
      <c r="X29" s="14" t="s">
        <v>11</v>
      </c>
    </row>
    <row r="30" spans="2:25">
      <c r="K30" s="11"/>
      <c r="L30" s="18">
        <f>M10</f>
        <v>3000</v>
      </c>
      <c r="M30" s="45">
        <f t="shared" ref="M30:M45" si="3">IF(L30&gt;$M$13,$M$25*($M$10-L30),$M$25*((1/(2*$M$13))*($M$13^2-L30^2)+($M$10-$M$13)))</f>
        <v>0</v>
      </c>
      <c r="W30" s="18">
        <f>X10</f>
        <v>4000</v>
      </c>
      <c r="X30" s="18">
        <f t="shared" ref="X30:X45" si="4">IF(W30&gt;$X$13,$X$25*($X$10-W30),$X$25*((1/(2*$X$13))*($X$13^2-W30^2)+($X$10-$X$13)))</f>
        <v>0</v>
      </c>
    </row>
    <row r="31" spans="2:25">
      <c r="K31" s="11"/>
      <c r="L31" s="18">
        <f t="shared" ref="L31:L45" si="5">IF(L30&gt;$M$13,L30-(($M$10-$M$13)/5),L30-($M$13/10))</f>
        <v>2700</v>
      </c>
      <c r="M31" s="45">
        <f t="shared" si="3"/>
        <v>127.4834946135188</v>
      </c>
      <c r="W31" s="18">
        <f t="shared" ref="W31:W45" si="6">IF(W30&gt;$X$13,W30-(($X$10-$X$13)/5),W30-($X$13/10))</f>
        <v>3840</v>
      </c>
      <c r="X31" s="18">
        <f t="shared" si="4"/>
        <v>112</v>
      </c>
    </row>
    <row r="32" spans="2:25">
      <c r="K32" s="11"/>
      <c r="L32" s="18">
        <f t="shared" si="5"/>
        <v>2400</v>
      </c>
      <c r="M32" s="45">
        <f t="shared" si="3"/>
        <v>254.9669892270376</v>
      </c>
      <c r="W32" s="18">
        <f t="shared" si="6"/>
        <v>3680</v>
      </c>
      <c r="X32" s="18">
        <f t="shared" si="4"/>
        <v>224</v>
      </c>
    </row>
    <row r="33" spans="11:24">
      <c r="K33" s="11"/>
      <c r="L33" s="18">
        <f t="shared" si="5"/>
        <v>2100</v>
      </c>
      <c r="M33" s="45">
        <f t="shared" si="3"/>
        <v>382.45048384055639</v>
      </c>
      <c r="W33" s="18">
        <f t="shared" si="6"/>
        <v>3520</v>
      </c>
      <c r="X33" s="18">
        <f t="shared" si="4"/>
        <v>336</v>
      </c>
    </row>
    <row r="34" spans="11:24">
      <c r="K34" s="11"/>
      <c r="L34" s="18">
        <f t="shared" si="5"/>
        <v>1800</v>
      </c>
      <c r="M34" s="45">
        <f t="shared" si="3"/>
        <v>509.9339784540752</v>
      </c>
      <c r="W34" s="18">
        <f t="shared" si="6"/>
        <v>3360</v>
      </c>
      <c r="X34" s="18">
        <f t="shared" si="4"/>
        <v>448</v>
      </c>
    </row>
    <row r="35" spans="11:24">
      <c r="K35" s="11"/>
      <c r="L35" s="18">
        <f t="shared" si="5"/>
        <v>1500</v>
      </c>
      <c r="M35" s="45">
        <f t="shared" si="3"/>
        <v>637.41747306759396</v>
      </c>
      <c r="W35" s="18">
        <f t="shared" si="6"/>
        <v>3200</v>
      </c>
      <c r="X35" s="18">
        <f t="shared" si="4"/>
        <v>560</v>
      </c>
    </row>
    <row r="36" spans="11:24">
      <c r="K36" s="11"/>
      <c r="L36" s="18">
        <f t="shared" si="5"/>
        <v>1350</v>
      </c>
      <c r="M36" s="45">
        <f t="shared" si="3"/>
        <v>697.97213300901535</v>
      </c>
      <c r="W36" s="18">
        <f t="shared" si="6"/>
        <v>2880</v>
      </c>
      <c r="X36" s="18">
        <f t="shared" si="4"/>
        <v>772.8</v>
      </c>
    </row>
    <row r="37" spans="11:24">
      <c r="K37" s="11"/>
      <c r="L37" s="18">
        <f t="shared" si="5"/>
        <v>1200</v>
      </c>
      <c r="M37" s="45">
        <f t="shared" si="3"/>
        <v>752.15261821976094</v>
      </c>
      <c r="W37" s="18">
        <f t="shared" si="6"/>
        <v>2560</v>
      </c>
      <c r="X37" s="18">
        <f t="shared" si="4"/>
        <v>963.19999999999993</v>
      </c>
    </row>
    <row r="38" spans="11:24">
      <c r="K38" s="11"/>
      <c r="L38" s="18">
        <f t="shared" si="5"/>
        <v>1050</v>
      </c>
      <c r="M38" s="45">
        <f t="shared" si="3"/>
        <v>799.95892869983038</v>
      </c>
      <c r="W38" s="18">
        <f t="shared" si="6"/>
        <v>2240</v>
      </c>
      <c r="X38" s="18">
        <f t="shared" si="4"/>
        <v>1131.1999999999998</v>
      </c>
    </row>
    <row r="39" spans="11:24">
      <c r="K39" s="11"/>
      <c r="L39" s="18">
        <f t="shared" si="5"/>
        <v>900</v>
      </c>
      <c r="M39" s="45">
        <f t="shared" si="3"/>
        <v>841.39106444922402</v>
      </c>
      <c r="W39" s="18">
        <f t="shared" si="6"/>
        <v>1920</v>
      </c>
      <c r="X39" s="18">
        <f t="shared" si="4"/>
        <v>1276.8</v>
      </c>
    </row>
    <row r="40" spans="11:24">
      <c r="K40" s="11"/>
      <c r="L40" s="18">
        <f t="shared" si="5"/>
        <v>750</v>
      </c>
      <c r="M40" s="45">
        <f t="shared" si="3"/>
        <v>876.44902546794174</v>
      </c>
      <c r="W40" s="18">
        <f t="shared" si="6"/>
        <v>1600</v>
      </c>
      <c r="X40" s="18">
        <f t="shared" si="4"/>
        <v>1400</v>
      </c>
    </row>
    <row r="41" spans="11:24">
      <c r="K41" s="11"/>
      <c r="L41" s="18">
        <f t="shared" si="5"/>
        <v>600</v>
      </c>
      <c r="M41" s="45">
        <f t="shared" si="3"/>
        <v>905.13281175598343</v>
      </c>
      <c r="W41" s="18">
        <f t="shared" si="6"/>
        <v>1280</v>
      </c>
      <c r="X41" s="18">
        <f t="shared" si="4"/>
        <v>1500.8</v>
      </c>
    </row>
    <row r="42" spans="11:24">
      <c r="K42" s="11"/>
      <c r="L42" s="18">
        <f t="shared" si="5"/>
        <v>450</v>
      </c>
      <c r="M42" s="45">
        <f t="shared" si="3"/>
        <v>927.4424233133492</v>
      </c>
      <c r="W42" s="18">
        <f t="shared" si="6"/>
        <v>960</v>
      </c>
      <c r="X42" s="18">
        <f t="shared" si="4"/>
        <v>1579.1999999999998</v>
      </c>
    </row>
    <row r="43" spans="11:24">
      <c r="K43" s="11"/>
      <c r="L43" s="18">
        <f t="shared" si="5"/>
        <v>300</v>
      </c>
      <c r="M43" s="45">
        <f t="shared" si="3"/>
        <v>943.37786014003905</v>
      </c>
      <c r="W43" s="18">
        <f t="shared" si="6"/>
        <v>640</v>
      </c>
      <c r="X43" s="18">
        <f t="shared" si="4"/>
        <v>1635.1999999999998</v>
      </c>
    </row>
    <row r="44" spans="11:24">
      <c r="K44" s="11"/>
      <c r="L44" s="18">
        <f t="shared" si="5"/>
        <v>150</v>
      </c>
      <c r="M44" s="45">
        <f t="shared" si="3"/>
        <v>952.93912223605298</v>
      </c>
      <c r="W44" s="18">
        <f t="shared" si="6"/>
        <v>320</v>
      </c>
      <c r="X44" s="18">
        <f t="shared" si="4"/>
        <v>1668.8</v>
      </c>
    </row>
    <row r="45" spans="11:24">
      <c r="K45" s="11"/>
      <c r="L45" s="18">
        <f t="shared" si="5"/>
        <v>0</v>
      </c>
      <c r="M45" s="45">
        <f t="shared" si="3"/>
        <v>956.126209601391</v>
      </c>
      <c r="W45" s="18">
        <f t="shared" si="6"/>
        <v>0</v>
      </c>
      <c r="X45" s="18">
        <f t="shared" si="4"/>
        <v>1680</v>
      </c>
    </row>
    <row r="46" spans="11:24">
      <c r="K46" s="11"/>
    </row>
    <row r="47" spans="11:24">
      <c r="K47" s="11"/>
    </row>
    <row r="48" spans="11:24">
      <c r="K48" s="11"/>
    </row>
    <row r="49" spans="2:11">
      <c r="K49" s="11"/>
    </row>
    <row r="50" spans="2:11">
      <c r="K50" s="11"/>
    </row>
    <row r="51" spans="2:11">
      <c r="B51" s="14" t="s">
        <v>10</v>
      </c>
      <c r="C51" s="14" t="s">
        <v>11</v>
      </c>
      <c r="K51" s="11"/>
    </row>
    <row r="52" spans="2:11">
      <c r="B52" s="18">
        <f>C10</f>
        <v>3600</v>
      </c>
      <c r="C52" s="18">
        <f t="shared" ref="C52:C62" si="7">$H$29*($C$10^2-B52^2)^$H$28</f>
        <v>0</v>
      </c>
      <c r="D52" s="28"/>
      <c r="K52" s="11"/>
    </row>
    <row r="53" spans="2:11">
      <c r="B53" s="18">
        <f t="shared" ref="B53:B62" si="8">B52-($B$52/10)</f>
        <v>3240</v>
      </c>
      <c r="C53" s="27">
        <f t="shared" si="7"/>
        <v>226.76946939079008</v>
      </c>
      <c r="D53" s="28"/>
      <c r="K53" s="11"/>
    </row>
    <row r="54" spans="2:11">
      <c r="B54" s="18">
        <f t="shared" si="8"/>
        <v>2880</v>
      </c>
      <c r="C54" s="27">
        <f t="shared" si="7"/>
        <v>381.84829586362792</v>
      </c>
      <c r="D54" s="28"/>
      <c r="K54" s="11"/>
    </row>
    <row r="55" spans="2:11">
      <c r="B55" s="18">
        <f t="shared" si="8"/>
        <v>2520</v>
      </c>
      <c r="C55" s="27">
        <f t="shared" si="7"/>
        <v>507.26003765219491</v>
      </c>
      <c r="D55" s="28"/>
      <c r="K55" s="11"/>
    </row>
    <row r="56" spans="2:11">
      <c r="B56" s="18">
        <f t="shared" si="8"/>
        <v>2160</v>
      </c>
      <c r="C56" s="27">
        <f t="shared" si="7"/>
        <v>610.42815459091219</v>
      </c>
      <c r="D56" s="28"/>
      <c r="K56" s="11"/>
    </row>
    <row r="57" spans="2:11">
      <c r="B57" s="18">
        <f t="shared" si="8"/>
        <v>1800</v>
      </c>
      <c r="C57" s="27">
        <f t="shared" si="7"/>
        <v>694.70207738334102</v>
      </c>
      <c r="D57" s="28"/>
      <c r="K57" s="11"/>
    </row>
    <row r="58" spans="2:11">
      <c r="B58" s="18">
        <f t="shared" si="8"/>
        <v>1440</v>
      </c>
      <c r="C58" s="27">
        <f t="shared" si="7"/>
        <v>761.95568584829618</v>
      </c>
      <c r="D58" s="28"/>
      <c r="K58" s="11"/>
    </row>
    <row r="59" spans="2:11">
      <c r="B59" s="18">
        <f t="shared" si="8"/>
        <v>1080</v>
      </c>
      <c r="C59" s="27">
        <f t="shared" si="7"/>
        <v>813.34321179004075</v>
      </c>
      <c r="D59" s="28"/>
      <c r="K59" s="11"/>
    </row>
    <row r="60" spans="2:11">
      <c r="B60" s="18">
        <f t="shared" si="8"/>
        <v>720</v>
      </c>
      <c r="C60" s="27">
        <f t="shared" si="7"/>
        <v>849.60070525765082</v>
      </c>
      <c r="D60" s="28"/>
      <c r="K60" s="11"/>
    </row>
    <row r="61" spans="2:11">
      <c r="B61" s="18">
        <f t="shared" si="8"/>
        <v>360</v>
      </c>
      <c r="C61" s="27">
        <f t="shared" si="7"/>
        <v>871.18722157155548</v>
      </c>
      <c r="D61" s="28"/>
      <c r="K61" s="11"/>
    </row>
    <row r="62" spans="2:11">
      <c r="B62" s="18">
        <f t="shared" si="8"/>
        <v>0</v>
      </c>
      <c r="C62" s="27">
        <f t="shared" si="7"/>
        <v>878.35574722923946</v>
      </c>
      <c r="D62" s="28"/>
      <c r="K62" s="11"/>
    </row>
    <row r="63" spans="2:11">
      <c r="K63" s="11"/>
    </row>
    <row r="64" spans="2:11">
      <c r="K64" s="11"/>
    </row>
    <row r="65" spans="2:17">
      <c r="K65" s="11"/>
    </row>
    <row r="66" spans="2:17">
      <c r="K66" s="11"/>
    </row>
    <row r="67" spans="2:17">
      <c r="K67" s="11"/>
    </row>
    <row r="68" spans="2:17">
      <c r="K68" s="11"/>
    </row>
    <row r="69" spans="2:17">
      <c r="K69" s="11"/>
    </row>
    <row r="70" spans="2:17">
      <c r="K70" s="11"/>
    </row>
    <row r="71" spans="2:17">
      <c r="K71" s="11"/>
    </row>
    <row r="72" spans="2:17">
      <c r="G72" s="12" t="s">
        <v>57</v>
      </c>
      <c r="K72" s="11"/>
    </row>
    <row r="73" spans="2:17">
      <c r="K73" s="11"/>
    </row>
    <row r="74" spans="2:17">
      <c r="K74" s="11"/>
    </row>
    <row r="75" spans="2:17">
      <c r="B75" s="13" t="s">
        <v>13</v>
      </c>
      <c r="K75" s="11"/>
      <c r="L75" s="13" t="s">
        <v>14</v>
      </c>
    </row>
    <row r="76" spans="2:17">
      <c r="B76" s="9" t="s">
        <v>1</v>
      </c>
      <c r="C76" s="19">
        <v>3600</v>
      </c>
      <c r="D76" s="4" t="s">
        <v>2</v>
      </c>
      <c r="E76" s="14" t="s">
        <v>58</v>
      </c>
      <c r="F76" s="26">
        <f t="shared" ref="F76:F77" si="9">H28</f>
        <v>0.81537441879423511</v>
      </c>
      <c r="K76" s="11"/>
      <c r="L76" s="9" t="s">
        <v>1</v>
      </c>
      <c r="M76" s="19">
        <v>3000</v>
      </c>
      <c r="N76" s="4" t="s">
        <v>2</v>
      </c>
      <c r="O76" s="14" t="s">
        <v>59</v>
      </c>
      <c r="P76" s="15">
        <f>P78/(2*M79)</f>
        <v>1.1666666666666667E-4</v>
      </c>
    </row>
    <row r="77" spans="2:17">
      <c r="B77" s="14" t="s">
        <v>29</v>
      </c>
      <c r="C77" s="20">
        <v>2000</v>
      </c>
      <c r="D77" s="11" t="s">
        <v>2</v>
      </c>
      <c r="E77" s="14" t="s">
        <v>59</v>
      </c>
      <c r="F77" s="26">
        <f t="shared" si="9"/>
        <v>1.3939085374079043E-3</v>
      </c>
      <c r="K77" s="11"/>
      <c r="L77" s="9" t="s">
        <v>3</v>
      </c>
      <c r="M77" s="19">
        <v>2200</v>
      </c>
      <c r="N77" s="4" t="s">
        <v>2</v>
      </c>
      <c r="O77" s="14" t="s">
        <v>60</v>
      </c>
      <c r="P77" s="15">
        <f>P76*(M80/M76)</f>
        <v>9.722222222222223E-5</v>
      </c>
    </row>
    <row r="78" spans="2:17">
      <c r="E78" s="14" t="s">
        <v>60</v>
      </c>
      <c r="F78" s="26">
        <f>F77*(C77/C76)</f>
        <v>7.7439363189328017E-4</v>
      </c>
      <c r="K78" s="11"/>
      <c r="L78" s="9" t="s">
        <v>4</v>
      </c>
      <c r="M78" s="19">
        <v>280</v>
      </c>
      <c r="N78" s="4" t="s">
        <v>5</v>
      </c>
      <c r="O78" s="14" t="s">
        <v>31</v>
      </c>
      <c r="P78" s="15">
        <f>M78/(M76-M77)</f>
        <v>0.35</v>
      </c>
    </row>
    <row r="79" spans="2:17">
      <c r="B79" s="29"/>
      <c r="C79" s="30"/>
      <c r="K79" s="11"/>
      <c r="L79" s="9" t="s">
        <v>15</v>
      </c>
      <c r="M79" s="20">
        <v>1500</v>
      </c>
      <c r="N79" s="11" t="s">
        <v>2</v>
      </c>
      <c r="O79" s="14" t="s">
        <v>32</v>
      </c>
      <c r="P79" s="15">
        <f>P78*(M80/M76)^2</f>
        <v>0.24305555555555558</v>
      </c>
      <c r="Q79" s="11" t="s">
        <v>61</v>
      </c>
    </row>
    <row r="80" spans="2:17">
      <c r="B80" s="29"/>
      <c r="C80" s="30"/>
      <c r="D80" s="11" t="s">
        <v>62</v>
      </c>
      <c r="K80" s="11"/>
      <c r="L80" s="14" t="s">
        <v>29</v>
      </c>
      <c r="M80" s="20">
        <v>2500</v>
      </c>
      <c r="N80" s="11" t="s">
        <v>2</v>
      </c>
      <c r="O80" s="14" t="s">
        <v>32</v>
      </c>
      <c r="P80" s="15">
        <f>P77*2*M79</f>
        <v>0.29166666666666669</v>
      </c>
      <c r="Q80" s="11" t="s">
        <v>63</v>
      </c>
    </row>
    <row r="81" spans="2:15">
      <c r="B81" s="30"/>
      <c r="C81" s="30"/>
      <c r="K81" s="11"/>
    </row>
    <row r="82" spans="2:15">
      <c r="B82" s="30"/>
      <c r="C82" s="30"/>
      <c r="K82" s="11"/>
      <c r="M82" s="24" t="s">
        <v>64</v>
      </c>
      <c r="N82" s="24" t="s">
        <v>65</v>
      </c>
    </row>
    <row r="83" spans="2:15">
      <c r="B83" s="30"/>
      <c r="C83" s="30"/>
      <c r="K83" s="11"/>
      <c r="L83" s="14" t="s">
        <v>10</v>
      </c>
      <c r="M83" s="14" t="s">
        <v>11</v>
      </c>
      <c r="N83" s="14" t="s">
        <v>11</v>
      </c>
    </row>
    <row r="84" spans="2:15">
      <c r="K84" s="11"/>
      <c r="L84" s="18">
        <f>M80</f>
        <v>2500</v>
      </c>
      <c r="M84" s="45">
        <f t="shared" ref="M84:M99" si="10">IF(L84&gt;$M$79,$P$80*($M$80-L84),$P$77*(($M$79^2-L84^2)+($M$80-$M$79)*(2*$M$79)))</f>
        <v>0</v>
      </c>
      <c r="N84" s="46">
        <f t="shared" ref="N84:N99" si="11">IF(L84&gt;$M$79,$P$79*($M$80-L84),$P$79*((1/(2*$M$79))*($M$79^2-L84^2)+($M$80-$M$79)))</f>
        <v>0</v>
      </c>
      <c r="O84" s="28"/>
    </row>
    <row r="85" spans="2:15">
      <c r="B85" s="14" t="s">
        <v>10</v>
      </c>
      <c r="C85" s="14" t="s">
        <v>11</v>
      </c>
      <c r="K85" s="11"/>
      <c r="L85" s="18">
        <f t="shared" ref="L85:L99" si="12">IF(L84&gt;$M$79,L84-(($M$80-$M$79)/5),L84-($M$79/10))</f>
        <v>2300</v>
      </c>
      <c r="M85" s="45">
        <f t="shared" si="10"/>
        <v>58.333333333333336</v>
      </c>
      <c r="N85" s="46">
        <f t="shared" si="11"/>
        <v>48.611111111111114</v>
      </c>
      <c r="O85" s="28"/>
    </row>
    <row r="86" spans="2:15">
      <c r="B86" s="18">
        <f>C77</f>
        <v>2000</v>
      </c>
      <c r="C86" s="18">
        <f t="shared" ref="C86:C96" si="13">$F$78*($C$77^2-B86^2)^$F$76</f>
        <v>0</v>
      </c>
      <c r="K86" s="11"/>
      <c r="L86" s="18">
        <f t="shared" si="12"/>
        <v>2100</v>
      </c>
      <c r="M86" s="45">
        <f t="shared" si="10"/>
        <v>116.66666666666667</v>
      </c>
      <c r="N86" s="46">
        <f t="shared" si="11"/>
        <v>97.222222222222229</v>
      </c>
      <c r="O86" s="28"/>
    </row>
    <row r="87" spans="2:15">
      <c r="B87" s="18">
        <f t="shared" ref="B87:B96" si="14">B86-($C$77/10)</f>
        <v>1800</v>
      </c>
      <c r="C87" s="18">
        <f t="shared" si="13"/>
        <v>48.308854298727503</v>
      </c>
      <c r="K87" s="11"/>
      <c r="L87" s="18">
        <f t="shared" si="12"/>
        <v>1900</v>
      </c>
      <c r="M87" s="45">
        <f t="shared" si="10"/>
        <v>175</v>
      </c>
      <c r="N87" s="46">
        <f t="shared" si="11"/>
        <v>145.83333333333334</v>
      </c>
      <c r="O87" s="28"/>
    </row>
    <row r="88" spans="2:15">
      <c r="B88" s="18">
        <f t="shared" si="14"/>
        <v>1600</v>
      </c>
      <c r="C88" s="18">
        <f t="shared" si="13"/>
        <v>81.345402177152806</v>
      </c>
      <c r="K88" s="11"/>
      <c r="L88" s="18">
        <f t="shared" si="12"/>
        <v>1700</v>
      </c>
      <c r="M88" s="45">
        <f t="shared" si="10"/>
        <v>233.33333333333334</v>
      </c>
      <c r="N88" s="46">
        <f t="shared" si="11"/>
        <v>194.44444444444446</v>
      </c>
      <c r="O88" s="28"/>
    </row>
    <row r="89" spans="2:15">
      <c r="B89" s="18">
        <f t="shared" si="14"/>
        <v>1400</v>
      </c>
      <c r="C89" s="18">
        <f t="shared" si="13"/>
        <v>108.06195082759261</v>
      </c>
      <c r="K89" s="11"/>
      <c r="L89" s="18">
        <f t="shared" si="12"/>
        <v>1500</v>
      </c>
      <c r="M89" s="45">
        <f t="shared" si="10"/>
        <v>291.66666666666669</v>
      </c>
      <c r="N89" s="46">
        <f t="shared" si="11"/>
        <v>243.05555555555557</v>
      </c>
      <c r="O89" s="28"/>
    </row>
    <row r="90" spans="2:15">
      <c r="B90" s="18">
        <f t="shared" si="14"/>
        <v>1200</v>
      </c>
      <c r="C90" s="18">
        <f t="shared" si="13"/>
        <v>130.03992494754692</v>
      </c>
      <c r="K90" s="11"/>
      <c r="L90" s="18">
        <f t="shared" si="12"/>
        <v>1350</v>
      </c>
      <c r="M90" s="45">
        <f t="shared" si="10"/>
        <v>333.22916666666669</v>
      </c>
      <c r="N90" s="46">
        <f t="shared" si="11"/>
        <v>277.69097222222223</v>
      </c>
      <c r="O90" s="28"/>
    </row>
    <row r="91" spans="2:15">
      <c r="B91" s="18">
        <f t="shared" si="14"/>
        <v>1000</v>
      </c>
      <c r="C91" s="18">
        <f t="shared" si="13"/>
        <v>147.99285603786876</v>
      </c>
      <c r="K91" s="11"/>
      <c r="L91" s="18">
        <f t="shared" si="12"/>
        <v>1200</v>
      </c>
      <c r="M91" s="45">
        <f t="shared" si="10"/>
        <v>370.41666666666669</v>
      </c>
      <c r="N91" s="46">
        <f t="shared" si="11"/>
        <v>308.6805555555556</v>
      </c>
      <c r="O91" s="28"/>
    </row>
    <row r="92" spans="2:15">
      <c r="B92" s="18">
        <f t="shared" si="14"/>
        <v>800</v>
      </c>
      <c r="C92" s="18">
        <f t="shared" si="13"/>
        <v>162.31993799085552</v>
      </c>
      <c r="K92" s="11"/>
      <c r="L92" s="18">
        <f t="shared" si="12"/>
        <v>1050</v>
      </c>
      <c r="M92" s="45">
        <f t="shared" si="10"/>
        <v>403.22916666666669</v>
      </c>
      <c r="N92" s="46">
        <f t="shared" si="11"/>
        <v>336.0243055555556</v>
      </c>
      <c r="O92" s="28"/>
    </row>
    <row r="93" spans="2:15">
      <c r="B93" s="18">
        <f t="shared" si="14"/>
        <v>600</v>
      </c>
      <c r="C93" s="18">
        <f t="shared" si="13"/>
        <v>173.26705759280597</v>
      </c>
      <c r="K93" s="11"/>
      <c r="L93" s="18">
        <f t="shared" si="12"/>
        <v>900</v>
      </c>
      <c r="M93" s="45">
        <f t="shared" si="10"/>
        <v>431.66666666666669</v>
      </c>
      <c r="N93" s="46">
        <f t="shared" si="11"/>
        <v>359.72222222222229</v>
      </c>
      <c r="O93" s="28"/>
    </row>
    <row r="94" spans="2:15">
      <c r="B94" s="18">
        <f t="shared" si="14"/>
        <v>400</v>
      </c>
      <c r="C94" s="18">
        <f t="shared" si="13"/>
        <v>180.99101608628956</v>
      </c>
      <c r="K94" s="11"/>
      <c r="L94" s="18">
        <f t="shared" si="12"/>
        <v>750</v>
      </c>
      <c r="M94" s="45">
        <f t="shared" si="10"/>
        <v>455.72916666666669</v>
      </c>
      <c r="N94" s="46">
        <f t="shared" si="11"/>
        <v>379.7743055555556</v>
      </c>
      <c r="O94" s="28"/>
    </row>
    <row r="95" spans="2:15">
      <c r="B95" s="18">
        <f t="shared" si="14"/>
        <v>200</v>
      </c>
      <c r="C95" s="18">
        <f t="shared" si="13"/>
        <v>185.5896063384387</v>
      </c>
      <c r="K95" s="11"/>
      <c r="L95" s="18">
        <f t="shared" si="12"/>
        <v>600</v>
      </c>
      <c r="M95" s="45">
        <f t="shared" si="10"/>
        <v>475.41666666666669</v>
      </c>
      <c r="N95" s="46">
        <f t="shared" si="11"/>
        <v>396.1805555555556</v>
      </c>
      <c r="O95" s="28"/>
    </row>
    <row r="96" spans="2:15">
      <c r="B96" s="18">
        <f t="shared" si="14"/>
        <v>0</v>
      </c>
      <c r="C96" s="18">
        <f t="shared" si="13"/>
        <v>187.11672223487849</v>
      </c>
      <c r="K96" s="11"/>
      <c r="L96" s="18">
        <f t="shared" si="12"/>
        <v>450</v>
      </c>
      <c r="M96" s="45">
        <f t="shared" si="10"/>
        <v>490.72916666666669</v>
      </c>
      <c r="N96" s="46">
        <f t="shared" si="11"/>
        <v>408.94097222222229</v>
      </c>
      <c r="O96" s="28"/>
    </row>
    <row r="97" spans="11:15">
      <c r="K97" s="11"/>
      <c r="L97" s="18">
        <f t="shared" si="12"/>
        <v>300</v>
      </c>
      <c r="M97" s="45">
        <f t="shared" si="10"/>
        <v>501.66666666666669</v>
      </c>
      <c r="N97" s="46">
        <f t="shared" si="11"/>
        <v>418.0555555555556</v>
      </c>
      <c r="O97" s="28"/>
    </row>
    <row r="98" spans="11:15">
      <c r="K98" s="11"/>
      <c r="L98" s="18">
        <f t="shared" si="12"/>
        <v>150</v>
      </c>
      <c r="M98" s="45">
        <f t="shared" si="10"/>
        <v>508.22916666666669</v>
      </c>
      <c r="N98" s="46">
        <f t="shared" si="11"/>
        <v>423.5243055555556</v>
      </c>
      <c r="O98" s="28"/>
    </row>
    <row r="99" spans="11:15">
      <c r="K99" s="11"/>
      <c r="L99" s="18">
        <f t="shared" si="12"/>
        <v>0</v>
      </c>
      <c r="M99" s="45">
        <f t="shared" si="10"/>
        <v>510.41666666666669</v>
      </c>
      <c r="N99" s="46">
        <f t="shared" si="11"/>
        <v>425.34722222222229</v>
      </c>
      <c r="O99" s="28"/>
    </row>
    <row r="100" spans="11:15">
      <c r="K100" s="11"/>
    </row>
    <row r="101" spans="11:15">
      <c r="K101" s="11"/>
    </row>
    <row r="102" spans="11:15">
      <c r="K102" s="11"/>
    </row>
    <row r="103" spans="11:15">
      <c r="K103" s="11"/>
    </row>
    <row r="104" spans="11:15">
      <c r="K104" s="11"/>
    </row>
    <row r="105" spans="11:15">
      <c r="K105" s="11"/>
    </row>
    <row r="106" spans="11:15">
      <c r="K106" s="11"/>
    </row>
    <row r="107" spans="11:15">
      <c r="K107" s="11"/>
    </row>
    <row r="108" spans="11:15">
      <c r="K108" s="11"/>
    </row>
  </sheetData>
  <pageMargins left="0.7" right="0.7" top="0.75" bottom="0.75" header="0.3" footer="0.3"/>
  <pageSetup paperSize="8" orientation="landscape"/>
  <rowBreaks count="1" manualBreakCount="1">
    <brk id="69" max="16383" man="1"/>
  </rowBreaks>
  <colBreaks count="1" manualBreakCount="1">
    <brk id="11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B3:T114"/>
  <sheetViews>
    <sheetView tabSelected="1" topLeftCell="K88" zoomScaleNormal="100" workbookViewId="0">
      <selection activeCell="R47" sqref="R47"/>
    </sheetView>
  </sheetViews>
  <sheetFormatPr defaultColWidth="12.7109375" defaultRowHeight="15" customHeight="1"/>
  <cols>
    <col min="2" max="2" width="14.28515625" customWidth="1"/>
    <col min="3" max="3" width="14.7109375" customWidth="1"/>
    <col min="4" max="4" width="16.85546875" customWidth="1"/>
    <col min="5" max="5" width="16.140625" customWidth="1"/>
    <col min="6" max="6" width="15.85546875" customWidth="1"/>
    <col min="14" max="14" width="14.85546875" customWidth="1"/>
    <col min="15" max="16" width="13.42578125" customWidth="1"/>
    <col min="17" max="17" width="16.28515625" customWidth="1"/>
  </cols>
  <sheetData>
    <row r="3" spans="2:7" ht="12.75">
      <c r="B3" s="49" t="s">
        <v>66</v>
      </c>
    </row>
    <row r="5" spans="2:7">
      <c r="B5" s="12" t="s">
        <v>67</v>
      </c>
      <c r="E5" s="12" t="s">
        <v>68</v>
      </c>
    </row>
    <row r="6" spans="2:7">
      <c r="B6" s="14" t="s">
        <v>69</v>
      </c>
      <c r="C6" s="20">
        <v>1714</v>
      </c>
      <c r="D6" s="11" t="s">
        <v>2</v>
      </c>
      <c r="E6" s="31" t="s">
        <v>70</v>
      </c>
      <c r="F6" s="31" t="s">
        <v>71</v>
      </c>
    </row>
    <row r="7" spans="2:7">
      <c r="B7" s="14" t="s">
        <v>15</v>
      </c>
      <c r="C7" s="20">
        <v>3420</v>
      </c>
      <c r="D7" s="11" t="s">
        <v>2</v>
      </c>
      <c r="E7" s="32">
        <v>1714</v>
      </c>
      <c r="F7" s="32">
        <v>0</v>
      </c>
    </row>
    <row r="8" spans="2:7">
      <c r="B8" s="14" t="s">
        <v>72</v>
      </c>
      <c r="C8" s="20">
        <v>0.41</v>
      </c>
      <c r="E8" s="32">
        <v>1583</v>
      </c>
      <c r="F8" s="32">
        <v>280</v>
      </c>
    </row>
    <row r="9" spans="2:7">
      <c r="E9" s="32">
        <v>1443</v>
      </c>
      <c r="F9" s="32">
        <v>508</v>
      </c>
      <c r="G9" s="24" t="s">
        <v>73</v>
      </c>
    </row>
    <row r="10" spans="2:7">
      <c r="E10" s="32">
        <v>1272</v>
      </c>
      <c r="F10" s="32">
        <v>780</v>
      </c>
    </row>
    <row r="11" spans="2:7">
      <c r="E11" s="32">
        <v>1196</v>
      </c>
      <c r="F11" s="32">
        <v>1125</v>
      </c>
      <c r="G11" s="24" t="s">
        <v>74</v>
      </c>
    </row>
    <row r="12" spans="2:7">
      <c r="E12" s="32">
        <v>982</v>
      </c>
      <c r="F12" s="32">
        <v>1335</v>
      </c>
    </row>
    <row r="18" spans="2:20">
      <c r="B18" s="11"/>
    </row>
    <row r="19" spans="2:20">
      <c r="B19" s="11"/>
    </row>
    <row r="20" spans="2:20">
      <c r="B20" s="24" t="s">
        <v>75</v>
      </c>
      <c r="H20" s="24" t="s">
        <v>76</v>
      </c>
      <c r="M20" s="24" t="s">
        <v>77</v>
      </c>
    </row>
    <row r="22" spans="2:20">
      <c r="B22" s="14" t="s">
        <v>72</v>
      </c>
      <c r="C22" s="15">
        <v>0.41</v>
      </c>
      <c r="H22" s="9" t="s">
        <v>27</v>
      </c>
      <c r="I22" s="33">
        <f>F11/(1-0.2*(E11/$C$6)-0.8*(E11/$C$6)^2)</f>
        <v>2388.9278327087227</v>
      </c>
      <c r="J22" s="6" t="s">
        <v>5</v>
      </c>
      <c r="M22" s="12" t="s">
        <v>68</v>
      </c>
    </row>
    <row r="23" spans="2:20">
      <c r="B23" s="14" t="s">
        <v>78</v>
      </c>
      <c r="C23" s="15">
        <f>F11/(1-C22*(E11/$C$6)-(1-C22)*(E11/$C$6)^2)</f>
        <v>2636.8998923800468</v>
      </c>
      <c r="D23" s="6" t="s">
        <v>5</v>
      </c>
      <c r="M23" s="31" t="s">
        <v>70</v>
      </c>
      <c r="N23" s="31" t="s">
        <v>71</v>
      </c>
      <c r="O23" s="34" t="s">
        <v>79</v>
      </c>
      <c r="P23" s="34" t="s">
        <v>51</v>
      </c>
      <c r="Q23" s="34" t="s">
        <v>80</v>
      </c>
    </row>
    <row r="24" spans="2:20">
      <c r="M24" s="32">
        <v>1714</v>
      </c>
      <c r="N24" s="32">
        <v>0</v>
      </c>
      <c r="O24" s="15">
        <f t="shared" ref="O24:O29" si="0">($C$6^2-M24^2)</f>
        <v>0</v>
      </c>
      <c r="P24" s="35" t="s">
        <v>81</v>
      </c>
      <c r="Q24" s="35" t="s">
        <v>81</v>
      </c>
    </row>
    <row r="25" spans="2:20">
      <c r="B25" s="14" t="s">
        <v>10</v>
      </c>
      <c r="C25" s="14" t="s">
        <v>11</v>
      </c>
      <c r="H25" s="14" t="s">
        <v>10</v>
      </c>
      <c r="I25" s="14" t="s">
        <v>11</v>
      </c>
      <c r="M25" s="32">
        <v>1583</v>
      </c>
      <c r="N25" s="32">
        <v>280</v>
      </c>
      <c r="O25" s="15">
        <f t="shared" si="0"/>
        <v>431907</v>
      </c>
      <c r="P25" s="15">
        <f t="shared" ref="P25:Q25" si="1">LOG(N25,10)</f>
        <v>2.447158031342219</v>
      </c>
      <c r="Q25" s="15">
        <f t="shared" si="1"/>
        <v>5.6353902427989171</v>
      </c>
      <c r="S25" s="14" t="s">
        <v>10</v>
      </c>
      <c r="T25" s="14" t="s">
        <v>11</v>
      </c>
    </row>
    <row r="26" spans="2:20">
      <c r="B26" s="18">
        <v>1714</v>
      </c>
      <c r="C26" s="18">
        <f t="shared" ref="C26:C36" si="2">$C$23*(1-$C$22*(B26/$C$6)-(1-$C$22)*(B26/$C$6)^2)</f>
        <v>0</v>
      </c>
      <c r="H26" s="18">
        <v>1714</v>
      </c>
      <c r="I26" s="18">
        <f t="shared" ref="I26:I36" si="3">$I$22*(1-0.2*(H26/$C$6)-(1-0.2)*(H26/$C$6)^2)</f>
        <v>0</v>
      </c>
      <c r="L26" s="36" t="s">
        <v>82</v>
      </c>
      <c r="M26" s="32">
        <v>1443</v>
      </c>
      <c r="N26" s="32">
        <v>508</v>
      </c>
      <c r="O26" s="15">
        <f t="shared" si="0"/>
        <v>855547</v>
      </c>
      <c r="P26" s="15">
        <f t="shared" ref="P26:Q26" si="4">LOG(N26,10)</f>
        <v>2.7058637122839189</v>
      </c>
      <c r="Q26" s="15">
        <f t="shared" si="4"/>
        <v>5.9322438727666222</v>
      </c>
      <c r="S26" s="18">
        <v>1714</v>
      </c>
      <c r="T26" s="18">
        <f t="shared" ref="T26:T36" si="5">$Q$36*($C$6^2-S26^2)^$Q$37</f>
        <v>0</v>
      </c>
    </row>
    <row r="27" spans="2:20">
      <c r="B27" s="18">
        <v>1583</v>
      </c>
      <c r="C27" s="18">
        <f t="shared" si="2"/>
        <v>311.35537213998288</v>
      </c>
      <c r="H27" s="18">
        <v>1583</v>
      </c>
      <c r="I27" s="18">
        <f t="shared" si="3"/>
        <v>317.48794918070024</v>
      </c>
      <c r="M27" s="32">
        <v>1272</v>
      </c>
      <c r="N27" s="32">
        <v>780</v>
      </c>
      <c r="O27" s="15">
        <f t="shared" si="0"/>
        <v>1319812</v>
      </c>
      <c r="P27" s="15">
        <f t="shared" ref="P27:Q27" si="6">LOG(N27,10)</f>
        <v>2.8920946026904804</v>
      </c>
      <c r="Q27" s="15">
        <f t="shared" si="6"/>
        <v>6.1205120727380979</v>
      </c>
      <c r="S27" s="18">
        <v>1583</v>
      </c>
      <c r="T27" s="18">
        <f t="shared" si="5"/>
        <v>194.60782602014262</v>
      </c>
    </row>
    <row r="28" spans="2:20">
      <c r="B28" s="18">
        <v>1443</v>
      </c>
      <c r="C28" s="18">
        <f t="shared" si="2"/>
        <v>624.00965575688883</v>
      </c>
      <c r="H28" s="18">
        <v>1443</v>
      </c>
      <c r="I28" s="18">
        <f t="shared" si="3"/>
        <v>632.10670902186541</v>
      </c>
      <c r="L28" s="36" t="s">
        <v>82</v>
      </c>
      <c r="M28" s="32">
        <v>1196</v>
      </c>
      <c r="N28" s="32">
        <v>1125</v>
      </c>
      <c r="O28" s="15">
        <f t="shared" si="0"/>
        <v>1507380</v>
      </c>
      <c r="P28" s="15">
        <f t="shared" ref="P28:Q28" si="7">LOG(N28,10)</f>
        <v>3.051152522447381</v>
      </c>
      <c r="Q28" s="15">
        <f t="shared" si="7"/>
        <v>6.1782227487311401</v>
      </c>
      <c r="S28" s="18">
        <v>1443</v>
      </c>
      <c r="T28" s="18">
        <f t="shared" si="5"/>
        <v>507.99999999999829</v>
      </c>
    </row>
    <row r="29" spans="2:20">
      <c r="B29" s="18">
        <v>1272</v>
      </c>
      <c r="C29" s="18">
        <f t="shared" si="2"/>
        <v>977.73142678169836</v>
      </c>
      <c r="H29" s="18">
        <v>1272</v>
      </c>
      <c r="I29" s="18">
        <f t="shared" si="3"/>
        <v>981.79489262685286</v>
      </c>
      <c r="M29" s="32">
        <v>982</v>
      </c>
      <c r="N29" s="32">
        <v>1335</v>
      </c>
      <c r="O29" s="15">
        <f t="shared" si="0"/>
        <v>1973472</v>
      </c>
      <c r="P29" s="15">
        <f t="shared" ref="P29:Q29" si="8">LOG(N29,10)</f>
        <v>3.1254812657005937</v>
      </c>
      <c r="Q29" s="15">
        <f t="shared" si="8"/>
        <v>6.2952309689216737</v>
      </c>
      <c r="S29" s="18">
        <v>1272</v>
      </c>
      <c r="T29" s="18">
        <f t="shared" si="5"/>
        <v>933.55972662981117</v>
      </c>
    </row>
    <row r="30" spans="2:20">
      <c r="B30" s="18">
        <v>1196</v>
      </c>
      <c r="C30" s="18">
        <f t="shared" si="2"/>
        <v>1125</v>
      </c>
      <c r="H30" s="18">
        <v>1196</v>
      </c>
      <c r="I30" s="18">
        <f t="shared" si="3"/>
        <v>1125</v>
      </c>
      <c r="S30" s="18">
        <v>1196</v>
      </c>
      <c r="T30" s="18">
        <f t="shared" si="5"/>
        <v>1124.9999999999982</v>
      </c>
    </row>
    <row r="31" spans="2:20">
      <c r="B31" s="18">
        <v>982</v>
      </c>
      <c r="C31" s="18">
        <f t="shared" si="2"/>
        <v>1506.8121353002578</v>
      </c>
      <c r="H31" s="18">
        <v>982</v>
      </c>
      <c r="I31" s="18">
        <f t="shared" si="3"/>
        <v>1487.8631653755215</v>
      </c>
      <c r="M31" s="12" t="s">
        <v>83</v>
      </c>
      <c r="S31" s="18">
        <v>982</v>
      </c>
      <c r="T31" s="18">
        <f t="shared" si="5"/>
        <v>1642.1048780591145</v>
      </c>
    </row>
    <row r="32" spans="2:20">
      <c r="B32" s="18">
        <v>800</v>
      </c>
      <c r="C32" s="18">
        <f t="shared" si="2"/>
        <v>1793.3636415104734</v>
      </c>
      <c r="H32" s="18">
        <v>800</v>
      </c>
      <c r="I32" s="18">
        <f t="shared" si="3"/>
        <v>1749.5809824887258</v>
      </c>
      <c r="M32" s="14" t="s">
        <v>10</v>
      </c>
      <c r="N32" s="34" t="s">
        <v>51</v>
      </c>
      <c r="O32" s="34" t="s">
        <v>80</v>
      </c>
      <c r="S32" s="18">
        <v>800</v>
      </c>
      <c r="T32" s="18">
        <f t="shared" si="5"/>
        <v>2033.1073425590339</v>
      </c>
    </row>
    <row r="33" spans="2:20">
      <c r="B33" s="18">
        <v>600</v>
      </c>
      <c r="C33" s="18">
        <f t="shared" si="2"/>
        <v>2067.796198534656</v>
      </c>
      <c r="H33" s="18">
        <v>600</v>
      </c>
      <c r="I33" s="18">
        <f t="shared" si="3"/>
        <v>1987.4820235199149</v>
      </c>
      <c r="M33" s="15">
        <v>1443</v>
      </c>
      <c r="N33" s="15">
        <v>2.7058637122839193</v>
      </c>
      <c r="O33" s="15">
        <v>5.9322438727666231</v>
      </c>
      <c r="P33" s="36" t="s">
        <v>82</v>
      </c>
      <c r="S33" s="18">
        <v>600</v>
      </c>
      <c r="T33" s="18">
        <f t="shared" si="5"/>
        <v>2389.2338561991078</v>
      </c>
    </row>
    <row r="34" spans="2:20">
      <c r="B34" s="18">
        <v>400</v>
      </c>
      <c r="C34" s="18">
        <f t="shared" si="2"/>
        <v>2299.8630926876453</v>
      </c>
      <c r="H34" s="18">
        <v>400</v>
      </c>
      <c r="I34" s="18">
        <f t="shared" si="3"/>
        <v>2173.340178900311</v>
      </c>
      <c r="M34" s="15">
        <v>1196</v>
      </c>
      <c r="N34" s="15">
        <v>3.0511525224473814</v>
      </c>
      <c r="O34" s="15">
        <v>6.1782227487311401</v>
      </c>
      <c r="P34" s="36" t="s">
        <v>82</v>
      </c>
      <c r="S34" s="18">
        <v>400</v>
      </c>
      <c r="T34" s="18">
        <f t="shared" si="5"/>
        <v>2653.4587813275466</v>
      </c>
    </row>
    <row r="35" spans="2:20">
      <c r="B35" s="18">
        <v>200</v>
      </c>
      <c r="C35" s="18">
        <f t="shared" si="2"/>
        <v>2489.5643239694427</v>
      </c>
      <c r="H35" s="18">
        <v>200</v>
      </c>
      <c r="I35" s="18">
        <f t="shared" si="3"/>
        <v>2307.1554486299137</v>
      </c>
      <c r="S35" s="18">
        <v>200</v>
      </c>
      <c r="T35" s="18">
        <f t="shared" si="5"/>
        <v>2815.7582602130456</v>
      </c>
    </row>
    <row r="36" spans="2:20">
      <c r="B36" s="18">
        <v>0</v>
      </c>
      <c r="C36" s="18">
        <f t="shared" si="2"/>
        <v>2636.8998923800468</v>
      </c>
      <c r="H36" s="18">
        <v>0</v>
      </c>
      <c r="I36" s="18">
        <f t="shared" si="3"/>
        <v>2388.9278327087227</v>
      </c>
      <c r="M36" s="14" t="s">
        <v>54</v>
      </c>
      <c r="N36" s="15">
        <f>INTERCEPT(O33:O34,N33:N34)</f>
        <v>4.0046247467784948</v>
      </c>
      <c r="P36" s="14" t="s">
        <v>56</v>
      </c>
      <c r="Q36" s="15">
        <f>10^(-N36/N37)</f>
        <v>2.3909678424184505E-6</v>
      </c>
      <c r="S36" s="18">
        <v>0</v>
      </c>
      <c r="T36" s="18">
        <f t="shared" si="5"/>
        <v>2870.4696090162961</v>
      </c>
    </row>
    <row r="37" spans="2:20">
      <c r="M37" s="14" t="s">
        <v>53</v>
      </c>
      <c r="N37" s="15">
        <f>SLOPE(O33:O34,N33:N34)</f>
        <v>0.71238588892605248</v>
      </c>
      <c r="P37" s="14" t="s">
        <v>55</v>
      </c>
      <c r="Q37" s="15">
        <f>1/N37</f>
        <v>1.4037335881365312</v>
      </c>
    </row>
    <row r="42" spans="2:20">
      <c r="D42" s="37" t="s">
        <v>84</v>
      </c>
      <c r="E42" s="24" t="s">
        <v>85</v>
      </c>
      <c r="F42" s="37" t="s">
        <v>86</v>
      </c>
    </row>
    <row r="43" spans="2:20">
      <c r="B43" s="31" t="s">
        <v>70</v>
      </c>
      <c r="C43" s="31" t="s">
        <v>71</v>
      </c>
      <c r="D43" s="14" t="s">
        <v>11</v>
      </c>
      <c r="E43" s="14" t="s">
        <v>11</v>
      </c>
      <c r="F43" s="14" t="s">
        <v>11</v>
      </c>
    </row>
    <row r="44" spans="2:20">
      <c r="B44" s="32">
        <v>1714</v>
      </c>
      <c r="C44" s="32">
        <v>0</v>
      </c>
      <c r="D44" s="18">
        <v>0</v>
      </c>
      <c r="E44" s="18">
        <v>0</v>
      </c>
      <c r="F44" s="18">
        <v>0</v>
      </c>
    </row>
    <row r="45" spans="2:20">
      <c r="B45" s="32">
        <v>1583</v>
      </c>
      <c r="C45" s="32">
        <v>280</v>
      </c>
      <c r="D45" s="18">
        <v>311.35537213998288</v>
      </c>
      <c r="E45" s="18">
        <v>317.48794918070024</v>
      </c>
      <c r="F45" s="18">
        <v>194.60782602014268</v>
      </c>
    </row>
    <row r="46" spans="2:20">
      <c r="B46" s="32">
        <v>1443</v>
      </c>
      <c r="C46" s="32">
        <v>508</v>
      </c>
      <c r="D46" s="18">
        <v>624.00965575688883</v>
      </c>
      <c r="E46" s="18">
        <v>632.10670902186541</v>
      </c>
      <c r="F46" s="18">
        <v>507.99999999999869</v>
      </c>
    </row>
    <row r="47" spans="2:20">
      <c r="B47" s="32">
        <v>1272</v>
      </c>
      <c r="C47" s="32">
        <v>780</v>
      </c>
      <c r="D47" s="18">
        <v>977.73142678169836</v>
      </c>
      <c r="E47" s="18">
        <v>981.79489262685286</v>
      </c>
      <c r="F47" s="18">
        <v>933.5597266298098</v>
      </c>
    </row>
    <row r="48" spans="2:20">
      <c r="B48" s="32">
        <v>1196</v>
      </c>
      <c r="C48" s="32">
        <v>1125</v>
      </c>
      <c r="D48" s="18">
        <v>1125</v>
      </c>
      <c r="E48" s="18">
        <v>1125</v>
      </c>
      <c r="F48" s="18">
        <v>1124.999999999997</v>
      </c>
    </row>
    <row r="49" spans="2:6">
      <c r="B49" s="32">
        <v>982</v>
      </c>
      <c r="C49" s="32">
        <v>1335</v>
      </c>
      <c r="D49" s="18">
        <v>1506.8121353002578</v>
      </c>
      <c r="E49" s="18">
        <v>1487.8631653755215</v>
      </c>
      <c r="F49" s="18">
        <v>1642.1048780591091</v>
      </c>
    </row>
    <row r="51" spans="2:6">
      <c r="D51" s="12" t="s">
        <v>87</v>
      </c>
    </row>
    <row r="52" spans="2:6">
      <c r="D52" s="38" t="s">
        <v>84</v>
      </c>
      <c r="E52" s="39" t="s">
        <v>85</v>
      </c>
      <c r="F52" s="38" t="s">
        <v>86</v>
      </c>
    </row>
    <row r="53" spans="2:6">
      <c r="D53" s="15">
        <f t="shared" ref="D53:D57" si="9">ABS((C45-D45)/C45)*100</f>
        <v>11.198347192851028</v>
      </c>
      <c r="E53" s="15">
        <f t="shared" ref="E53:E57" si="10">ABS((C45-E45)/C45)*100</f>
        <v>13.388553278821513</v>
      </c>
      <c r="F53" s="15">
        <f>ABS((C45-F45)/C45)*100</f>
        <v>30.497204992806186</v>
      </c>
    </row>
    <row r="54" spans="2:6">
      <c r="D54" s="15">
        <f t="shared" si="9"/>
        <v>22.836546408836384</v>
      </c>
      <c r="E54" s="15">
        <f t="shared" si="10"/>
        <v>24.430454531863273</v>
      </c>
      <c r="F54" s="15">
        <f t="shared" ref="F54:F57" si="11">ABS((C46-F46)/C46)*100</f>
        <v>2.573619357871229E-13</v>
      </c>
    </row>
    <row r="55" spans="2:6">
      <c r="D55" s="15">
        <f t="shared" si="9"/>
        <v>25.350182920730557</v>
      </c>
      <c r="E55" s="15">
        <f t="shared" si="10"/>
        <v>25.871140080365752</v>
      </c>
      <c r="F55" s="15">
        <f t="shared" si="11"/>
        <v>19.687144439719205</v>
      </c>
    </row>
    <row r="56" spans="2:6">
      <c r="D56" s="15">
        <f t="shared" si="9"/>
        <v>0</v>
      </c>
      <c r="E56" s="15">
        <f t="shared" si="10"/>
        <v>0</v>
      </c>
      <c r="F56" s="15">
        <f t="shared" si="11"/>
        <v>2.6274291384551258E-13</v>
      </c>
    </row>
    <row r="57" spans="2:6">
      <c r="D57" s="15">
        <f t="shared" si="9"/>
        <v>12.869822868933165</v>
      </c>
      <c r="E57" s="15">
        <f t="shared" si="10"/>
        <v>11.450424372698238</v>
      </c>
      <c r="F57" s="15">
        <f t="shared" si="11"/>
        <v>23.004110716038131</v>
      </c>
    </row>
    <row r="58" spans="2:6">
      <c r="B58" s="12" t="s">
        <v>88</v>
      </c>
      <c r="C58" s="12"/>
      <c r="D58" s="40">
        <f t="shared" ref="D58:F58" si="12">AVERAGE(D53:D57)</f>
        <v>14.450979878270228</v>
      </c>
      <c r="E58" s="40">
        <f t="shared" si="12"/>
        <v>15.028114452749756</v>
      </c>
      <c r="F58" s="40">
        <f t="shared" si="12"/>
        <v>14.637692029712809</v>
      </c>
    </row>
    <row r="69" spans="2:17" ht="12.75">
      <c r="B69" s="49" t="s">
        <v>89</v>
      </c>
    </row>
    <row r="71" spans="2:17" ht="15" customHeight="1">
      <c r="B71" s="41" t="s">
        <v>90</v>
      </c>
    </row>
    <row r="73" spans="2:17">
      <c r="B73" s="12" t="s">
        <v>67</v>
      </c>
      <c r="E73" s="12" t="s">
        <v>68</v>
      </c>
    </row>
    <row r="74" spans="2:17">
      <c r="B74" s="14" t="s">
        <v>91</v>
      </c>
      <c r="C74" s="20">
        <v>1605</v>
      </c>
      <c r="D74" s="11" t="s">
        <v>2</v>
      </c>
      <c r="E74" s="31" t="s">
        <v>70</v>
      </c>
      <c r="F74" s="31" t="s">
        <v>71</v>
      </c>
    </row>
    <row r="75" spans="2:17">
      <c r="B75" s="14" t="s">
        <v>92</v>
      </c>
      <c r="C75" s="20">
        <v>1714</v>
      </c>
      <c r="D75" s="11" t="s">
        <v>2</v>
      </c>
      <c r="E75" s="32">
        <v>1605</v>
      </c>
      <c r="F75" s="32">
        <v>0</v>
      </c>
    </row>
    <row r="76" spans="2:17">
      <c r="B76" s="14" t="s">
        <v>15</v>
      </c>
      <c r="C76" s="20">
        <v>3420</v>
      </c>
      <c r="D76" s="11" t="s">
        <v>2</v>
      </c>
      <c r="E76" s="32">
        <v>1381</v>
      </c>
      <c r="F76" s="32">
        <v>420</v>
      </c>
      <c r="G76" s="24" t="s">
        <v>73</v>
      </c>
    </row>
    <row r="77" spans="2:17">
      <c r="B77" s="14" t="s">
        <v>72</v>
      </c>
      <c r="C77" s="20">
        <v>0.49</v>
      </c>
      <c r="E77" s="32">
        <v>1231</v>
      </c>
      <c r="F77" s="32">
        <v>720</v>
      </c>
      <c r="G77" s="24" t="s">
        <v>74</v>
      </c>
    </row>
    <row r="78" spans="2:17">
      <c r="E78" s="32">
        <v>1120</v>
      </c>
      <c r="F78" s="32">
        <v>850</v>
      </c>
    </row>
    <row r="79" spans="2:17">
      <c r="E79" s="42"/>
      <c r="F79" s="42"/>
      <c r="G79" s="43"/>
    </row>
    <row r="80" spans="2:17">
      <c r="B80" s="24" t="s">
        <v>93</v>
      </c>
      <c r="H80" s="24" t="s">
        <v>94</v>
      </c>
      <c r="Q80" s="24" t="s">
        <v>77</v>
      </c>
    </row>
    <row r="82" spans="2:18">
      <c r="B82" s="14" t="s">
        <v>72</v>
      </c>
      <c r="C82" s="15">
        <v>0.49</v>
      </c>
      <c r="H82" s="14" t="s">
        <v>95</v>
      </c>
      <c r="I82" s="15">
        <f>I22</f>
        <v>2388.9278327087227</v>
      </c>
      <c r="J82" s="6" t="s">
        <v>5</v>
      </c>
      <c r="Q82" s="14" t="s">
        <v>55</v>
      </c>
      <c r="R82" s="15">
        <f>Q37</f>
        <v>1.4037335881365312</v>
      </c>
    </row>
    <row r="83" spans="2:18">
      <c r="B83" s="14" t="s">
        <v>95</v>
      </c>
      <c r="C83" s="15">
        <f>C23</f>
        <v>2636.8998923800468</v>
      </c>
      <c r="D83" s="6" t="s">
        <v>5</v>
      </c>
      <c r="H83" s="14" t="s">
        <v>30</v>
      </c>
      <c r="I83" s="15">
        <f>I82*($C$74/$C$75)^3</f>
        <v>1961.5333110257352</v>
      </c>
      <c r="J83" s="6" t="s">
        <v>5</v>
      </c>
      <c r="K83" s="24" t="s">
        <v>96</v>
      </c>
      <c r="Q83" s="14" t="s">
        <v>59</v>
      </c>
      <c r="R83" s="44">
        <f>Q36</f>
        <v>2.3909678424184505E-6</v>
      </c>
    </row>
    <row r="84" spans="2:18">
      <c r="B84" s="14" t="s">
        <v>30</v>
      </c>
      <c r="C84" s="15">
        <f>C83*($C$74/$C$75)^3</f>
        <v>2165.1415777088878</v>
      </c>
      <c r="D84" s="6" t="s">
        <v>5</v>
      </c>
      <c r="H84" s="14" t="s">
        <v>30</v>
      </c>
      <c r="I84" s="15">
        <f>I82*(C74/C75)*(0.2+0.8*(C74/C75))</f>
        <v>2123.1984849159485</v>
      </c>
      <c r="J84" s="6" t="s">
        <v>5</v>
      </c>
      <c r="K84" s="24" t="s">
        <v>97</v>
      </c>
      <c r="Q84" s="14" t="s">
        <v>60</v>
      </c>
      <c r="R84" s="44">
        <f>R83*(C74/C75)</f>
        <v>2.2389167952634847E-6</v>
      </c>
    </row>
    <row r="85" spans="2:18">
      <c r="B85" s="12"/>
      <c r="C85" s="12"/>
    </row>
    <row r="86" spans="2:18">
      <c r="B86" s="14" t="s">
        <v>10</v>
      </c>
      <c r="C86" s="14" t="s">
        <v>11</v>
      </c>
      <c r="H86" s="14" t="s">
        <v>10</v>
      </c>
      <c r="I86" s="14" t="s">
        <v>11</v>
      </c>
      <c r="Q86" s="14" t="s">
        <v>10</v>
      </c>
      <c r="R86" s="14" t="s">
        <v>11</v>
      </c>
    </row>
    <row r="87" spans="2:18">
      <c r="B87" s="18">
        <v>1605</v>
      </c>
      <c r="C87" s="18">
        <f t="shared" ref="C87:C96" si="13">$C$84*(1-$C$82*(B87/$C$74)-(1-$C$82)*(B87/$C$74)^2)</f>
        <v>0</v>
      </c>
      <c r="H87" s="18">
        <v>1605</v>
      </c>
      <c r="I87" s="18">
        <f t="shared" ref="I87:I96" si="14">$I$83*(1-0.2*(H87/$C$74)-0.8*(H87/$C$74)^2)</f>
        <v>0</v>
      </c>
      <c r="Q87" s="18">
        <v>1605</v>
      </c>
      <c r="R87" s="18">
        <f t="shared" ref="R87:R96" si="15">$R$84*($C$74^2-Q87^2)^$R$82</f>
        <v>0</v>
      </c>
    </row>
    <row r="88" spans="2:18">
      <c r="B88" s="18">
        <v>1381</v>
      </c>
      <c r="C88" s="18">
        <f t="shared" si="13"/>
        <v>434.77691935731832</v>
      </c>
      <c r="H88" s="18">
        <v>1381</v>
      </c>
      <c r="I88" s="18">
        <f t="shared" si="14"/>
        <v>462.20098967701318</v>
      </c>
      <c r="Q88" s="18">
        <v>1381</v>
      </c>
      <c r="R88" s="18">
        <f t="shared" si="15"/>
        <v>336.71333541631401</v>
      </c>
    </row>
    <row r="89" spans="2:18">
      <c r="B89" s="18">
        <v>1231</v>
      </c>
      <c r="C89" s="18">
        <f t="shared" si="13"/>
        <v>701.87471493112207</v>
      </c>
      <c r="H89" s="18">
        <v>1231</v>
      </c>
      <c r="I89" s="18">
        <f t="shared" si="14"/>
        <v>737.53637265419536</v>
      </c>
      <c r="Q89" s="18">
        <v>1231</v>
      </c>
      <c r="R89" s="18">
        <f t="shared" si="15"/>
        <v>643.19689662910116</v>
      </c>
    </row>
    <row r="90" spans="2:18">
      <c r="B90" s="18">
        <v>1120</v>
      </c>
      <c r="C90" s="18">
        <f t="shared" si="13"/>
        <v>887.10856229418948</v>
      </c>
      <c r="H90" s="18">
        <v>1120</v>
      </c>
      <c r="I90" s="18">
        <f t="shared" si="14"/>
        <v>923.6364100793088</v>
      </c>
      <c r="Q90" s="18">
        <v>1120</v>
      </c>
      <c r="R90" s="18">
        <f t="shared" si="15"/>
        <v>875.87714614348681</v>
      </c>
    </row>
    <row r="91" spans="2:18">
      <c r="B91" s="18">
        <v>982</v>
      </c>
      <c r="C91" s="18">
        <f t="shared" si="13"/>
        <v>1102.6698989169317</v>
      </c>
      <c r="H91" s="18">
        <v>982</v>
      </c>
      <c r="I91" s="18">
        <f t="shared" si="14"/>
        <v>1134.0718647022643</v>
      </c>
      <c r="Q91" s="18">
        <v>982</v>
      </c>
      <c r="R91" s="18">
        <f t="shared" si="15"/>
        <v>1157.208629036558</v>
      </c>
    </row>
    <row r="92" spans="2:18">
      <c r="B92" s="18">
        <v>800</v>
      </c>
      <c r="C92" s="18">
        <f t="shared" si="13"/>
        <v>1361.9961555971049</v>
      </c>
      <c r="H92" s="18">
        <v>800</v>
      </c>
      <c r="I92" s="18">
        <f t="shared" si="14"/>
        <v>1376.1248582674796</v>
      </c>
      <c r="Q92" s="18">
        <v>800</v>
      </c>
      <c r="R92" s="18">
        <f t="shared" si="15"/>
        <v>1496.8767261401904</v>
      </c>
    </row>
    <row r="93" spans="2:18">
      <c r="B93" s="18">
        <v>600</v>
      </c>
      <c r="C93" s="18">
        <f t="shared" si="13"/>
        <v>1614.2209344927528</v>
      </c>
      <c r="H93" s="18">
        <v>600</v>
      </c>
      <c r="I93" s="18">
        <f t="shared" si="14"/>
        <v>1595.5768823113522</v>
      </c>
      <c r="Q93" s="18">
        <v>600</v>
      </c>
      <c r="R93" s="18">
        <f t="shared" si="15"/>
        <v>1809.3985346108307</v>
      </c>
    </row>
    <row r="94" spans="2:18">
      <c r="B94" s="18">
        <v>400</v>
      </c>
      <c r="C94" s="18">
        <f t="shared" si="13"/>
        <v>1832.1534311432654</v>
      </c>
      <c r="H94" s="18">
        <v>400</v>
      </c>
      <c r="I94" s="18">
        <f t="shared" si="14"/>
        <v>1766.2956324523523</v>
      </c>
      <c r="Q94" s="18">
        <v>400</v>
      </c>
      <c r="R94" s="18">
        <f t="shared" si="15"/>
        <v>2042.7340087979592</v>
      </c>
    </row>
    <row r="95" spans="2:18">
      <c r="B95" s="18">
        <v>200</v>
      </c>
      <c r="C95" s="18">
        <f t="shared" si="13"/>
        <v>2015.7936455486438</v>
      </c>
      <c r="H95" s="18">
        <v>200</v>
      </c>
      <c r="I95" s="18">
        <f t="shared" si="14"/>
        <v>1888.2811086904801</v>
      </c>
      <c r="Q95" s="18">
        <v>200</v>
      </c>
      <c r="R95" s="18">
        <f t="shared" si="15"/>
        <v>2186.5699159297947</v>
      </c>
    </row>
    <row r="96" spans="2:18">
      <c r="B96" s="18">
        <v>0</v>
      </c>
      <c r="C96" s="18">
        <f t="shared" si="13"/>
        <v>2165.1415777088878</v>
      </c>
      <c r="H96" s="18">
        <v>0</v>
      </c>
      <c r="I96" s="18">
        <f t="shared" si="14"/>
        <v>1961.5333110257352</v>
      </c>
      <c r="Q96" s="18">
        <v>0</v>
      </c>
      <c r="R96" s="18">
        <f t="shared" si="15"/>
        <v>2235.1357462678102</v>
      </c>
    </row>
    <row r="102" spans="2:6">
      <c r="D102" s="37" t="s">
        <v>84</v>
      </c>
      <c r="E102" s="24" t="s">
        <v>85</v>
      </c>
      <c r="F102" s="37" t="s">
        <v>86</v>
      </c>
    </row>
    <row r="103" spans="2:6">
      <c r="B103" s="31" t="s">
        <v>70</v>
      </c>
      <c r="C103" s="31" t="s">
        <v>71</v>
      </c>
      <c r="D103" s="14" t="s">
        <v>11</v>
      </c>
      <c r="E103" s="14" t="s">
        <v>11</v>
      </c>
      <c r="F103" s="14" t="s">
        <v>11</v>
      </c>
    </row>
    <row r="104" spans="2:6">
      <c r="B104" s="32">
        <v>1605</v>
      </c>
      <c r="C104" s="32">
        <v>0</v>
      </c>
      <c r="D104" s="18">
        <v>0</v>
      </c>
      <c r="E104" s="18">
        <v>0</v>
      </c>
      <c r="F104" s="18">
        <v>0</v>
      </c>
    </row>
    <row r="105" spans="2:6">
      <c r="B105" s="32">
        <v>1381</v>
      </c>
      <c r="C105" s="32">
        <v>420</v>
      </c>
      <c r="D105" s="18">
        <v>434.77691935731832</v>
      </c>
      <c r="E105" s="18">
        <v>462.20098967701318</v>
      </c>
      <c r="F105" s="18">
        <v>336.71333541631418</v>
      </c>
    </row>
    <row r="106" spans="2:6">
      <c r="B106" s="32">
        <v>1231</v>
      </c>
      <c r="C106" s="32">
        <v>720</v>
      </c>
      <c r="D106" s="18">
        <v>701.87471493112207</v>
      </c>
      <c r="E106" s="18">
        <v>737.53637265419536</v>
      </c>
      <c r="F106" s="18">
        <v>643.19689662909968</v>
      </c>
    </row>
    <row r="107" spans="2:6">
      <c r="B107" s="32">
        <v>1120</v>
      </c>
      <c r="C107" s="32">
        <v>850</v>
      </c>
      <c r="D107" s="18">
        <v>887.10856229418948</v>
      </c>
      <c r="E107" s="18">
        <v>923.6364100793088</v>
      </c>
      <c r="F107" s="18">
        <v>875.87714614348624</v>
      </c>
    </row>
    <row r="109" spans="2:6">
      <c r="D109" s="12" t="s">
        <v>87</v>
      </c>
    </row>
    <row r="110" spans="2:6">
      <c r="D110" s="38" t="s">
        <v>84</v>
      </c>
      <c r="E110" s="39" t="s">
        <v>85</v>
      </c>
      <c r="F110" s="38" t="s">
        <v>86</v>
      </c>
    </row>
    <row r="111" spans="2:6">
      <c r="D111" s="15">
        <f t="shared" ref="D111:D113" si="16">ABS((D105-C105)/C105)*100</f>
        <v>3.5183141326948379</v>
      </c>
      <c r="E111" s="15">
        <f t="shared" ref="E111:E113" si="17">ABS((E105-C105)/C105)*100</f>
        <v>10.04785468500314</v>
      </c>
      <c r="F111" s="15">
        <f t="shared" ref="F111:F113" si="18">ABS((F105-C105)/C105)*100</f>
        <v>19.830158234210909</v>
      </c>
    </row>
    <row r="112" spans="2:6">
      <c r="D112" s="15">
        <f t="shared" si="16"/>
        <v>2.5174007040108233</v>
      </c>
      <c r="E112" s="15">
        <f t="shared" si="17"/>
        <v>2.4356073130826892</v>
      </c>
      <c r="F112" s="15">
        <f t="shared" si="18"/>
        <v>10.667097690402821</v>
      </c>
    </row>
    <row r="113" spans="2:6">
      <c r="D113" s="15">
        <f t="shared" si="16"/>
        <v>4.3657132110811157</v>
      </c>
      <c r="E113" s="15">
        <f t="shared" si="17"/>
        <v>8.6631070681539768</v>
      </c>
      <c r="F113" s="15">
        <f t="shared" si="18"/>
        <v>3.0443701345277931</v>
      </c>
    </row>
    <row r="114" spans="2:6">
      <c r="B114" s="12" t="s">
        <v>88</v>
      </c>
      <c r="D114" s="40">
        <f t="shared" ref="D114:F114" si="19">AVERAGE(D111:D113)</f>
        <v>3.467142682595592</v>
      </c>
      <c r="E114" s="40">
        <f t="shared" si="19"/>
        <v>7.0488563554132684</v>
      </c>
      <c r="F114" s="40">
        <f t="shared" si="19"/>
        <v>11.180542019713842</v>
      </c>
    </row>
  </sheetData>
  <pageMargins left="0.7" right="0.7" top="0.75" bottom="0.75" header="0.3" footer="0.3"/>
  <pageSetup paperSize="8" orientation="landscape"/>
  <rowBreaks count="2" manualBreakCount="2">
    <brk id="67" max="16383" man="1"/>
    <brk id="126" max="16383" man="1"/>
  </rowBreaks>
  <colBreaks count="1" manualBreakCount="1">
    <brk id="20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2024-08-29T11:04:58Z</dcterms:created>
  <dcterms:modified xsi:type="dcterms:W3CDTF">2024-12-02T06:46:17Z</dcterms:modified>
  <cp:category/>
  <cp:contentStatus/>
</cp:coreProperties>
</file>