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autoCompressPictures="0" defaultThemeVersion="124226"/>
  <mc:AlternateContent xmlns:mc="http://schemas.openxmlformats.org/markup-compatibility/2006">
    <mc:Choice Requires="x15">
      <x15ac:absPath xmlns:x15ac="http://schemas.microsoft.com/office/spreadsheetml/2010/11/ac" url="F:\PROYECTOS\Excel\Porra Eurocopa 2021\"/>
    </mc:Choice>
  </mc:AlternateContent>
  <bookViews>
    <workbookView xWindow="0" yWindow="0" windowWidth="13440" windowHeight="4650" tabRatio="482" firstSheet="1" activeTab="1"/>
  </bookViews>
  <sheets>
    <sheet name="Hoja2" sheetId="2" state="hidden" r:id="rId1"/>
    <sheet name="Porra Eurocopa" sheetId="3" r:id="rId2"/>
    <sheet name="Ranking UEFA" sheetId="6" r:id="rId3"/>
    <sheet name="La Apuesta" sheetId="8" r:id="rId4"/>
    <sheet name="CLASIFICACIONES" sheetId="9" r:id="rId5"/>
  </sheets>
  <calcPr calcId="152511"/>
</workbook>
</file>

<file path=xl/calcChain.xml><?xml version="1.0" encoding="utf-8"?>
<calcChain xmlns="http://schemas.openxmlformats.org/spreadsheetml/2006/main">
  <c r="K54" i="3" l="1"/>
  <c r="F54" i="3"/>
  <c r="K53" i="3"/>
  <c r="F53" i="3"/>
  <c r="K52" i="3"/>
  <c r="F52" i="3"/>
  <c r="K51" i="3"/>
  <c r="F51" i="3"/>
  <c r="DA111" i="9" l="1"/>
  <c r="DA110" i="9"/>
  <c r="DA108" i="9"/>
  <c r="DA105" i="9"/>
  <c r="DA104" i="9"/>
  <c r="DA101" i="9"/>
  <c r="DA100" i="9"/>
  <c r="DA99" i="9"/>
  <c r="DA98" i="9"/>
  <c r="DA95" i="9"/>
  <c r="DA94" i="9"/>
  <c r="DA93" i="9"/>
  <c r="DA92" i="9"/>
  <c r="DA91" i="9"/>
  <c r="DA90" i="9"/>
  <c r="DA89" i="9"/>
  <c r="DA88" i="9"/>
  <c r="DA85" i="9"/>
  <c r="DA84" i="9"/>
  <c r="DA83" i="9"/>
  <c r="DA82" i="9"/>
  <c r="DA81" i="9"/>
  <c r="DA80" i="9"/>
  <c r="DA79" i="9"/>
  <c r="DA78" i="9"/>
  <c r="DA77" i="9"/>
  <c r="DA76" i="9"/>
  <c r="DA75" i="9"/>
  <c r="DA74" i="9"/>
  <c r="DA73" i="9"/>
  <c r="DA72" i="9"/>
  <c r="DA71" i="9"/>
  <c r="DA70" i="9"/>
  <c r="DA67" i="9"/>
  <c r="DA66" i="9"/>
  <c r="DA65" i="9"/>
  <c r="DA64" i="9"/>
  <c r="DA63" i="9"/>
  <c r="DA62" i="9"/>
  <c r="DA61" i="9"/>
  <c r="DA60" i="9"/>
  <c r="DA59" i="9"/>
  <c r="DA58" i="9"/>
  <c r="DA57" i="9"/>
  <c r="DA56" i="9"/>
  <c r="DA55" i="9"/>
  <c r="DA54" i="9"/>
  <c r="DA53" i="9"/>
  <c r="DA52" i="9"/>
  <c r="DA51" i="9"/>
  <c r="DA50" i="9"/>
  <c r="DA49" i="9"/>
  <c r="DA48" i="9"/>
  <c r="DA47" i="9"/>
  <c r="DA46" i="9"/>
  <c r="DA45" i="9"/>
  <c r="DA44" i="9"/>
  <c r="DA41" i="9"/>
  <c r="DA40" i="9"/>
  <c r="DA39" i="9"/>
  <c r="DA38" i="9"/>
  <c r="DA37" i="9"/>
  <c r="DA36" i="9"/>
  <c r="DA35" i="9"/>
  <c r="DA34" i="9"/>
  <c r="DA33" i="9"/>
  <c r="DA32" i="9"/>
  <c r="DA31" i="9"/>
  <c r="DA30" i="9"/>
  <c r="DA29" i="9"/>
  <c r="DA28" i="9"/>
  <c r="DA27" i="9"/>
  <c r="DA26" i="9"/>
  <c r="DA25" i="9"/>
  <c r="DA24" i="9"/>
  <c r="DA23" i="9"/>
  <c r="DA22" i="9"/>
  <c r="DA21" i="9"/>
  <c r="DA20" i="9"/>
  <c r="DA19" i="9"/>
  <c r="DA18" i="9"/>
  <c r="DA17" i="9"/>
  <c r="DA16" i="9"/>
  <c r="DA15" i="9"/>
  <c r="DA14" i="9"/>
  <c r="DA13" i="9"/>
  <c r="DA12" i="9"/>
  <c r="DA11" i="9"/>
  <c r="DA10" i="9"/>
  <c r="DA9" i="9"/>
  <c r="DA8" i="9"/>
  <c r="DA7" i="9"/>
  <c r="DA6" i="9"/>
  <c r="CY111" i="9"/>
  <c r="CY110" i="9"/>
  <c r="CY108" i="9"/>
  <c r="CY105" i="9"/>
  <c r="CY104" i="9"/>
  <c r="CY101" i="9"/>
  <c r="CY100" i="9"/>
  <c r="CY99" i="9"/>
  <c r="CY98" i="9"/>
  <c r="CY95" i="9"/>
  <c r="CY94" i="9"/>
  <c r="CY93" i="9"/>
  <c r="CY92" i="9"/>
  <c r="CY91" i="9"/>
  <c r="CY90" i="9"/>
  <c r="CY89" i="9"/>
  <c r="CY88" i="9"/>
  <c r="CY85" i="9"/>
  <c r="CY84" i="9"/>
  <c r="CY83" i="9"/>
  <c r="CY82" i="9"/>
  <c r="CY81" i="9"/>
  <c r="CY80" i="9"/>
  <c r="CY79" i="9"/>
  <c r="CY78" i="9"/>
  <c r="CY77" i="9"/>
  <c r="CY76" i="9"/>
  <c r="CY75" i="9"/>
  <c r="CY74" i="9"/>
  <c r="CY73" i="9"/>
  <c r="CY72" i="9"/>
  <c r="CY71" i="9"/>
  <c r="CY70" i="9"/>
  <c r="CY67" i="9"/>
  <c r="CY66" i="9"/>
  <c r="CY65" i="9"/>
  <c r="CY64" i="9"/>
  <c r="CY63" i="9"/>
  <c r="CY62" i="9"/>
  <c r="CY61" i="9"/>
  <c r="CY60" i="9"/>
  <c r="CY59" i="9"/>
  <c r="CY58" i="9"/>
  <c r="CY57" i="9"/>
  <c r="CY56" i="9"/>
  <c r="CY55" i="9"/>
  <c r="CY54" i="9"/>
  <c r="CY53" i="9"/>
  <c r="CY52" i="9"/>
  <c r="CY51" i="9"/>
  <c r="CY50" i="9"/>
  <c r="CY49" i="9"/>
  <c r="CY48" i="9"/>
  <c r="CY47" i="9"/>
  <c r="CY46" i="9"/>
  <c r="CY45" i="9"/>
  <c r="CY44" i="9"/>
  <c r="CY41" i="9"/>
  <c r="CY40" i="9"/>
  <c r="CY39" i="9"/>
  <c r="CY38" i="9"/>
  <c r="CY37" i="9"/>
  <c r="CY36" i="9"/>
  <c r="CY35" i="9"/>
  <c r="CY34" i="9"/>
  <c r="CY33" i="9"/>
  <c r="CY32" i="9"/>
  <c r="CY31" i="9"/>
  <c r="CY30" i="9"/>
  <c r="CY29" i="9"/>
  <c r="CY28" i="9"/>
  <c r="CY27" i="9"/>
  <c r="CY26" i="9"/>
  <c r="CY25" i="9"/>
  <c r="CY24" i="9"/>
  <c r="CY23" i="9"/>
  <c r="CY22" i="9"/>
  <c r="CY21" i="9"/>
  <c r="CY20" i="9"/>
  <c r="CY19" i="9"/>
  <c r="CY18" i="9"/>
  <c r="CY17" i="9"/>
  <c r="CY16" i="9"/>
  <c r="CY15" i="9"/>
  <c r="CY14" i="9"/>
  <c r="CY13" i="9"/>
  <c r="CY12" i="9"/>
  <c r="CY11" i="9"/>
  <c r="CY10" i="9"/>
  <c r="CY9" i="9"/>
  <c r="CY8" i="9"/>
  <c r="CY7" i="9"/>
  <c r="CY6" i="9"/>
  <c r="CW111" i="9"/>
  <c r="CW110" i="9"/>
  <c r="CW108" i="9"/>
  <c r="CW105" i="9"/>
  <c r="CW104" i="9"/>
  <c r="CW101" i="9"/>
  <c r="CW100" i="9"/>
  <c r="CW99" i="9"/>
  <c r="CW98" i="9"/>
  <c r="CW95" i="9"/>
  <c r="CW94" i="9"/>
  <c r="CW93" i="9"/>
  <c r="CW92" i="9"/>
  <c r="CW91" i="9"/>
  <c r="CW90" i="9"/>
  <c r="CW89" i="9"/>
  <c r="CW88" i="9"/>
  <c r="CW85" i="9"/>
  <c r="CW84" i="9"/>
  <c r="CW83" i="9"/>
  <c r="CW82" i="9"/>
  <c r="CW81" i="9"/>
  <c r="CW80" i="9"/>
  <c r="CW79" i="9"/>
  <c r="CW78" i="9"/>
  <c r="CW77" i="9"/>
  <c r="CW76" i="9"/>
  <c r="CW75" i="9"/>
  <c r="CW74" i="9"/>
  <c r="CW73" i="9"/>
  <c r="CW72" i="9"/>
  <c r="CW71" i="9"/>
  <c r="CW70" i="9"/>
  <c r="CW67" i="9"/>
  <c r="CW66" i="9"/>
  <c r="CW65" i="9"/>
  <c r="CW64" i="9"/>
  <c r="CW63" i="9"/>
  <c r="CW62" i="9"/>
  <c r="CW61" i="9"/>
  <c r="CW60" i="9"/>
  <c r="CW59" i="9"/>
  <c r="CW58" i="9"/>
  <c r="CW57" i="9"/>
  <c r="CW56" i="9"/>
  <c r="CW55" i="9"/>
  <c r="CW54" i="9"/>
  <c r="CW53" i="9"/>
  <c r="CW52" i="9"/>
  <c r="CW51" i="9"/>
  <c r="CW50" i="9"/>
  <c r="CW49" i="9"/>
  <c r="CW48" i="9"/>
  <c r="CW47" i="9"/>
  <c r="CW46" i="9"/>
  <c r="CW45" i="9"/>
  <c r="CW44" i="9"/>
  <c r="CW41" i="9"/>
  <c r="CW40" i="9"/>
  <c r="CW39" i="9"/>
  <c r="CW38" i="9"/>
  <c r="CW37" i="9"/>
  <c r="CW36" i="9"/>
  <c r="CW35" i="9"/>
  <c r="CW34" i="9"/>
  <c r="CW33" i="9"/>
  <c r="CW32" i="9"/>
  <c r="CW31" i="9"/>
  <c r="CW30" i="9"/>
  <c r="CW29" i="9"/>
  <c r="CW28" i="9"/>
  <c r="CW27" i="9"/>
  <c r="CW26" i="9"/>
  <c r="CW25" i="9"/>
  <c r="CW24" i="9"/>
  <c r="CW23" i="9"/>
  <c r="CW22" i="9"/>
  <c r="CW21" i="9"/>
  <c r="CW20" i="9"/>
  <c r="CW19" i="9"/>
  <c r="CW18" i="9"/>
  <c r="CW17" i="9"/>
  <c r="CW16" i="9"/>
  <c r="CW15" i="9"/>
  <c r="CW14" i="9"/>
  <c r="CW13" i="9"/>
  <c r="CW12" i="9"/>
  <c r="CW11" i="9"/>
  <c r="CW10" i="9"/>
  <c r="CW9" i="9"/>
  <c r="CW8" i="9"/>
  <c r="CW7" i="9"/>
  <c r="CW6" i="9"/>
  <c r="CU111" i="9"/>
  <c r="CU110" i="9"/>
  <c r="CU108" i="9"/>
  <c r="CU105" i="9"/>
  <c r="CU104" i="9"/>
  <c r="CU101" i="9"/>
  <c r="CU100" i="9"/>
  <c r="CU99" i="9"/>
  <c r="CU98" i="9"/>
  <c r="CU95" i="9"/>
  <c r="CU94" i="9"/>
  <c r="CU93" i="9"/>
  <c r="CU92" i="9"/>
  <c r="CU91" i="9"/>
  <c r="CU90" i="9"/>
  <c r="CU89" i="9"/>
  <c r="CU88" i="9"/>
  <c r="CU85" i="9"/>
  <c r="CU84" i="9"/>
  <c r="CU83" i="9"/>
  <c r="CU82" i="9"/>
  <c r="CU81" i="9"/>
  <c r="CU80" i="9"/>
  <c r="CU79" i="9"/>
  <c r="CU78" i="9"/>
  <c r="CU77" i="9"/>
  <c r="CU76" i="9"/>
  <c r="CU75" i="9"/>
  <c r="CU74" i="9"/>
  <c r="CU73" i="9"/>
  <c r="CU72" i="9"/>
  <c r="CU71" i="9"/>
  <c r="CU70" i="9"/>
  <c r="CU67" i="9"/>
  <c r="CU66" i="9"/>
  <c r="CU65" i="9"/>
  <c r="CU64" i="9"/>
  <c r="CU63" i="9"/>
  <c r="CU62" i="9"/>
  <c r="CU61" i="9"/>
  <c r="CU60" i="9"/>
  <c r="CU59" i="9"/>
  <c r="CU58" i="9"/>
  <c r="CU57" i="9"/>
  <c r="CU56" i="9"/>
  <c r="CU55" i="9"/>
  <c r="CU54" i="9"/>
  <c r="CU53" i="9"/>
  <c r="CU52" i="9"/>
  <c r="CU51" i="9"/>
  <c r="CU50" i="9"/>
  <c r="CU49" i="9"/>
  <c r="CU48" i="9"/>
  <c r="CU47" i="9"/>
  <c r="CU46" i="9"/>
  <c r="CU45" i="9"/>
  <c r="CU44" i="9"/>
  <c r="CU41" i="9"/>
  <c r="CU40" i="9"/>
  <c r="CU39" i="9"/>
  <c r="CU38" i="9"/>
  <c r="CU37" i="9"/>
  <c r="CU36" i="9"/>
  <c r="CU35" i="9"/>
  <c r="CU34" i="9"/>
  <c r="CU33" i="9"/>
  <c r="CU32" i="9"/>
  <c r="CU31" i="9"/>
  <c r="CU30" i="9"/>
  <c r="CU29" i="9"/>
  <c r="CU28" i="9"/>
  <c r="CU27" i="9"/>
  <c r="CU26" i="9"/>
  <c r="CU25" i="9"/>
  <c r="CU24" i="9"/>
  <c r="CU23" i="9"/>
  <c r="CU22" i="9"/>
  <c r="CU21" i="9"/>
  <c r="CU20" i="9"/>
  <c r="CU19" i="9"/>
  <c r="CU18" i="9"/>
  <c r="CU17" i="9"/>
  <c r="CU16" i="9"/>
  <c r="CU15" i="9"/>
  <c r="CU14" i="9"/>
  <c r="CU13" i="9"/>
  <c r="CU12" i="9"/>
  <c r="CU11" i="9"/>
  <c r="CU10" i="9"/>
  <c r="CU9" i="9"/>
  <c r="CU8" i="9"/>
  <c r="CU7" i="9"/>
  <c r="CU6" i="9"/>
  <c r="CS111" i="9"/>
  <c r="CS110" i="9"/>
  <c r="CS108" i="9"/>
  <c r="CS105" i="9"/>
  <c r="CS104" i="9"/>
  <c r="CS101" i="9"/>
  <c r="CS100" i="9"/>
  <c r="CS99" i="9"/>
  <c r="CS98" i="9"/>
  <c r="CS95" i="9"/>
  <c r="CS94" i="9"/>
  <c r="CS93" i="9"/>
  <c r="CS92" i="9"/>
  <c r="CS91" i="9"/>
  <c r="CS90" i="9"/>
  <c r="CS89" i="9"/>
  <c r="CS88" i="9"/>
  <c r="CS85" i="9"/>
  <c r="CS84" i="9"/>
  <c r="CS83" i="9"/>
  <c r="CS82" i="9"/>
  <c r="CS81" i="9"/>
  <c r="CS80" i="9"/>
  <c r="CS79" i="9"/>
  <c r="CS78" i="9"/>
  <c r="CS77" i="9"/>
  <c r="CS76" i="9"/>
  <c r="CS75" i="9"/>
  <c r="CS74" i="9"/>
  <c r="CS73" i="9"/>
  <c r="CS72" i="9"/>
  <c r="CS71" i="9"/>
  <c r="CS70" i="9"/>
  <c r="CS67" i="9"/>
  <c r="CS66" i="9"/>
  <c r="CS65" i="9"/>
  <c r="CS64" i="9"/>
  <c r="CS63" i="9"/>
  <c r="CS62" i="9"/>
  <c r="CS61" i="9"/>
  <c r="CS60" i="9"/>
  <c r="CS59" i="9"/>
  <c r="CS58" i="9"/>
  <c r="CS57" i="9"/>
  <c r="CS56" i="9"/>
  <c r="CS55" i="9"/>
  <c r="CS54" i="9"/>
  <c r="CS53" i="9"/>
  <c r="CS52" i="9"/>
  <c r="CS51" i="9"/>
  <c r="CS50" i="9"/>
  <c r="CS49" i="9"/>
  <c r="CS48" i="9"/>
  <c r="CS47" i="9"/>
  <c r="CS46" i="9"/>
  <c r="CS45" i="9"/>
  <c r="CS44" i="9"/>
  <c r="CS41" i="9"/>
  <c r="CS40" i="9"/>
  <c r="CS39" i="9"/>
  <c r="CS38" i="9"/>
  <c r="CS37" i="9"/>
  <c r="CS36" i="9"/>
  <c r="CS35" i="9"/>
  <c r="CS34" i="9"/>
  <c r="CS33" i="9"/>
  <c r="CS32" i="9"/>
  <c r="CS31" i="9"/>
  <c r="CS30" i="9"/>
  <c r="CS29" i="9"/>
  <c r="CS28" i="9"/>
  <c r="CS27" i="9"/>
  <c r="CS26" i="9"/>
  <c r="CS25" i="9"/>
  <c r="CS24" i="9"/>
  <c r="CS23" i="9"/>
  <c r="CS22" i="9"/>
  <c r="CS21" i="9"/>
  <c r="CS20" i="9"/>
  <c r="CS19" i="9"/>
  <c r="CS18" i="9"/>
  <c r="CS17" i="9"/>
  <c r="CS16" i="9"/>
  <c r="CS15" i="9"/>
  <c r="CS14" i="9"/>
  <c r="CS13" i="9"/>
  <c r="CS12" i="9"/>
  <c r="CS11" i="9"/>
  <c r="CS10" i="9"/>
  <c r="CS9" i="9"/>
  <c r="CS8" i="9"/>
  <c r="CS7" i="9"/>
  <c r="CS6" i="9"/>
  <c r="CQ111" i="9"/>
  <c r="CQ110" i="9"/>
  <c r="CQ108" i="9"/>
  <c r="CQ105" i="9"/>
  <c r="CQ104" i="9"/>
  <c r="CQ101" i="9"/>
  <c r="CQ100" i="9"/>
  <c r="CQ99" i="9"/>
  <c r="CQ98" i="9"/>
  <c r="CQ95" i="9"/>
  <c r="CQ94" i="9"/>
  <c r="CQ93" i="9"/>
  <c r="CQ92" i="9"/>
  <c r="CQ91" i="9"/>
  <c r="CQ90" i="9"/>
  <c r="CQ89" i="9"/>
  <c r="CQ88" i="9"/>
  <c r="CQ85" i="9"/>
  <c r="CQ84" i="9"/>
  <c r="CQ83" i="9"/>
  <c r="CQ82" i="9"/>
  <c r="CQ81" i="9"/>
  <c r="CQ80" i="9"/>
  <c r="CQ79" i="9"/>
  <c r="CQ78" i="9"/>
  <c r="CQ77" i="9"/>
  <c r="CQ76" i="9"/>
  <c r="CQ75" i="9"/>
  <c r="CQ74" i="9"/>
  <c r="CQ73" i="9"/>
  <c r="CQ72" i="9"/>
  <c r="CQ71" i="9"/>
  <c r="CQ70" i="9"/>
  <c r="CQ67" i="9"/>
  <c r="CQ66" i="9"/>
  <c r="CQ65" i="9"/>
  <c r="CQ64" i="9"/>
  <c r="CQ63" i="9"/>
  <c r="CQ62" i="9"/>
  <c r="CQ61" i="9"/>
  <c r="CQ60" i="9"/>
  <c r="CQ59" i="9"/>
  <c r="CQ58" i="9"/>
  <c r="CQ57" i="9"/>
  <c r="CQ56" i="9"/>
  <c r="CQ55" i="9"/>
  <c r="CQ54" i="9"/>
  <c r="CQ53" i="9"/>
  <c r="CQ52" i="9"/>
  <c r="CQ51" i="9"/>
  <c r="CQ50" i="9"/>
  <c r="CQ49" i="9"/>
  <c r="CQ48" i="9"/>
  <c r="CQ47" i="9"/>
  <c r="CQ46" i="9"/>
  <c r="CQ45" i="9"/>
  <c r="CQ44" i="9"/>
  <c r="CQ41" i="9"/>
  <c r="CQ40" i="9"/>
  <c r="CQ39" i="9"/>
  <c r="CQ38" i="9"/>
  <c r="CQ37" i="9"/>
  <c r="CQ36" i="9"/>
  <c r="CQ35" i="9"/>
  <c r="CQ34" i="9"/>
  <c r="CQ33" i="9"/>
  <c r="CQ32" i="9"/>
  <c r="CQ31" i="9"/>
  <c r="CQ30" i="9"/>
  <c r="CQ29" i="9"/>
  <c r="CQ28" i="9"/>
  <c r="CQ27" i="9"/>
  <c r="CQ26" i="9"/>
  <c r="CQ25" i="9"/>
  <c r="CQ24" i="9"/>
  <c r="CQ23" i="9"/>
  <c r="CQ22" i="9"/>
  <c r="CQ21" i="9"/>
  <c r="CQ20" i="9"/>
  <c r="CQ19" i="9"/>
  <c r="CQ18" i="9"/>
  <c r="CQ17" i="9"/>
  <c r="CQ16" i="9"/>
  <c r="CQ15" i="9"/>
  <c r="CQ14" i="9"/>
  <c r="CQ13" i="9"/>
  <c r="CQ12" i="9"/>
  <c r="CQ11" i="9"/>
  <c r="CQ10" i="9"/>
  <c r="CQ9" i="9"/>
  <c r="CQ8" i="9"/>
  <c r="CQ7" i="9"/>
  <c r="CQ6" i="9"/>
  <c r="CO111" i="9"/>
  <c r="CO110" i="9"/>
  <c r="CO108" i="9"/>
  <c r="CO105" i="9"/>
  <c r="CO104" i="9"/>
  <c r="CO101" i="9"/>
  <c r="CO100" i="9"/>
  <c r="CO99" i="9"/>
  <c r="CO98" i="9"/>
  <c r="CO95" i="9"/>
  <c r="CO94" i="9"/>
  <c r="CO93" i="9"/>
  <c r="CO92" i="9"/>
  <c r="CO91" i="9"/>
  <c r="CO90" i="9"/>
  <c r="CO89" i="9"/>
  <c r="CO88" i="9"/>
  <c r="CO85" i="9"/>
  <c r="CO84" i="9"/>
  <c r="CO83" i="9"/>
  <c r="CO82" i="9"/>
  <c r="CO81" i="9"/>
  <c r="CO80" i="9"/>
  <c r="CO79" i="9"/>
  <c r="CO78" i="9"/>
  <c r="CO77" i="9"/>
  <c r="CO76" i="9"/>
  <c r="CO75" i="9"/>
  <c r="CO74" i="9"/>
  <c r="CO73" i="9"/>
  <c r="CO72" i="9"/>
  <c r="CO71" i="9"/>
  <c r="CO70" i="9"/>
  <c r="CO67" i="9"/>
  <c r="CO66" i="9"/>
  <c r="CO65" i="9"/>
  <c r="CO64" i="9"/>
  <c r="CO63" i="9"/>
  <c r="CO62" i="9"/>
  <c r="CO61" i="9"/>
  <c r="CO60" i="9"/>
  <c r="CO59" i="9"/>
  <c r="CO58" i="9"/>
  <c r="CO57" i="9"/>
  <c r="CO56" i="9"/>
  <c r="CO55" i="9"/>
  <c r="CO54" i="9"/>
  <c r="CO53" i="9"/>
  <c r="CO52" i="9"/>
  <c r="CO51" i="9"/>
  <c r="CO50" i="9"/>
  <c r="CO49" i="9"/>
  <c r="CO48" i="9"/>
  <c r="CO47" i="9"/>
  <c r="CO46" i="9"/>
  <c r="CO45" i="9"/>
  <c r="CO44" i="9"/>
  <c r="CO41" i="9"/>
  <c r="CO40" i="9"/>
  <c r="CO39" i="9"/>
  <c r="CO38" i="9"/>
  <c r="CO37" i="9"/>
  <c r="CO36" i="9"/>
  <c r="CO35" i="9"/>
  <c r="CO34" i="9"/>
  <c r="CO33" i="9"/>
  <c r="CO32" i="9"/>
  <c r="CO31" i="9"/>
  <c r="CO30" i="9"/>
  <c r="CO29" i="9"/>
  <c r="CO28" i="9"/>
  <c r="CO27" i="9"/>
  <c r="CO26" i="9"/>
  <c r="CO25" i="9"/>
  <c r="CO24" i="9"/>
  <c r="CO23" i="9"/>
  <c r="CO22" i="9"/>
  <c r="CO21" i="9"/>
  <c r="CO20" i="9"/>
  <c r="CO19" i="9"/>
  <c r="CO18" i="9"/>
  <c r="CO17" i="9"/>
  <c r="CO16" i="9"/>
  <c r="CO15" i="9"/>
  <c r="CO14" i="9"/>
  <c r="CO13" i="9"/>
  <c r="CO12" i="9"/>
  <c r="CO11" i="9"/>
  <c r="CO10" i="9"/>
  <c r="CO9" i="9"/>
  <c r="CO8" i="9"/>
  <c r="CO7" i="9"/>
  <c r="CO6" i="9"/>
  <c r="CM111" i="9"/>
  <c r="CM110" i="9"/>
  <c r="CM108" i="9"/>
  <c r="CM105" i="9"/>
  <c r="CM104" i="9"/>
  <c r="CM101" i="9"/>
  <c r="CM100" i="9"/>
  <c r="CM99" i="9"/>
  <c r="CM98" i="9"/>
  <c r="CM95" i="9"/>
  <c r="CM94" i="9"/>
  <c r="CM93" i="9"/>
  <c r="CM92" i="9"/>
  <c r="CM91" i="9"/>
  <c r="CM90" i="9"/>
  <c r="CM89" i="9"/>
  <c r="CM88" i="9"/>
  <c r="CM85" i="9"/>
  <c r="CM84" i="9"/>
  <c r="CM83" i="9"/>
  <c r="CM82" i="9"/>
  <c r="CM81" i="9"/>
  <c r="CM80" i="9"/>
  <c r="CM79" i="9"/>
  <c r="CM78" i="9"/>
  <c r="CM77" i="9"/>
  <c r="CM76" i="9"/>
  <c r="CM75" i="9"/>
  <c r="CM74" i="9"/>
  <c r="CM73" i="9"/>
  <c r="CM72" i="9"/>
  <c r="CM71" i="9"/>
  <c r="CM70" i="9"/>
  <c r="CM67" i="9"/>
  <c r="CM66" i="9"/>
  <c r="CM65" i="9"/>
  <c r="CM64" i="9"/>
  <c r="CM63" i="9"/>
  <c r="CM62" i="9"/>
  <c r="CM61" i="9"/>
  <c r="CM60" i="9"/>
  <c r="CM59" i="9"/>
  <c r="CM58" i="9"/>
  <c r="CM57" i="9"/>
  <c r="CM56" i="9"/>
  <c r="CM55" i="9"/>
  <c r="CM54" i="9"/>
  <c r="CM53" i="9"/>
  <c r="CM52" i="9"/>
  <c r="CM51" i="9"/>
  <c r="CM50" i="9"/>
  <c r="CM49" i="9"/>
  <c r="CM48" i="9"/>
  <c r="CM47" i="9"/>
  <c r="CM46" i="9"/>
  <c r="CM45" i="9"/>
  <c r="CM44" i="9"/>
  <c r="CM41" i="9"/>
  <c r="CM40" i="9"/>
  <c r="CM39" i="9"/>
  <c r="CM38" i="9"/>
  <c r="CM37" i="9"/>
  <c r="CM36" i="9"/>
  <c r="CM35" i="9"/>
  <c r="CM34" i="9"/>
  <c r="CM33" i="9"/>
  <c r="CM32" i="9"/>
  <c r="CM31" i="9"/>
  <c r="CM30" i="9"/>
  <c r="CM29" i="9"/>
  <c r="CM28" i="9"/>
  <c r="CM27" i="9"/>
  <c r="CM26" i="9"/>
  <c r="CM25" i="9"/>
  <c r="CM24" i="9"/>
  <c r="CM23" i="9"/>
  <c r="CM22" i="9"/>
  <c r="CM21" i="9"/>
  <c r="CM20" i="9"/>
  <c r="CM19" i="9"/>
  <c r="CM18" i="9"/>
  <c r="CM17" i="9"/>
  <c r="CM16" i="9"/>
  <c r="CM15" i="9"/>
  <c r="CM14" i="9"/>
  <c r="CM13" i="9"/>
  <c r="CM12" i="9"/>
  <c r="CM11" i="9"/>
  <c r="CM10" i="9"/>
  <c r="CM9" i="9"/>
  <c r="CM8" i="9"/>
  <c r="CM7" i="9"/>
  <c r="CM6" i="9"/>
  <c r="CK111" i="9"/>
  <c r="CK110" i="9"/>
  <c r="CK108" i="9"/>
  <c r="CK105" i="9"/>
  <c r="CK104" i="9"/>
  <c r="CK101" i="9"/>
  <c r="CK100" i="9"/>
  <c r="CK99" i="9"/>
  <c r="CK98" i="9"/>
  <c r="CK95" i="9"/>
  <c r="CK94" i="9"/>
  <c r="CK93" i="9"/>
  <c r="CK92" i="9"/>
  <c r="CK91" i="9"/>
  <c r="CK90" i="9"/>
  <c r="CK89" i="9"/>
  <c r="CK88" i="9"/>
  <c r="CK85" i="9"/>
  <c r="CK84" i="9"/>
  <c r="CK83" i="9"/>
  <c r="CK82" i="9"/>
  <c r="CK81" i="9"/>
  <c r="CK80" i="9"/>
  <c r="CK79" i="9"/>
  <c r="CK78" i="9"/>
  <c r="CK77" i="9"/>
  <c r="CK76" i="9"/>
  <c r="CK75" i="9"/>
  <c r="CK74" i="9"/>
  <c r="CK73" i="9"/>
  <c r="CK72" i="9"/>
  <c r="CK71" i="9"/>
  <c r="CK70" i="9"/>
  <c r="CK67" i="9"/>
  <c r="CK66" i="9"/>
  <c r="CK65" i="9"/>
  <c r="CK64" i="9"/>
  <c r="CK63" i="9"/>
  <c r="CK62" i="9"/>
  <c r="CK61" i="9"/>
  <c r="CK60" i="9"/>
  <c r="CK59" i="9"/>
  <c r="CK58" i="9"/>
  <c r="CK57" i="9"/>
  <c r="CK56" i="9"/>
  <c r="CK55" i="9"/>
  <c r="CK54" i="9"/>
  <c r="CK53" i="9"/>
  <c r="CK52" i="9"/>
  <c r="CK51" i="9"/>
  <c r="CK50" i="9"/>
  <c r="CK49" i="9"/>
  <c r="CK48" i="9"/>
  <c r="CK47" i="9"/>
  <c r="CK46" i="9"/>
  <c r="CK45" i="9"/>
  <c r="CK44" i="9"/>
  <c r="CK41" i="9"/>
  <c r="CK40" i="9"/>
  <c r="CK39" i="9"/>
  <c r="CK38" i="9"/>
  <c r="CK37" i="9"/>
  <c r="CK36" i="9"/>
  <c r="CK35" i="9"/>
  <c r="CK34" i="9"/>
  <c r="CK33" i="9"/>
  <c r="CK32" i="9"/>
  <c r="CK31" i="9"/>
  <c r="CK30" i="9"/>
  <c r="CK29" i="9"/>
  <c r="CK28" i="9"/>
  <c r="CK27" i="9"/>
  <c r="CK26" i="9"/>
  <c r="CK25" i="9"/>
  <c r="CK24" i="9"/>
  <c r="CK23" i="9"/>
  <c r="CK22" i="9"/>
  <c r="CK21" i="9"/>
  <c r="CK20" i="9"/>
  <c r="CK19" i="9"/>
  <c r="CK18" i="9"/>
  <c r="CK17" i="9"/>
  <c r="CK16" i="9"/>
  <c r="CK15" i="9"/>
  <c r="CK14" i="9"/>
  <c r="CK13" i="9"/>
  <c r="CK12" i="9"/>
  <c r="CK11" i="9"/>
  <c r="CK10" i="9"/>
  <c r="CK9" i="9"/>
  <c r="CK8" i="9"/>
  <c r="CK7" i="9"/>
  <c r="CK6" i="9"/>
  <c r="CI111" i="9"/>
  <c r="CI110" i="9"/>
  <c r="CI108" i="9"/>
  <c r="CI105" i="9"/>
  <c r="CI104" i="9"/>
  <c r="CI101" i="9"/>
  <c r="CI100" i="9"/>
  <c r="CI99" i="9"/>
  <c r="CI98" i="9"/>
  <c r="CI95" i="9"/>
  <c r="CI94" i="9"/>
  <c r="CI93" i="9"/>
  <c r="CI92" i="9"/>
  <c r="CI91" i="9"/>
  <c r="CI90" i="9"/>
  <c r="CI89" i="9"/>
  <c r="CI88" i="9"/>
  <c r="CI85" i="9"/>
  <c r="CI84" i="9"/>
  <c r="CI83" i="9"/>
  <c r="CI82" i="9"/>
  <c r="CI81" i="9"/>
  <c r="CI80" i="9"/>
  <c r="CI79" i="9"/>
  <c r="CI78" i="9"/>
  <c r="CI77" i="9"/>
  <c r="CI76" i="9"/>
  <c r="CI75" i="9"/>
  <c r="CI74" i="9"/>
  <c r="CI73" i="9"/>
  <c r="CI72" i="9"/>
  <c r="CI71" i="9"/>
  <c r="CI70" i="9"/>
  <c r="CI67" i="9"/>
  <c r="CI66" i="9"/>
  <c r="CI65" i="9"/>
  <c r="CI64" i="9"/>
  <c r="CI63" i="9"/>
  <c r="CI62" i="9"/>
  <c r="CI61" i="9"/>
  <c r="CI60" i="9"/>
  <c r="CI59" i="9"/>
  <c r="CI58" i="9"/>
  <c r="CI57" i="9"/>
  <c r="CI56" i="9"/>
  <c r="CI55" i="9"/>
  <c r="CI54" i="9"/>
  <c r="CI53" i="9"/>
  <c r="CI52" i="9"/>
  <c r="CI51" i="9"/>
  <c r="CI50" i="9"/>
  <c r="CI49" i="9"/>
  <c r="CI48" i="9"/>
  <c r="CI47" i="9"/>
  <c r="CI46" i="9"/>
  <c r="CI45" i="9"/>
  <c r="CI44" i="9"/>
  <c r="CI41" i="9"/>
  <c r="CI40" i="9"/>
  <c r="CI39" i="9"/>
  <c r="CI38" i="9"/>
  <c r="CI37" i="9"/>
  <c r="CI36" i="9"/>
  <c r="CI35" i="9"/>
  <c r="CI34" i="9"/>
  <c r="CI33" i="9"/>
  <c r="CI32" i="9"/>
  <c r="CI31" i="9"/>
  <c r="CI30" i="9"/>
  <c r="CI29" i="9"/>
  <c r="CI28" i="9"/>
  <c r="CI27" i="9"/>
  <c r="CI26" i="9"/>
  <c r="CI25" i="9"/>
  <c r="CI24" i="9"/>
  <c r="CI23" i="9"/>
  <c r="CI22" i="9"/>
  <c r="CI21" i="9"/>
  <c r="CI20" i="9"/>
  <c r="CI19" i="9"/>
  <c r="CI18" i="9"/>
  <c r="CI17" i="9"/>
  <c r="CI16" i="9"/>
  <c r="CI15" i="9"/>
  <c r="CI14" i="9"/>
  <c r="CI13" i="9"/>
  <c r="CI12" i="9"/>
  <c r="CI11" i="9"/>
  <c r="CI10" i="9"/>
  <c r="CI9" i="9"/>
  <c r="CI8" i="9"/>
  <c r="CI7" i="9"/>
  <c r="CI6" i="9"/>
  <c r="CG111" i="9"/>
  <c r="CG110" i="9"/>
  <c r="CG108" i="9"/>
  <c r="CG105" i="9"/>
  <c r="CG104" i="9"/>
  <c r="CG101" i="9"/>
  <c r="CG100" i="9"/>
  <c r="CG99" i="9"/>
  <c r="CG98" i="9"/>
  <c r="CG95" i="9"/>
  <c r="CG94" i="9"/>
  <c r="CG93" i="9"/>
  <c r="CG92" i="9"/>
  <c r="CG91" i="9"/>
  <c r="CG90" i="9"/>
  <c r="CG89" i="9"/>
  <c r="CG88" i="9"/>
  <c r="CG85" i="9"/>
  <c r="CG84" i="9"/>
  <c r="CG83" i="9"/>
  <c r="CG82" i="9"/>
  <c r="CG81" i="9"/>
  <c r="CG80" i="9"/>
  <c r="CG79" i="9"/>
  <c r="CG78" i="9"/>
  <c r="CG77" i="9"/>
  <c r="CG76" i="9"/>
  <c r="CG75" i="9"/>
  <c r="CG74" i="9"/>
  <c r="CG73" i="9"/>
  <c r="CG72" i="9"/>
  <c r="CG71" i="9"/>
  <c r="CG70" i="9"/>
  <c r="CG67" i="9"/>
  <c r="CG66" i="9"/>
  <c r="CG65" i="9"/>
  <c r="CG64" i="9"/>
  <c r="CG63" i="9"/>
  <c r="CG62" i="9"/>
  <c r="CG61" i="9"/>
  <c r="CG60" i="9"/>
  <c r="CG59" i="9"/>
  <c r="CG58" i="9"/>
  <c r="CG57" i="9"/>
  <c r="CG56" i="9"/>
  <c r="CG55" i="9"/>
  <c r="CG54" i="9"/>
  <c r="CG53" i="9"/>
  <c r="CG52" i="9"/>
  <c r="CG51" i="9"/>
  <c r="CG50" i="9"/>
  <c r="CG49" i="9"/>
  <c r="CG48" i="9"/>
  <c r="CG47" i="9"/>
  <c r="CG46" i="9"/>
  <c r="CG45" i="9"/>
  <c r="CG44" i="9"/>
  <c r="CG41" i="9"/>
  <c r="CG40" i="9"/>
  <c r="CG39" i="9"/>
  <c r="CG38" i="9"/>
  <c r="CG37" i="9"/>
  <c r="CG36" i="9"/>
  <c r="CG35" i="9"/>
  <c r="CG34" i="9"/>
  <c r="CG33" i="9"/>
  <c r="CG32" i="9"/>
  <c r="CG31" i="9"/>
  <c r="CG30" i="9"/>
  <c r="CG29" i="9"/>
  <c r="CG28" i="9"/>
  <c r="CG27" i="9"/>
  <c r="CG26" i="9"/>
  <c r="CG25" i="9"/>
  <c r="CG24" i="9"/>
  <c r="CG23" i="9"/>
  <c r="CG22" i="9"/>
  <c r="CG21" i="9"/>
  <c r="CG20" i="9"/>
  <c r="CG19" i="9"/>
  <c r="CG18" i="9"/>
  <c r="CG17" i="9"/>
  <c r="CG16" i="9"/>
  <c r="CG15" i="9"/>
  <c r="CG14" i="9"/>
  <c r="CG13" i="9"/>
  <c r="CG12" i="9"/>
  <c r="CG11" i="9"/>
  <c r="CG10" i="9"/>
  <c r="CG9" i="9"/>
  <c r="CG8" i="9"/>
  <c r="CG7" i="9"/>
  <c r="CG6" i="9"/>
  <c r="CE111" i="9"/>
  <c r="CE110" i="9"/>
  <c r="CE108" i="9"/>
  <c r="CE105" i="9"/>
  <c r="CE104" i="9"/>
  <c r="CE101" i="9"/>
  <c r="CE100" i="9"/>
  <c r="CE99" i="9"/>
  <c r="CE98" i="9"/>
  <c r="CE95" i="9"/>
  <c r="CE94" i="9"/>
  <c r="CE93" i="9"/>
  <c r="CE92" i="9"/>
  <c r="CE91" i="9"/>
  <c r="CE90" i="9"/>
  <c r="CE89" i="9"/>
  <c r="CE88" i="9"/>
  <c r="CE85" i="9"/>
  <c r="CE84" i="9"/>
  <c r="CE83" i="9"/>
  <c r="CE82" i="9"/>
  <c r="CE81" i="9"/>
  <c r="CE80" i="9"/>
  <c r="CE79" i="9"/>
  <c r="CE78" i="9"/>
  <c r="CE77" i="9"/>
  <c r="CE76" i="9"/>
  <c r="CE75" i="9"/>
  <c r="CE74" i="9"/>
  <c r="CE73" i="9"/>
  <c r="CE72" i="9"/>
  <c r="CE71" i="9"/>
  <c r="CE70" i="9"/>
  <c r="CE67" i="9"/>
  <c r="CE66" i="9"/>
  <c r="CE65" i="9"/>
  <c r="CE64" i="9"/>
  <c r="CE63" i="9"/>
  <c r="CE62" i="9"/>
  <c r="CE61" i="9"/>
  <c r="CE60" i="9"/>
  <c r="CE59" i="9"/>
  <c r="CE58" i="9"/>
  <c r="CE57" i="9"/>
  <c r="CE56" i="9"/>
  <c r="CE55" i="9"/>
  <c r="CE54" i="9"/>
  <c r="CE53" i="9"/>
  <c r="CE52" i="9"/>
  <c r="CE51" i="9"/>
  <c r="CE50" i="9"/>
  <c r="CE49" i="9"/>
  <c r="CE48" i="9"/>
  <c r="CE47" i="9"/>
  <c r="CE46" i="9"/>
  <c r="CE45" i="9"/>
  <c r="CE44" i="9"/>
  <c r="CE41" i="9"/>
  <c r="CE40" i="9"/>
  <c r="CE39" i="9"/>
  <c r="CE38" i="9"/>
  <c r="CE37" i="9"/>
  <c r="CE36" i="9"/>
  <c r="CE35" i="9"/>
  <c r="CE34" i="9"/>
  <c r="CE33" i="9"/>
  <c r="CE32" i="9"/>
  <c r="CE31" i="9"/>
  <c r="CE30" i="9"/>
  <c r="CE29" i="9"/>
  <c r="CE28" i="9"/>
  <c r="CE27" i="9"/>
  <c r="CE26" i="9"/>
  <c r="CE25" i="9"/>
  <c r="CE24" i="9"/>
  <c r="CE23" i="9"/>
  <c r="CE22" i="9"/>
  <c r="CE21" i="9"/>
  <c r="CE20" i="9"/>
  <c r="CE19" i="9"/>
  <c r="CE18" i="9"/>
  <c r="CE17" i="9"/>
  <c r="CE16" i="9"/>
  <c r="CE15" i="9"/>
  <c r="CE14" i="9"/>
  <c r="CE13" i="9"/>
  <c r="CE12" i="9"/>
  <c r="CE11" i="9"/>
  <c r="CE10" i="9"/>
  <c r="CE9" i="9"/>
  <c r="CE8" i="9"/>
  <c r="CE7" i="9"/>
  <c r="CE6" i="9"/>
  <c r="CC111" i="9"/>
  <c r="CC110" i="9"/>
  <c r="CC108" i="9"/>
  <c r="CC105" i="9"/>
  <c r="CC104" i="9"/>
  <c r="CC101" i="9"/>
  <c r="CC100" i="9"/>
  <c r="CC99" i="9"/>
  <c r="CC98" i="9"/>
  <c r="CC95" i="9"/>
  <c r="CC94" i="9"/>
  <c r="CC93" i="9"/>
  <c r="CC92" i="9"/>
  <c r="CC91" i="9"/>
  <c r="CC90" i="9"/>
  <c r="CC89" i="9"/>
  <c r="CC88" i="9"/>
  <c r="CC85" i="9"/>
  <c r="CC84" i="9"/>
  <c r="CC83" i="9"/>
  <c r="CC82" i="9"/>
  <c r="CC81" i="9"/>
  <c r="CC80" i="9"/>
  <c r="CC79" i="9"/>
  <c r="CC78" i="9"/>
  <c r="CC77" i="9"/>
  <c r="CC76" i="9"/>
  <c r="CC75" i="9"/>
  <c r="CC74" i="9"/>
  <c r="CC73" i="9"/>
  <c r="CC72" i="9"/>
  <c r="CC71" i="9"/>
  <c r="CC70" i="9"/>
  <c r="CC67" i="9"/>
  <c r="CC66" i="9"/>
  <c r="CC65" i="9"/>
  <c r="CC64" i="9"/>
  <c r="CC63" i="9"/>
  <c r="CC62" i="9"/>
  <c r="CC61" i="9"/>
  <c r="CC60" i="9"/>
  <c r="CC59" i="9"/>
  <c r="CC58" i="9"/>
  <c r="CC57" i="9"/>
  <c r="CC56" i="9"/>
  <c r="CC55" i="9"/>
  <c r="CC54" i="9"/>
  <c r="CC53" i="9"/>
  <c r="CC52" i="9"/>
  <c r="CC51" i="9"/>
  <c r="CC50" i="9"/>
  <c r="CC49" i="9"/>
  <c r="CC48" i="9"/>
  <c r="CC47" i="9"/>
  <c r="CC46" i="9"/>
  <c r="CC45" i="9"/>
  <c r="CC44" i="9"/>
  <c r="CC41" i="9"/>
  <c r="CC40" i="9"/>
  <c r="CC39" i="9"/>
  <c r="CC38" i="9"/>
  <c r="CC37" i="9"/>
  <c r="CC36" i="9"/>
  <c r="CC35" i="9"/>
  <c r="CC34" i="9"/>
  <c r="CC33" i="9"/>
  <c r="CC32" i="9"/>
  <c r="CC31" i="9"/>
  <c r="CC30" i="9"/>
  <c r="CC29" i="9"/>
  <c r="CC28" i="9"/>
  <c r="CC27" i="9"/>
  <c r="CC26" i="9"/>
  <c r="CC25" i="9"/>
  <c r="CC24" i="9"/>
  <c r="CC23" i="9"/>
  <c r="CC22" i="9"/>
  <c r="CC21" i="9"/>
  <c r="CC20" i="9"/>
  <c r="CC19" i="9"/>
  <c r="CC18" i="9"/>
  <c r="CC17" i="9"/>
  <c r="CC16" i="9"/>
  <c r="CC15" i="9"/>
  <c r="CC14" i="9"/>
  <c r="CC13" i="9"/>
  <c r="CC12" i="9"/>
  <c r="CC11" i="9"/>
  <c r="CC10" i="9"/>
  <c r="CC9" i="9"/>
  <c r="CC8" i="9"/>
  <c r="CC7" i="9"/>
  <c r="CC6" i="9"/>
  <c r="CA111" i="9"/>
  <c r="CA110" i="9"/>
  <c r="CA108" i="9"/>
  <c r="CA105" i="9"/>
  <c r="CA104" i="9"/>
  <c r="CA101" i="9"/>
  <c r="CA100" i="9"/>
  <c r="CA99" i="9"/>
  <c r="CA98" i="9"/>
  <c r="CA95" i="9"/>
  <c r="CA94" i="9"/>
  <c r="CA93" i="9"/>
  <c r="CA92" i="9"/>
  <c r="CA91" i="9"/>
  <c r="CA90" i="9"/>
  <c r="CA89" i="9"/>
  <c r="CA88" i="9"/>
  <c r="CA85" i="9"/>
  <c r="CA84" i="9"/>
  <c r="CA83" i="9"/>
  <c r="CA82" i="9"/>
  <c r="CA81" i="9"/>
  <c r="CA80" i="9"/>
  <c r="CA79" i="9"/>
  <c r="CA78" i="9"/>
  <c r="CA77" i="9"/>
  <c r="CA76" i="9"/>
  <c r="CA75" i="9"/>
  <c r="CA74" i="9"/>
  <c r="CA73" i="9"/>
  <c r="CA72" i="9"/>
  <c r="CA71" i="9"/>
  <c r="CA70" i="9"/>
  <c r="CA67" i="9"/>
  <c r="CA66" i="9"/>
  <c r="CA65" i="9"/>
  <c r="CA64" i="9"/>
  <c r="CA63" i="9"/>
  <c r="CA62" i="9"/>
  <c r="CA61" i="9"/>
  <c r="CA60" i="9"/>
  <c r="CA59" i="9"/>
  <c r="CA58" i="9"/>
  <c r="CA57" i="9"/>
  <c r="CA56" i="9"/>
  <c r="CA55" i="9"/>
  <c r="CA54" i="9"/>
  <c r="CA53" i="9"/>
  <c r="CA52" i="9"/>
  <c r="CA51" i="9"/>
  <c r="CA50" i="9"/>
  <c r="CA49" i="9"/>
  <c r="CA48" i="9"/>
  <c r="CA47" i="9"/>
  <c r="CA46" i="9"/>
  <c r="CA45" i="9"/>
  <c r="CA44" i="9"/>
  <c r="CA41" i="9"/>
  <c r="CA40" i="9"/>
  <c r="CA39" i="9"/>
  <c r="CA38" i="9"/>
  <c r="CA37" i="9"/>
  <c r="CA36" i="9"/>
  <c r="CA35" i="9"/>
  <c r="CA34" i="9"/>
  <c r="CA33" i="9"/>
  <c r="CA32" i="9"/>
  <c r="CA31" i="9"/>
  <c r="CA30" i="9"/>
  <c r="CA29" i="9"/>
  <c r="CA28" i="9"/>
  <c r="CA27" i="9"/>
  <c r="CA26" i="9"/>
  <c r="CA25" i="9"/>
  <c r="CA24" i="9"/>
  <c r="CA23" i="9"/>
  <c r="CA22" i="9"/>
  <c r="CA21" i="9"/>
  <c r="CA20" i="9"/>
  <c r="CA19" i="9"/>
  <c r="CA18" i="9"/>
  <c r="CA17" i="9"/>
  <c r="CA16" i="9"/>
  <c r="CA15" i="9"/>
  <c r="CA14" i="9"/>
  <c r="CA13" i="9"/>
  <c r="CA12" i="9"/>
  <c r="CA11" i="9"/>
  <c r="CA10" i="9"/>
  <c r="CA9" i="9"/>
  <c r="CA8" i="9"/>
  <c r="CA7" i="9"/>
  <c r="CA6" i="9"/>
  <c r="BY111" i="9"/>
  <c r="BY110" i="9"/>
  <c r="BY108" i="9"/>
  <c r="BY105" i="9"/>
  <c r="BY104" i="9"/>
  <c r="BY101" i="9"/>
  <c r="BY100" i="9"/>
  <c r="BY99" i="9"/>
  <c r="BY98" i="9"/>
  <c r="BY95" i="9"/>
  <c r="BY94" i="9"/>
  <c r="BY93" i="9"/>
  <c r="BY92" i="9"/>
  <c r="BY91" i="9"/>
  <c r="BY90" i="9"/>
  <c r="BY89" i="9"/>
  <c r="BY88" i="9"/>
  <c r="BY85" i="9"/>
  <c r="BY84" i="9"/>
  <c r="BY83" i="9"/>
  <c r="BY82" i="9"/>
  <c r="BY81" i="9"/>
  <c r="BY80" i="9"/>
  <c r="BY79" i="9"/>
  <c r="BY78" i="9"/>
  <c r="BY77" i="9"/>
  <c r="BY76" i="9"/>
  <c r="BY75" i="9"/>
  <c r="BY74" i="9"/>
  <c r="BY73" i="9"/>
  <c r="BY72" i="9"/>
  <c r="BY71" i="9"/>
  <c r="BY70" i="9"/>
  <c r="BY67" i="9"/>
  <c r="BY66" i="9"/>
  <c r="BY65" i="9"/>
  <c r="BY64" i="9"/>
  <c r="BY63" i="9"/>
  <c r="BY62" i="9"/>
  <c r="BY61" i="9"/>
  <c r="BY60" i="9"/>
  <c r="BY59" i="9"/>
  <c r="BY58" i="9"/>
  <c r="BY57" i="9"/>
  <c r="BY56" i="9"/>
  <c r="BY55" i="9"/>
  <c r="BY54" i="9"/>
  <c r="BY53" i="9"/>
  <c r="BY52" i="9"/>
  <c r="BY51" i="9"/>
  <c r="BY50" i="9"/>
  <c r="BY49" i="9"/>
  <c r="BY48" i="9"/>
  <c r="BY47" i="9"/>
  <c r="BY46" i="9"/>
  <c r="BY45" i="9"/>
  <c r="BY44" i="9"/>
  <c r="BY41" i="9"/>
  <c r="BY40" i="9"/>
  <c r="BY39" i="9"/>
  <c r="BY38" i="9"/>
  <c r="BY37" i="9"/>
  <c r="BY36" i="9"/>
  <c r="BY35" i="9"/>
  <c r="BY34" i="9"/>
  <c r="BY33" i="9"/>
  <c r="BY32" i="9"/>
  <c r="BY31" i="9"/>
  <c r="BY30" i="9"/>
  <c r="BY29" i="9"/>
  <c r="BY28" i="9"/>
  <c r="BY27" i="9"/>
  <c r="BY26" i="9"/>
  <c r="BY25" i="9"/>
  <c r="BY24" i="9"/>
  <c r="BY23" i="9"/>
  <c r="BY22" i="9"/>
  <c r="BY21" i="9"/>
  <c r="BY20" i="9"/>
  <c r="BY19" i="9"/>
  <c r="BY18" i="9"/>
  <c r="BY17" i="9"/>
  <c r="BY16" i="9"/>
  <c r="BY15" i="9"/>
  <c r="BY14" i="9"/>
  <c r="BY13" i="9"/>
  <c r="BY12" i="9"/>
  <c r="BY11" i="9"/>
  <c r="BY10" i="9"/>
  <c r="BY9" i="9"/>
  <c r="BY8" i="9"/>
  <c r="BY7" i="9"/>
  <c r="BY6" i="9"/>
  <c r="BW111" i="9"/>
  <c r="BW110" i="9"/>
  <c r="BW108" i="9"/>
  <c r="BW105" i="9"/>
  <c r="BW104" i="9"/>
  <c r="BW101" i="9"/>
  <c r="BW100" i="9"/>
  <c r="BW99" i="9"/>
  <c r="BW98" i="9"/>
  <c r="BW95" i="9"/>
  <c r="BW94" i="9"/>
  <c r="BW93" i="9"/>
  <c r="BW92" i="9"/>
  <c r="BW91" i="9"/>
  <c r="BW90" i="9"/>
  <c r="BW89" i="9"/>
  <c r="BW88" i="9"/>
  <c r="BW85" i="9"/>
  <c r="BW84" i="9"/>
  <c r="BW83" i="9"/>
  <c r="BW82" i="9"/>
  <c r="BW81" i="9"/>
  <c r="BW80" i="9"/>
  <c r="BW79" i="9"/>
  <c r="BW78" i="9"/>
  <c r="BW77" i="9"/>
  <c r="BW76" i="9"/>
  <c r="BW75" i="9"/>
  <c r="BW74" i="9"/>
  <c r="BW73" i="9"/>
  <c r="BW72" i="9"/>
  <c r="BW71" i="9"/>
  <c r="BW70" i="9"/>
  <c r="BW67" i="9"/>
  <c r="BW66" i="9"/>
  <c r="BW65" i="9"/>
  <c r="BW64" i="9"/>
  <c r="BW63" i="9"/>
  <c r="BW62" i="9"/>
  <c r="BW61" i="9"/>
  <c r="BW60" i="9"/>
  <c r="BW59" i="9"/>
  <c r="BW58" i="9"/>
  <c r="BW57" i="9"/>
  <c r="BW56" i="9"/>
  <c r="BW55" i="9"/>
  <c r="BW54" i="9"/>
  <c r="BW53" i="9"/>
  <c r="BW52" i="9"/>
  <c r="BW51" i="9"/>
  <c r="BW50" i="9"/>
  <c r="BW49" i="9"/>
  <c r="BW48" i="9"/>
  <c r="BW47" i="9"/>
  <c r="BW46" i="9"/>
  <c r="BW45" i="9"/>
  <c r="BW44" i="9"/>
  <c r="BW41" i="9"/>
  <c r="BW40" i="9"/>
  <c r="BW39" i="9"/>
  <c r="BW38" i="9"/>
  <c r="BW37" i="9"/>
  <c r="BW36" i="9"/>
  <c r="BW35" i="9"/>
  <c r="BW34" i="9"/>
  <c r="BW33" i="9"/>
  <c r="BW32" i="9"/>
  <c r="BW31" i="9"/>
  <c r="BW30" i="9"/>
  <c r="BW29" i="9"/>
  <c r="BW28" i="9"/>
  <c r="BW27" i="9"/>
  <c r="BW26" i="9"/>
  <c r="BW25" i="9"/>
  <c r="BW24" i="9"/>
  <c r="BW23" i="9"/>
  <c r="BW22" i="9"/>
  <c r="BW21" i="9"/>
  <c r="BW20" i="9"/>
  <c r="BW19" i="9"/>
  <c r="BW18" i="9"/>
  <c r="BW17" i="9"/>
  <c r="BW16" i="9"/>
  <c r="BW15" i="9"/>
  <c r="BW14" i="9"/>
  <c r="BW13" i="9"/>
  <c r="BW12" i="9"/>
  <c r="BW11" i="9"/>
  <c r="BW10" i="9"/>
  <c r="BW9" i="9"/>
  <c r="BW8" i="9"/>
  <c r="BW7" i="9"/>
  <c r="BW6" i="9"/>
  <c r="BU111" i="9"/>
  <c r="BU110" i="9"/>
  <c r="BU108" i="9"/>
  <c r="BU105" i="9"/>
  <c r="BU104" i="9"/>
  <c r="BU101" i="9"/>
  <c r="BU100" i="9"/>
  <c r="BU99" i="9"/>
  <c r="BU98" i="9"/>
  <c r="BU95" i="9"/>
  <c r="BU94" i="9"/>
  <c r="BU93" i="9"/>
  <c r="BU92" i="9"/>
  <c r="BU91" i="9"/>
  <c r="BU90" i="9"/>
  <c r="BU89" i="9"/>
  <c r="BU88" i="9"/>
  <c r="BU85" i="9"/>
  <c r="BU84" i="9"/>
  <c r="BU83" i="9"/>
  <c r="BU82" i="9"/>
  <c r="BU81" i="9"/>
  <c r="BU80" i="9"/>
  <c r="BU79" i="9"/>
  <c r="BU78" i="9"/>
  <c r="BU77" i="9"/>
  <c r="BU76" i="9"/>
  <c r="BU75" i="9"/>
  <c r="BU74" i="9"/>
  <c r="BU73" i="9"/>
  <c r="BU72" i="9"/>
  <c r="BU71" i="9"/>
  <c r="BU70" i="9"/>
  <c r="BU67" i="9"/>
  <c r="BU66" i="9"/>
  <c r="BU65" i="9"/>
  <c r="BU64" i="9"/>
  <c r="BU63" i="9"/>
  <c r="BU62" i="9"/>
  <c r="BU61" i="9"/>
  <c r="BU60" i="9"/>
  <c r="BU59" i="9"/>
  <c r="BU58" i="9"/>
  <c r="BU57" i="9"/>
  <c r="BU56" i="9"/>
  <c r="BU55" i="9"/>
  <c r="BU54" i="9"/>
  <c r="BU53" i="9"/>
  <c r="BU52" i="9"/>
  <c r="BU51" i="9"/>
  <c r="BU50" i="9"/>
  <c r="BU49" i="9"/>
  <c r="BU48" i="9"/>
  <c r="BU47" i="9"/>
  <c r="BU46" i="9"/>
  <c r="BU45" i="9"/>
  <c r="BU44" i="9"/>
  <c r="BU41" i="9"/>
  <c r="BU40" i="9"/>
  <c r="BU39" i="9"/>
  <c r="BU38" i="9"/>
  <c r="BU37" i="9"/>
  <c r="BU36" i="9"/>
  <c r="BU35" i="9"/>
  <c r="BU34" i="9"/>
  <c r="BU33" i="9"/>
  <c r="BU32" i="9"/>
  <c r="BU31" i="9"/>
  <c r="BU30" i="9"/>
  <c r="BU29" i="9"/>
  <c r="BU28" i="9"/>
  <c r="BU27" i="9"/>
  <c r="BU26" i="9"/>
  <c r="BU25" i="9"/>
  <c r="BU24" i="9"/>
  <c r="BU23" i="9"/>
  <c r="BU22" i="9"/>
  <c r="BU21" i="9"/>
  <c r="BU20" i="9"/>
  <c r="BU19" i="9"/>
  <c r="BU18" i="9"/>
  <c r="BU17" i="9"/>
  <c r="BU16" i="9"/>
  <c r="BU15" i="9"/>
  <c r="BU14" i="9"/>
  <c r="BU13" i="9"/>
  <c r="BU12" i="9"/>
  <c r="BU11" i="9"/>
  <c r="BU10" i="9"/>
  <c r="BU9" i="9"/>
  <c r="BU8" i="9"/>
  <c r="BU7" i="9"/>
  <c r="BU6" i="9"/>
  <c r="BS111" i="9"/>
  <c r="BS110" i="9"/>
  <c r="BS108" i="9"/>
  <c r="BS105" i="9"/>
  <c r="BS104" i="9"/>
  <c r="BS101" i="9"/>
  <c r="BS100" i="9"/>
  <c r="BS99" i="9"/>
  <c r="BS98" i="9"/>
  <c r="BS95" i="9"/>
  <c r="BS94" i="9"/>
  <c r="BS93" i="9"/>
  <c r="BS92" i="9"/>
  <c r="BS91" i="9"/>
  <c r="BS90" i="9"/>
  <c r="BS89" i="9"/>
  <c r="BS88" i="9"/>
  <c r="BS85" i="9"/>
  <c r="BS84" i="9"/>
  <c r="BS83" i="9"/>
  <c r="BS82" i="9"/>
  <c r="BS81" i="9"/>
  <c r="BS80" i="9"/>
  <c r="BS79" i="9"/>
  <c r="BS78" i="9"/>
  <c r="BS77" i="9"/>
  <c r="BS76" i="9"/>
  <c r="BS75" i="9"/>
  <c r="BS74" i="9"/>
  <c r="BS73" i="9"/>
  <c r="BS72" i="9"/>
  <c r="BS71" i="9"/>
  <c r="BS70" i="9"/>
  <c r="BS67" i="9"/>
  <c r="BS66" i="9"/>
  <c r="BS65" i="9"/>
  <c r="BS64" i="9"/>
  <c r="BS63" i="9"/>
  <c r="BS62" i="9"/>
  <c r="BS61" i="9"/>
  <c r="BS60" i="9"/>
  <c r="BS59" i="9"/>
  <c r="BS58" i="9"/>
  <c r="BS57" i="9"/>
  <c r="BS56" i="9"/>
  <c r="BS55" i="9"/>
  <c r="BS54" i="9"/>
  <c r="BS53" i="9"/>
  <c r="BS52" i="9"/>
  <c r="BS51" i="9"/>
  <c r="BS50" i="9"/>
  <c r="BS49" i="9"/>
  <c r="BS48" i="9"/>
  <c r="BS47" i="9"/>
  <c r="BS46" i="9"/>
  <c r="BS45" i="9"/>
  <c r="BS44" i="9"/>
  <c r="BS41" i="9"/>
  <c r="BS40" i="9"/>
  <c r="BS39" i="9"/>
  <c r="BS38" i="9"/>
  <c r="BS37" i="9"/>
  <c r="BS36" i="9"/>
  <c r="BS35" i="9"/>
  <c r="BS34" i="9"/>
  <c r="BS33" i="9"/>
  <c r="BS32" i="9"/>
  <c r="BS31" i="9"/>
  <c r="BS30" i="9"/>
  <c r="BS29" i="9"/>
  <c r="BS28" i="9"/>
  <c r="BS27" i="9"/>
  <c r="BS26" i="9"/>
  <c r="BS25" i="9"/>
  <c r="BS24" i="9"/>
  <c r="BS23" i="9"/>
  <c r="BS22" i="9"/>
  <c r="BS21" i="9"/>
  <c r="BS20" i="9"/>
  <c r="BS19" i="9"/>
  <c r="BS18" i="9"/>
  <c r="BS17" i="9"/>
  <c r="BS16" i="9"/>
  <c r="BS15" i="9"/>
  <c r="BS14" i="9"/>
  <c r="BS13" i="9"/>
  <c r="BS12" i="9"/>
  <c r="BS11" i="9"/>
  <c r="BS10" i="9"/>
  <c r="BS9" i="9"/>
  <c r="BS8" i="9"/>
  <c r="BS7" i="9"/>
  <c r="BS6" i="9"/>
  <c r="BQ111" i="9"/>
  <c r="BQ110" i="9"/>
  <c r="BQ108" i="9"/>
  <c r="BQ105" i="9"/>
  <c r="BQ104" i="9"/>
  <c r="BQ101" i="9"/>
  <c r="BQ100" i="9"/>
  <c r="BQ99" i="9"/>
  <c r="BQ98" i="9"/>
  <c r="BQ95" i="9"/>
  <c r="BQ94" i="9"/>
  <c r="BQ93" i="9"/>
  <c r="BQ92" i="9"/>
  <c r="BQ91" i="9"/>
  <c r="BQ90" i="9"/>
  <c r="BQ89" i="9"/>
  <c r="BQ88" i="9"/>
  <c r="BQ85" i="9"/>
  <c r="BQ84" i="9"/>
  <c r="BQ83" i="9"/>
  <c r="BQ82" i="9"/>
  <c r="BQ81" i="9"/>
  <c r="BQ80" i="9"/>
  <c r="BQ79" i="9"/>
  <c r="BQ78" i="9"/>
  <c r="BQ77" i="9"/>
  <c r="BQ76" i="9"/>
  <c r="BQ75" i="9"/>
  <c r="BQ74" i="9"/>
  <c r="BQ73" i="9"/>
  <c r="BQ72" i="9"/>
  <c r="BQ71" i="9"/>
  <c r="BQ70" i="9"/>
  <c r="BQ67" i="9"/>
  <c r="BQ66" i="9"/>
  <c r="BQ65" i="9"/>
  <c r="BQ64" i="9"/>
  <c r="BQ63" i="9"/>
  <c r="BQ62" i="9"/>
  <c r="BQ61" i="9"/>
  <c r="BQ60" i="9"/>
  <c r="BQ59" i="9"/>
  <c r="BQ58" i="9"/>
  <c r="BQ57" i="9"/>
  <c r="BQ56" i="9"/>
  <c r="BQ55" i="9"/>
  <c r="BQ54" i="9"/>
  <c r="BQ53" i="9"/>
  <c r="BQ52" i="9"/>
  <c r="BQ51" i="9"/>
  <c r="BQ50" i="9"/>
  <c r="BQ49" i="9"/>
  <c r="BQ48" i="9"/>
  <c r="BQ47" i="9"/>
  <c r="BQ46" i="9"/>
  <c r="BQ45" i="9"/>
  <c r="BQ44" i="9"/>
  <c r="BQ41" i="9"/>
  <c r="BQ40" i="9"/>
  <c r="BQ39" i="9"/>
  <c r="BQ38" i="9"/>
  <c r="BQ37" i="9"/>
  <c r="BQ36" i="9"/>
  <c r="BQ35" i="9"/>
  <c r="BQ34" i="9"/>
  <c r="BQ33" i="9"/>
  <c r="BQ32" i="9"/>
  <c r="BQ31" i="9"/>
  <c r="BQ30" i="9"/>
  <c r="BQ29" i="9"/>
  <c r="BQ28" i="9"/>
  <c r="BQ27" i="9"/>
  <c r="BQ26" i="9"/>
  <c r="BQ25" i="9"/>
  <c r="BQ24" i="9"/>
  <c r="BQ23" i="9"/>
  <c r="BQ22" i="9"/>
  <c r="BQ21" i="9"/>
  <c r="BQ20" i="9"/>
  <c r="BQ19" i="9"/>
  <c r="BQ18" i="9"/>
  <c r="BQ17" i="9"/>
  <c r="BQ16" i="9"/>
  <c r="BQ15" i="9"/>
  <c r="BQ14" i="9"/>
  <c r="BQ13" i="9"/>
  <c r="BQ12" i="9"/>
  <c r="BQ11" i="9"/>
  <c r="BQ10" i="9"/>
  <c r="BQ9" i="9"/>
  <c r="BQ8" i="9"/>
  <c r="BQ7" i="9"/>
  <c r="BQ6" i="9"/>
  <c r="BO111" i="9"/>
  <c r="BO110" i="9"/>
  <c r="BO108" i="9"/>
  <c r="BO105" i="9"/>
  <c r="BO104" i="9"/>
  <c r="BO101" i="9"/>
  <c r="BO100" i="9"/>
  <c r="BO99" i="9"/>
  <c r="BO98" i="9"/>
  <c r="BO95" i="9"/>
  <c r="BO94" i="9"/>
  <c r="BO93" i="9"/>
  <c r="BO92" i="9"/>
  <c r="BO91" i="9"/>
  <c r="BO90" i="9"/>
  <c r="BO89" i="9"/>
  <c r="BO88" i="9"/>
  <c r="BO85" i="9"/>
  <c r="BO84" i="9"/>
  <c r="BO83" i="9"/>
  <c r="BO82" i="9"/>
  <c r="BO81" i="9"/>
  <c r="BO80" i="9"/>
  <c r="BO79" i="9"/>
  <c r="BO78" i="9"/>
  <c r="BO77" i="9"/>
  <c r="BO76" i="9"/>
  <c r="BO75" i="9"/>
  <c r="BO74" i="9"/>
  <c r="BO73" i="9"/>
  <c r="BO72" i="9"/>
  <c r="BO71" i="9"/>
  <c r="BO70" i="9"/>
  <c r="BO67" i="9"/>
  <c r="BO66" i="9"/>
  <c r="BO65" i="9"/>
  <c r="BO64" i="9"/>
  <c r="BO63" i="9"/>
  <c r="BO62" i="9"/>
  <c r="BO61" i="9"/>
  <c r="BO60" i="9"/>
  <c r="BO59" i="9"/>
  <c r="BO58" i="9"/>
  <c r="BO57" i="9"/>
  <c r="BO56" i="9"/>
  <c r="BO55" i="9"/>
  <c r="BO54" i="9"/>
  <c r="BO53" i="9"/>
  <c r="BO52" i="9"/>
  <c r="BO51" i="9"/>
  <c r="BO50" i="9"/>
  <c r="BO49" i="9"/>
  <c r="BO48" i="9"/>
  <c r="BO47" i="9"/>
  <c r="BO46" i="9"/>
  <c r="BO45" i="9"/>
  <c r="BO44" i="9"/>
  <c r="BO41" i="9"/>
  <c r="BO40" i="9"/>
  <c r="BO39" i="9"/>
  <c r="BO38" i="9"/>
  <c r="BO37" i="9"/>
  <c r="BO36" i="9"/>
  <c r="BO35" i="9"/>
  <c r="BO34" i="9"/>
  <c r="BO33" i="9"/>
  <c r="BO32" i="9"/>
  <c r="BO31" i="9"/>
  <c r="BO30" i="9"/>
  <c r="BO29" i="9"/>
  <c r="BO28" i="9"/>
  <c r="BO27" i="9"/>
  <c r="BO26" i="9"/>
  <c r="BO25" i="9"/>
  <c r="BO24" i="9"/>
  <c r="BO23" i="9"/>
  <c r="BO22" i="9"/>
  <c r="BO21" i="9"/>
  <c r="BO20" i="9"/>
  <c r="BO19" i="9"/>
  <c r="BO18" i="9"/>
  <c r="BO17" i="9"/>
  <c r="BO16" i="9"/>
  <c r="BO15" i="9"/>
  <c r="BO14" i="9"/>
  <c r="BO13" i="9"/>
  <c r="BO12" i="9"/>
  <c r="BO11" i="9"/>
  <c r="BO10" i="9"/>
  <c r="BO9" i="9"/>
  <c r="BO8" i="9"/>
  <c r="BO7" i="9"/>
  <c r="BO6" i="9"/>
  <c r="BM111" i="9"/>
  <c r="BM110" i="9"/>
  <c r="BM108" i="9"/>
  <c r="BM105" i="9"/>
  <c r="BM104" i="9"/>
  <c r="BM101" i="9"/>
  <c r="BM100" i="9"/>
  <c r="BM99" i="9"/>
  <c r="BM98" i="9"/>
  <c r="BM95" i="9"/>
  <c r="BM94" i="9"/>
  <c r="BM93" i="9"/>
  <c r="BM92" i="9"/>
  <c r="BM91" i="9"/>
  <c r="BM90" i="9"/>
  <c r="BM89" i="9"/>
  <c r="BM88" i="9"/>
  <c r="BM85" i="9"/>
  <c r="BM84" i="9"/>
  <c r="BM83" i="9"/>
  <c r="BM82" i="9"/>
  <c r="BM81" i="9"/>
  <c r="BM80" i="9"/>
  <c r="BM79" i="9"/>
  <c r="BM78" i="9"/>
  <c r="BM77" i="9"/>
  <c r="BM76" i="9"/>
  <c r="BM75" i="9"/>
  <c r="BM74" i="9"/>
  <c r="BM73" i="9"/>
  <c r="BM72" i="9"/>
  <c r="BM71" i="9"/>
  <c r="BM70" i="9"/>
  <c r="BM67" i="9"/>
  <c r="BM66" i="9"/>
  <c r="BM65" i="9"/>
  <c r="BM64" i="9"/>
  <c r="BM63" i="9"/>
  <c r="BM62" i="9"/>
  <c r="BM61" i="9"/>
  <c r="BM60" i="9"/>
  <c r="BM59" i="9"/>
  <c r="BM58" i="9"/>
  <c r="BM57" i="9"/>
  <c r="BM56" i="9"/>
  <c r="BM55" i="9"/>
  <c r="BM54" i="9"/>
  <c r="BM53" i="9"/>
  <c r="BM52" i="9"/>
  <c r="BM51" i="9"/>
  <c r="BM50" i="9"/>
  <c r="BM49" i="9"/>
  <c r="BM48" i="9"/>
  <c r="BM47" i="9"/>
  <c r="BM46" i="9"/>
  <c r="BM45" i="9"/>
  <c r="BM44" i="9"/>
  <c r="BM41" i="9"/>
  <c r="BM40" i="9"/>
  <c r="BM39" i="9"/>
  <c r="BM38" i="9"/>
  <c r="BM37" i="9"/>
  <c r="BM36" i="9"/>
  <c r="BM35" i="9"/>
  <c r="BM34" i="9"/>
  <c r="BM33" i="9"/>
  <c r="BM32" i="9"/>
  <c r="BM31" i="9"/>
  <c r="BM30" i="9"/>
  <c r="BM29" i="9"/>
  <c r="BM28" i="9"/>
  <c r="BM27" i="9"/>
  <c r="BM26" i="9"/>
  <c r="BM25" i="9"/>
  <c r="BM24" i="9"/>
  <c r="BM23" i="9"/>
  <c r="BM22" i="9"/>
  <c r="BM21" i="9"/>
  <c r="BM20" i="9"/>
  <c r="BM19" i="9"/>
  <c r="BM18" i="9"/>
  <c r="BM17" i="9"/>
  <c r="BM16" i="9"/>
  <c r="BM15" i="9"/>
  <c r="BM14" i="9"/>
  <c r="BM13" i="9"/>
  <c r="BM12" i="9"/>
  <c r="BM11" i="9"/>
  <c r="BM10" i="9"/>
  <c r="BM9" i="9"/>
  <c r="BM8" i="9"/>
  <c r="BM7" i="9"/>
  <c r="BM6" i="9"/>
  <c r="BK111" i="9"/>
  <c r="BK110" i="9"/>
  <c r="BK108" i="9"/>
  <c r="BK105" i="9"/>
  <c r="BK104" i="9"/>
  <c r="BK101" i="9"/>
  <c r="BK100" i="9"/>
  <c r="BK99" i="9"/>
  <c r="BK98" i="9"/>
  <c r="BK95" i="9"/>
  <c r="BK94" i="9"/>
  <c r="BK93" i="9"/>
  <c r="BK92" i="9"/>
  <c r="BK91" i="9"/>
  <c r="BK90" i="9"/>
  <c r="BK89" i="9"/>
  <c r="BK88" i="9"/>
  <c r="BK85" i="9"/>
  <c r="BK84" i="9"/>
  <c r="BK83" i="9"/>
  <c r="BK82" i="9"/>
  <c r="BK81" i="9"/>
  <c r="BK80" i="9"/>
  <c r="BK79" i="9"/>
  <c r="BK78" i="9"/>
  <c r="BK77" i="9"/>
  <c r="BK76" i="9"/>
  <c r="BK75" i="9"/>
  <c r="BK74" i="9"/>
  <c r="BK73" i="9"/>
  <c r="BK72" i="9"/>
  <c r="BK71" i="9"/>
  <c r="BK70" i="9"/>
  <c r="BK67" i="9"/>
  <c r="BK66" i="9"/>
  <c r="BK65" i="9"/>
  <c r="BK64" i="9"/>
  <c r="BK63" i="9"/>
  <c r="BK62" i="9"/>
  <c r="BK61" i="9"/>
  <c r="BK60" i="9"/>
  <c r="BK59" i="9"/>
  <c r="BK58" i="9"/>
  <c r="BK57" i="9"/>
  <c r="BK56" i="9"/>
  <c r="BK55" i="9"/>
  <c r="BK54" i="9"/>
  <c r="BK53" i="9"/>
  <c r="BK52" i="9"/>
  <c r="BK51" i="9"/>
  <c r="BK50" i="9"/>
  <c r="BK49" i="9"/>
  <c r="BK48" i="9"/>
  <c r="BK47" i="9"/>
  <c r="BK46" i="9"/>
  <c r="BK45" i="9"/>
  <c r="BK44" i="9"/>
  <c r="BK41" i="9"/>
  <c r="BK40" i="9"/>
  <c r="BK39" i="9"/>
  <c r="BK38" i="9"/>
  <c r="BK37" i="9"/>
  <c r="BK36" i="9"/>
  <c r="BK35" i="9"/>
  <c r="BK34" i="9"/>
  <c r="BK33" i="9"/>
  <c r="BK32" i="9"/>
  <c r="BK31" i="9"/>
  <c r="BK30" i="9"/>
  <c r="BK29" i="9"/>
  <c r="BK28" i="9"/>
  <c r="BK27" i="9"/>
  <c r="BK26" i="9"/>
  <c r="BK25" i="9"/>
  <c r="BK24" i="9"/>
  <c r="BK23" i="9"/>
  <c r="BK22" i="9"/>
  <c r="BK21" i="9"/>
  <c r="BK20" i="9"/>
  <c r="BK19" i="9"/>
  <c r="BK18" i="9"/>
  <c r="BK17" i="9"/>
  <c r="BK16" i="9"/>
  <c r="BK15" i="9"/>
  <c r="BK14" i="9"/>
  <c r="BK13" i="9"/>
  <c r="BK12" i="9"/>
  <c r="BK11" i="9"/>
  <c r="BK10" i="9"/>
  <c r="BK9" i="9"/>
  <c r="BK8" i="9"/>
  <c r="BK7" i="9"/>
  <c r="BK6" i="9"/>
  <c r="BI111" i="9"/>
  <c r="BI110" i="9"/>
  <c r="BI108" i="9"/>
  <c r="BI105" i="9"/>
  <c r="BI104" i="9"/>
  <c r="BI101" i="9"/>
  <c r="BI100" i="9"/>
  <c r="BI99" i="9"/>
  <c r="BI98" i="9"/>
  <c r="BI95" i="9"/>
  <c r="BI94" i="9"/>
  <c r="BI93" i="9"/>
  <c r="BI92" i="9"/>
  <c r="BI91" i="9"/>
  <c r="BI90" i="9"/>
  <c r="BI89" i="9"/>
  <c r="BI88" i="9"/>
  <c r="BI85" i="9"/>
  <c r="BI84" i="9"/>
  <c r="BI83" i="9"/>
  <c r="BI82" i="9"/>
  <c r="BI81" i="9"/>
  <c r="BI80" i="9"/>
  <c r="BI79" i="9"/>
  <c r="BI78" i="9"/>
  <c r="BI77" i="9"/>
  <c r="BI76" i="9"/>
  <c r="BI75" i="9"/>
  <c r="BI74" i="9"/>
  <c r="BI73" i="9"/>
  <c r="BI72" i="9"/>
  <c r="BI71" i="9"/>
  <c r="BI70" i="9"/>
  <c r="BI67" i="9"/>
  <c r="BI66" i="9"/>
  <c r="BI65" i="9"/>
  <c r="BI64" i="9"/>
  <c r="BI63" i="9"/>
  <c r="BI62" i="9"/>
  <c r="BI61" i="9"/>
  <c r="BI60" i="9"/>
  <c r="BI59" i="9"/>
  <c r="BI58" i="9"/>
  <c r="BI57" i="9"/>
  <c r="BI56" i="9"/>
  <c r="BI55" i="9"/>
  <c r="BI54" i="9"/>
  <c r="BI53" i="9"/>
  <c r="BI52" i="9"/>
  <c r="BI51" i="9"/>
  <c r="BI50" i="9"/>
  <c r="BI49" i="9"/>
  <c r="BI48" i="9"/>
  <c r="BI47" i="9"/>
  <c r="BI46" i="9"/>
  <c r="BI45" i="9"/>
  <c r="BI44" i="9"/>
  <c r="BI41" i="9"/>
  <c r="BI40" i="9"/>
  <c r="BI39" i="9"/>
  <c r="BI38" i="9"/>
  <c r="BI37" i="9"/>
  <c r="BI36" i="9"/>
  <c r="BI35" i="9"/>
  <c r="BI34" i="9"/>
  <c r="BI33" i="9"/>
  <c r="BI32" i="9"/>
  <c r="BI31" i="9"/>
  <c r="BI30" i="9"/>
  <c r="BI29" i="9"/>
  <c r="BI28" i="9"/>
  <c r="BI27" i="9"/>
  <c r="BI26" i="9"/>
  <c r="BI25" i="9"/>
  <c r="BI24" i="9"/>
  <c r="BI23" i="9"/>
  <c r="BI22" i="9"/>
  <c r="BI21" i="9"/>
  <c r="BI20" i="9"/>
  <c r="BI19" i="9"/>
  <c r="BI18" i="9"/>
  <c r="BI17" i="9"/>
  <c r="BI16" i="9"/>
  <c r="BI15" i="9"/>
  <c r="BI14" i="9"/>
  <c r="BI13" i="9"/>
  <c r="BI12" i="9"/>
  <c r="BI11" i="9"/>
  <c r="BI10" i="9"/>
  <c r="BI9" i="9"/>
  <c r="BI8" i="9"/>
  <c r="BI7" i="9"/>
  <c r="BI6" i="9"/>
  <c r="BG111" i="9"/>
  <c r="BG110" i="9"/>
  <c r="BG108" i="9"/>
  <c r="BG105" i="9"/>
  <c r="BG104" i="9"/>
  <c r="BG101" i="9"/>
  <c r="BG100" i="9"/>
  <c r="BG99" i="9"/>
  <c r="BG98" i="9"/>
  <c r="BG95" i="9"/>
  <c r="BG94" i="9"/>
  <c r="BG93" i="9"/>
  <c r="BG92" i="9"/>
  <c r="BG91" i="9"/>
  <c r="BG90" i="9"/>
  <c r="BG89" i="9"/>
  <c r="BG88" i="9"/>
  <c r="BG85" i="9"/>
  <c r="BG84" i="9"/>
  <c r="BG83" i="9"/>
  <c r="BG82" i="9"/>
  <c r="BG81" i="9"/>
  <c r="BG80" i="9"/>
  <c r="BG79" i="9"/>
  <c r="BG78" i="9"/>
  <c r="BG77" i="9"/>
  <c r="BG76" i="9"/>
  <c r="BG75" i="9"/>
  <c r="BG74" i="9"/>
  <c r="BG73" i="9"/>
  <c r="BG72" i="9"/>
  <c r="BG71" i="9"/>
  <c r="BG70" i="9"/>
  <c r="BG67" i="9"/>
  <c r="BG66" i="9"/>
  <c r="BG65" i="9"/>
  <c r="BG64" i="9"/>
  <c r="BG63" i="9"/>
  <c r="BG62" i="9"/>
  <c r="BG61" i="9"/>
  <c r="BG60" i="9"/>
  <c r="BG59" i="9"/>
  <c r="BG58" i="9"/>
  <c r="BG57" i="9"/>
  <c r="BG56" i="9"/>
  <c r="BG55" i="9"/>
  <c r="BG54" i="9"/>
  <c r="BG53" i="9"/>
  <c r="BG52" i="9"/>
  <c r="BG51" i="9"/>
  <c r="BG50" i="9"/>
  <c r="BG49" i="9"/>
  <c r="BG48" i="9"/>
  <c r="BG47" i="9"/>
  <c r="BG46" i="9"/>
  <c r="BG45" i="9"/>
  <c r="BG44" i="9"/>
  <c r="BG41" i="9"/>
  <c r="BG40" i="9"/>
  <c r="BG39" i="9"/>
  <c r="BG38" i="9"/>
  <c r="BG37" i="9"/>
  <c r="BG36" i="9"/>
  <c r="BG35" i="9"/>
  <c r="BG34" i="9"/>
  <c r="BG33" i="9"/>
  <c r="BG32" i="9"/>
  <c r="BG31" i="9"/>
  <c r="BG30" i="9"/>
  <c r="BG29" i="9"/>
  <c r="BG28" i="9"/>
  <c r="BG27" i="9"/>
  <c r="BG26" i="9"/>
  <c r="BG25" i="9"/>
  <c r="BG24" i="9"/>
  <c r="BG23" i="9"/>
  <c r="BG22" i="9"/>
  <c r="BG21" i="9"/>
  <c r="BG20" i="9"/>
  <c r="BG19" i="9"/>
  <c r="BG18" i="9"/>
  <c r="BG17" i="9"/>
  <c r="BG16" i="9"/>
  <c r="BG15" i="9"/>
  <c r="BG14" i="9"/>
  <c r="BG13" i="9"/>
  <c r="BG12" i="9"/>
  <c r="BG11" i="9"/>
  <c r="BG10" i="9"/>
  <c r="BG9" i="9"/>
  <c r="BG8" i="9"/>
  <c r="BG7" i="9"/>
  <c r="BG6" i="9"/>
  <c r="BE111" i="9"/>
  <c r="BE110" i="9"/>
  <c r="BE108" i="9"/>
  <c r="BE105" i="9"/>
  <c r="BE104" i="9"/>
  <c r="BE101" i="9"/>
  <c r="BE100" i="9"/>
  <c r="BE99" i="9"/>
  <c r="BE98" i="9"/>
  <c r="BE95" i="9"/>
  <c r="BE94" i="9"/>
  <c r="BE93" i="9"/>
  <c r="BE92" i="9"/>
  <c r="BE91" i="9"/>
  <c r="BE90" i="9"/>
  <c r="BE89" i="9"/>
  <c r="BE88" i="9"/>
  <c r="BE85" i="9"/>
  <c r="BE84" i="9"/>
  <c r="BE83" i="9"/>
  <c r="BE82" i="9"/>
  <c r="BE81" i="9"/>
  <c r="BE80" i="9"/>
  <c r="BE79" i="9"/>
  <c r="BE78" i="9"/>
  <c r="BE77" i="9"/>
  <c r="BE76" i="9"/>
  <c r="BE75" i="9"/>
  <c r="BE74" i="9"/>
  <c r="BE73" i="9"/>
  <c r="BE72" i="9"/>
  <c r="BE71" i="9"/>
  <c r="BE70" i="9"/>
  <c r="BE67" i="9"/>
  <c r="BE66" i="9"/>
  <c r="BE65" i="9"/>
  <c r="BE64" i="9"/>
  <c r="BE63" i="9"/>
  <c r="BE62" i="9"/>
  <c r="BE61" i="9"/>
  <c r="BE60" i="9"/>
  <c r="BE59" i="9"/>
  <c r="BE58" i="9"/>
  <c r="BE57" i="9"/>
  <c r="BE56" i="9"/>
  <c r="BE55" i="9"/>
  <c r="BE54" i="9"/>
  <c r="BE53" i="9"/>
  <c r="BE52" i="9"/>
  <c r="BE51" i="9"/>
  <c r="BE50" i="9"/>
  <c r="BE49" i="9"/>
  <c r="BE48" i="9"/>
  <c r="BE47" i="9"/>
  <c r="BE46" i="9"/>
  <c r="BE45" i="9"/>
  <c r="BE44" i="9"/>
  <c r="BE41" i="9"/>
  <c r="BE40" i="9"/>
  <c r="BE39" i="9"/>
  <c r="BE38" i="9"/>
  <c r="BE37" i="9"/>
  <c r="BE36" i="9"/>
  <c r="BE35" i="9"/>
  <c r="BE34" i="9"/>
  <c r="BE33" i="9"/>
  <c r="BE32" i="9"/>
  <c r="BE31" i="9"/>
  <c r="BE30" i="9"/>
  <c r="BE29" i="9"/>
  <c r="BE28" i="9"/>
  <c r="BE27" i="9"/>
  <c r="BE26" i="9"/>
  <c r="BE25" i="9"/>
  <c r="BE24" i="9"/>
  <c r="BE23" i="9"/>
  <c r="BE22" i="9"/>
  <c r="BE21" i="9"/>
  <c r="BE20" i="9"/>
  <c r="BE19" i="9"/>
  <c r="BE18" i="9"/>
  <c r="BE17" i="9"/>
  <c r="BE16" i="9"/>
  <c r="BE15" i="9"/>
  <c r="BE14" i="9"/>
  <c r="BE13" i="9"/>
  <c r="BE12" i="9"/>
  <c r="BE11" i="9"/>
  <c r="BE10" i="9"/>
  <c r="BE9" i="9"/>
  <c r="BE8" i="9"/>
  <c r="BE7" i="9"/>
  <c r="BE6" i="9"/>
  <c r="BC111" i="9"/>
  <c r="BC110" i="9"/>
  <c r="BC108" i="9"/>
  <c r="BC105" i="9"/>
  <c r="BC104" i="9"/>
  <c r="BC101" i="9"/>
  <c r="BC100" i="9"/>
  <c r="BC99" i="9"/>
  <c r="BC98" i="9"/>
  <c r="BC95" i="9"/>
  <c r="BC94" i="9"/>
  <c r="BC93" i="9"/>
  <c r="BC92" i="9"/>
  <c r="BC91" i="9"/>
  <c r="BC90" i="9"/>
  <c r="BC89" i="9"/>
  <c r="BC88" i="9"/>
  <c r="BC85" i="9"/>
  <c r="BC84" i="9"/>
  <c r="BC83" i="9"/>
  <c r="BC82" i="9"/>
  <c r="BC81" i="9"/>
  <c r="BC80" i="9"/>
  <c r="BC79" i="9"/>
  <c r="BC78" i="9"/>
  <c r="BC77" i="9"/>
  <c r="BC76" i="9"/>
  <c r="BC75" i="9"/>
  <c r="BC74" i="9"/>
  <c r="BC73" i="9"/>
  <c r="BC72" i="9"/>
  <c r="BC71" i="9"/>
  <c r="BC70" i="9"/>
  <c r="BC67" i="9"/>
  <c r="BC66" i="9"/>
  <c r="BC65" i="9"/>
  <c r="BC64" i="9"/>
  <c r="BC63" i="9"/>
  <c r="BC62" i="9"/>
  <c r="BC61" i="9"/>
  <c r="BC60" i="9"/>
  <c r="BC59" i="9"/>
  <c r="BC58" i="9"/>
  <c r="BC57" i="9"/>
  <c r="BC56" i="9"/>
  <c r="BC55" i="9"/>
  <c r="BC54" i="9"/>
  <c r="BC53" i="9"/>
  <c r="BC52" i="9"/>
  <c r="BC51" i="9"/>
  <c r="BC50" i="9"/>
  <c r="BC49" i="9"/>
  <c r="BC48" i="9"/>
  <c r="BC47" i="9"/>
  <c r="BC46" i="9"/>
  <c r="BC45" i="9"/>
  <c r="BC44" i="9"/>
  <c r="BC41" i="9"/>
  <c r="BC40" i="9"/>
  <c r="BC39" i="9"/>
  <c r="BC38" i="9"/>
  <c r="BC37" i="9"/>
  <c r="BC36" i="9"/>
  <c r="BC35" i="9"/>
  <c r="BC34" i="9"/>
  <c r="BC33" i="9"/>
  <c r="BC32" i="9"/>
  <c r="BC31" i="9"/>
  <c r="BC30" i="9"/>
  <c r="BC29" i="9"/>
  <c r="BC28" i="9"/>
  <c r="BC27" i="9"/>
  <c r="BC26" i="9"/>
  <c r="BC25" i="9"/>
  <c r="BC24" i="9"/>
  <c r="BC23" i="9"/>
  <c r="BC22" i="9"/>
  <c r="BC21" i="9"/>
  <c r="BC20" i="9"/>
  <c r="BC19" i="9"/>
  <c r="BC18" i="9"/>
  <c r="BC17" i="9"/>
  <c r="BC16" i="9"/>
  <c r="BC15" i="9"/>
  <c r="BC14" i="9"/>
  <c r="BC13" i="9"/>
  <c r="BC12" i="9"/>
  <c r="BC11" i="9"/>
  <c r="BC10" i="9"/>
  <c r="BC9" i="9"/>
  <c r="BC8" i="9"/>
  <c r="BC7" i="9"/>
  <c r="BC6" i="9"/>
  <c r="BA111" i="9"/>
  <c r="BA110" i="9"/>
  <c r="BA108" i="9"/>
  <c r="BA105" i="9"/>
  <c r="BA104" i="9"/>
  <c r="BA101" i="9"/>
  <c r="BA100" i="9"/>
  <c r="BA99" i="9"/>
  <c r="BA98" i="9"/>
  <c r="BA95" i="9"/>
  <c r="BA94" i="9"/>
  <c r="BA93" i="9"/>
  <c r="BA92" i="9"/>
  <c r="BA91" i="9"/>
  <c r="BA90" i="9"/>
  <c r="BA89" i="9"/>
  <c r="BA88" i="9"/>
  <c r="BA85" i="9"/>
  <c r="BA84" i="9"/>
  <c r="BA83" i="9"/>
  <c r="BA82" i="9"/>
  <c r="BA81" i="9"/>
  <c r="BA80" i="9"/>
  <c r="BA79" i="9"/>
  <c r="BA78" i="9"/>
  <c r="BA77" i="9"/>
  <c r="BA76" i="9"/>
  <c r="BA75" i="9"/>
  <c r="BA74" i="9"/>
  <c r="BA73" i="9"/>
  <c r="BA72" i="9"/>
  <c r="BA71" i="9"/>
  <c r="BA70" i="9"/>
  <c r="BA67" i="9"/>
  <c r="BA66" i="9"/>
  <c r="BA65" i="9"/>
  <c r="BA64" i="9"/>
  <c r="BA63" i="9"/>
  <c r="BA62" i="9"/>
  <c r="BA61" i="9"/>
  <c r="BA60" i="9"/>
  <c r="BA59" i="9"/>
  <c r="BA58" i="9"/>
  <c r="BA57" i="9"/>
  <c r="BA56" i="9"/>
  <c r="BA55" i="9"/>
  <c r="BA54" i="9"/>
  <c r="BA53" i="9"/>
  <c r="BA52" i="9"/>
  <c r="BA51" i="9"/>
  <c r="BA50" i="9"/>
  <c r="BA49" i="9"/>
  <c r="BA48" i="9"/>
  <c r="BA47" i="9"/>
  <c r="BA46" i="9"/>
  <c r="BA45" i="9"/>
  <c r="BA44" i="9"/>
  <c r="BA41" i="9"/>
  <c r="BA40" i="9"/>
  <c r="BA39" i="9"/>
  <c r="BA38" i="9"/>
  <c r="BA37" i="9"/>
  <c r="BA36" i="9"/>
  <c r="BA35" i="9"/>
  <c r="BA34" i="9"/>
  <c r="BA33" i="9"/>
  <c r="BA32" i="9"/>
  <c r="BA31" i="9"/>
  <c r="BA30" i="9"/>
  <c r="BA29" i="9"/>
  <c r="BA28" i="9"/>
  <c r="BA27" i="9"/>
  <c r="BA26" i="9"/>
  <c r="BA25" i="9"/>
  <c r="BA24" i="9"/>
  <c r="BA23" i="9"/>
  <c r="BA22" i="9"/>
  <c r="BA21" i="9"/>
  <c r="BA20" i="9"/>
  <c r="BA19" i="9"/>
  <c r="BA18" i="9"/>
  <c r="BA17" i="9"/>
  <c r="BA16" i="9"/>
  <c r="BA15" i="9"/>
  <c r="BA14" i="9"/>
  <c r="BA13" i="9"/>
  <c r="BA12" i="9"/>
  <c r="BA11" i="9"/>
  <c r="BA10" i="9"/>
  <c r="BA9" i="9"/>
  <c r="BA8" i="9"/>
  <c r="BA7" i="9"/>
  <c r="BA6" i="9"/>
  <c r="AY111" i="9"/>
  <c r="AY110" i="9"/>
  <c r="AY108" i="9"/>
  <c r="AY105" i="9"/>
  <c r="AY104" i="9"/>
  <c r="AY101" i="9"/>
  <c r="AY100" i="9"/>
  <c r="AY99" i="9"/>
  <c r="AY98" i="9"/>
  <c r="AY95" i="9"/>
  <c r="AY94" i="9"/>
  <c r="AY93" i="9"/>
  <c r="AY92" i="9"/>
  <c r="AY91" i="9"/>
  <c r="AY90" i="9"/>
  <c r="AY89" i="9"/>
  <c r="AY88" i="9"/>
  <c r="AY85" i="9"/>
  <c r="AY84" i="9"/>
  <c r="AY83" i="9"/>
  <c r="AY82" i="9"/>
  <c r="AY81" i="9"/>
  <c r="AY80" i="9"/>
  <c r="AY79" i="9"/>
  <c r="AY78" i="9"/>
  <c r="AY77" i="9"/>
  <c r="AY76" i="9"/>
  <c r="AY75" i="9"/>
  <c r="AY74" i="9"/>
  <c r="AY73" i="9"/>
  <c r="AY72" i="9"/>
  <c r="AY71" i="9"/>
  <c r="AY70" i="9"/>
  <c r="AY67" i="9"/>
  <c r="AY66" i="9"/>
  <c r="AY65" i="9"/>
  <c r="AY64" i="9"/>
  <c r="AY63" i="9"/>
  <c r="AY62" i="9"/>
  <c r="AY61" i="9"/>
  <c r="AY60" i="9"/>
  <c r="AY59" i="9"/>
  <c r="AY58" i="9"/>
  <c r="AY57" i="9"/>
  <c r="AY56" i="9"/>
  <c r="AY55" i="9"/>
  <c r="AY54" i="9"/>
  <c r="AY53" i="9"/>
  <c r="AY52" i="9"/>
  <c r="AY51" i="9"/>
  <c r="AY50" i="9"/>
  <c r="AY49" i="9"/>
  <c r="AY48" i="9"/>
  <c r="AY47" i="9"/>
  <c r="AY46" i="9"/>
  <c r="AY45" i="9"/>
  <c r="AY44" i="9"/>
  <c r="AY41" i="9"/>
  <c r="AY40" i="9"/>
  <c r="AY39" i="9"/>
  <c r="AY38" i="9"/>
  <c r="AY37" i="9"/>
  <c r="AY36" i="9"/>
  <c r="AY35" i="9"/>
  <c r="AY34" i="9"/>
  <c r="AY33" i="9"/>
  <c r="AY32" i="9"/>
  <c r="AY31" i="9"/>
  <c r="AY30" i="9"/>
  <c r="AY29" i="9"/>
  <c r="AY28" i="9"/>
  <c r="AY27" i="9"/>
  <c r="AY26" i="9"/>
  <c r="AY25" i="9"/>
  <c r="AY24" i="9"/>
  <c r="AY23" i="9"/>
  <c r="AY22" i="9"/>
  <c r="AY21" i="9"/>
  <c r="AY20" i="9"/>
  <c r="AY19" i="9"/>
  <c r="AY18" i="9"/>
  <c r="AY17" i="9"/>
  <c r="AY16" i="9"/>
  <c r="AY15" i="9"/>
  <c r="AY14" i="9"/>
  <c r="AY13" i="9"/>
  <c r="AY12" i="9"/>
  <c r="AY11" i="9"/>
  <c r="AY10" i="9"/>
  <c r="AY9" i="9"/>
  <c r="AY8" i="9"/>
  <c r="AY7" i="9"/>
  <c r="AY6" i="9"/>
  <c r="AW111" i="9"/>
  <c r="AW110" i="9"/>
  <c r="AW108" i="9"/>
  <c r="AW105" i="9"/>
  <c r="AW104" i="9"/>
  <c r="AW101" i="9"/>
  <c r="AW100" i="9"/>
  <c r="AW99" i="9"/>
  <c r="AW98" i="9"/>
  <c r="AW95" i="9"/>
  <c r="AW94" i="9"/>
  <c r="AW93" i="9"/>
  <c r="AW92" i="9"/>
  <c r="AW91" i="9"/>
  <c r="AW90" i="9"/>
  <c r="AW89" i="9"/>
  <c r="AW88" i="9"/>
  <c r="AW85" i="9"/>
  <c r="AW84" i="9"/>
  <c r="AW83" i="9"/>
  <c r="AW82" i="9"/>
  <c r="AW81" i="9"/>
  <c r="AW80" i="9"/>
  <c r="AW79" i="9"/>
  <c r="AW78" i="9"/>
  <c r="AW77" i="9"/>
  <c r="AW76" i="9"/>
  <c r="AW75" i="9"/>
  <c r="AW74" i="9"/>
  <c r="AW73" i="9"/>
  <c r="AW72" i="9"/>
  <c r="AW71" i="9"/>
  <c r="AW70" i="9"/>
  <c r="AW67" i="9"/>
  <c r="AW66" i="9"/>
  <c r="AW65" i="9"/>
  <c r="AW64" i="9"/>
  <c r="AW63" i="9"/>
  <c r="AW62" i="9"/>
  <c r="AW61" i="9"/>
  <c r="AW60" i="9"/>
  <c r="AW59" i="9"/>
  <c r="AW58" i="9"/>
  <c r="AW57" i="9"/>
  <c r="AW56" i="9"/>
  <c r="AW55" i="9"/>
  <c r="AW54" i="9"/>
  <c r="AW53" i="9"/>
  <c r="AW52" i="9"/>
  <c r="AW51" i="9"/>
  <c r="AW50" i="9"/>
  <c r="AW49" i="9"/>
  <c r="AW48" i="9"/>
  <c r="AW47" i="9"/>
  <c r="AW46" i="9"/>
  <c r="AW45" i="9"/>
  <c r="AW44" i="9"/>
  <c r="AW41" i="9"/>
  <c r="AW40" i="9"/>
  <c r="AW39" i="9"/>
  <c r="AW38" i="9"/>
  <c r="AW37" i="9"/>
  <c r="AW36" i="9"/>
  <c r="AW35" i="9"/>
  <c r="AW34" i="9"/>
  <c r="AW33" i="9"/>
  <c r="AW32" i="9"/>
  <c r="AW31" i="9"/>
  <c r="AW30" i="9"/>
  <c r="AW29" i="9"/>
  <c r="AW28" i="9"/>
  <c r="AW27" i="9"/>
  <c r="AW26" i="9"/>
  <c r="AW25" i="9"/>
  <c r="AW24" i="9"/>
  <c r="AW23" i="9"/>
  <c r="AW22" i="9"/>
  <c r="AW21" i="9"/>
  <c r="AW20" i="9"/>
  <c r="AW19" i="9"/>
  <c r="AW18" i="9"/>
  <c r="AW17" i="9"/>
  <c r="AW16" i="9"/>
  <c r="AW15" i="9"/>
  <c r="AW14" i="9"/>
  <c r="AW13" i="9"/>
  <c r="AW12" i="9"/>
  <c r="AW11" i="9"/>
  <c r="AW10" i="9"/>
  <c r="AW9" i="9"/>
  <c r="AW8" i="9"/>
  <c r="AW7" i="9"/>
  <c r="AW6" i="9"/>
  <c r="AU111" i="9"/>
  <c r="AU110" i="9"/>
  <c r="AU108" i="9"/>
  <c r="AU105" i="9"/>
  <c r="AU104" i="9"/>
  <c r="AU101" i="9"/>
  <c r="AU100" i="9"/>
  <c r="AU99" i="9"/>
  <c r="AU98" i="9"/>
  <c r="AU95" i="9"/>
  <c r="AU94" i="9"/>
  <c r="AU93" i="9"/>
  <c r="AU92" i="9"/>
  <c r="AU91" i="9"/>
  <c r="AU90" i="9"/>
  <c r="AU89" i="9"/>
  <c r="AU88" i="9"/>
  <c r="AU85" i="9"/>
  <c r="AU84" i="9"/>
  <c r="AU83" i="9"/>
  <c r="AU82" i="9"/>
  <c r="AU81" i="9"/>
  <c r="AU80" i="9"/>
  <c r="AU79" i="9"/>
  <c r="AU78" i="9"/>
  <c r="AU77" i="9"/>
  <c r="AU76" i="9"/>
  <c r="AU75" i="9"/>
  <c r="AU74" i="9"/>
  <c r="AU73" i="9"/>
  <c r="AU72" i="9"/>
  <c r="AU71" i="9"/>
  <c r="AU70" i="9"/>
  <c r="AU67" i="9"/>
  <c r="AU66" i="9"/>
  <c r="AU65" i="9"/>
  <c r="AU64" i="9"/>
  <c r="AU63" i="9"/>
  <c r="AU62" i="9"/>
  <c r="AU61" i="9"/>
  <c r="AU60" i="9"/>
  <c r="AU59" i="9"/>
  <c r="AU58" i="9"/>
  <c r="AU57" i="9"/>
  <c r="AU56" i="9"/>
  <c r="AU55" i="9"/>
  <c r="AU54" i="9"/>
  <c r="AU53" i="9"/>
  <c r="AU52" i="9"/>
  <c r="AU51" i="9"/>
  <c r="AU50" i="9"/>
  <c r="AU49" i="9"/>
  <c r="AU48" i="9"/>
  <c r="AU47" i="9"/>
  <c r="AU46" i="9"/>
  <c r="AU45" i="9"/>
  <c r="AU44" i="9"/>
  <c r="AU41" i="9"/>
  <c r="AU40" i="9"/>
  <c r="AU39" i="9"/>
  <c r="AU38" i="9"/>
  <c r="AU37" i="9"/>
  <c r="AU36" i="9"/>
  <c r="AU35" i="9"/>
  <c r="AU34" i="9"/>
  <c r="AU33" i="9"/>
  <c r="AU32" i="9"/>
  <c r="AU31" i="9"/>
  <c r="AU30" i="9"/>
  <c r="AU29" i="9"/>
  <c r="AU28" i="9"/>
  <c r="AU27" i="9"/>
  <c r="AU26" i="9"/>
  <c r="AU25" i="9"/>
  <c r="AU24" i="9"/>
  <c r="AU23" i="9"/>
  <c r="AU22" i="9"/>
  <c r="AU21" i="9"/>
  <c r="AU20" i="9"/>
  <c r="AU19" i="9"/>
  <c r="AU18" i="9"/>
  <c r="AU17" i="9"/>
  <c r="AU16" i="9"/>
  <c r="AU15" i="9"/>
  <c r="AU14" i="9"/>
  <c r="AU13" i="9"/>
  <c r="AU12" i="9"/>
  <c r="AU11" i="9"/>
  <c r="AU10" i="9"/>
  <c r="AU9" i="9"/>
  <c r="AU8" i="9"/>
  <c r="AU7" i="9"/>
  <c r="AU6" i="9"/>
  <c r="AS111" i="9"/>
  <c r="AS110" i="9"/>
  <c r="AS108" i="9"/>
  <c r="AS105" i="9"/>
  <c r="AS104" i="9"/>
  <c r="AS101" i="9"/>
  <c r="AS100" i="9"/>
  <c r="AS99" i="9"/>
  <c r="AS98" i="9"/>
  <c r="AS95" i="9"/>
  <c r="AS94" i="9"/>
  <c r="AS93" i="9"/>
  <c r="AS92" i="9"/>
  <c r="AS91" i="9"/>
  <c r="AS90" i="9"/>
  <c r="AS89" i="9"/>
  <c r="AS88" i="9"/>
  <c r="AS85" i="9"/>
  <c r="AS84" i="9"/>
  <c r="AS83" i="9"/>
  <c r="AS82" i="9"/>
  <c r="AS81" i="9"/>
  <c r="AS80" i="9"/>
  <c r="AS79" i="9"/>
  <c r="AS78" i="9"/>
  <c r="AS77" i="9"/>
  <c r="AS76" i="9"/>
  <c r="AS75" i="9"/>
  <c r="AS74" i="9"/>
  <c r="AS73" i="9"/>
  <c r="AS72" i="9"/>
  <c r="AS71" i="9"/>
  <c r="AS70" i="9"/>
  <c r="AS67" i="9"/>
  <c r="AS66" i="9"/>
  <c r="AS65" i="9"/>
  <c r="AS64" i="9"/>
  <c r="AS63" i="9"/>
  <c r="AS62" i="9"/>
  <c r="AS61" i="9"/>
  <c r="AS60" i="9"/>
  <c r="AS59" i="9"/>
  <c r="AS58" i="9"/>
  <c r="AS57" i="9"/>
  <c r="AS56" i="9"/>
  <c r="AS55" i="9"/>
  <c r="AS54" i="9"/>
  <c r="AS53" i="9"/>
  <c r="AS52" i="9"/>
  <c r="AS51" i="9"/>
  <c r="AS50" i="9"/>
  <c r="AS49" i="9"/>
  <c r="AS48" i="9"/>
  <c r="AS47" i="9"/>
  <c r="AS46" i="9"/>
  <c r="AS45" i="9"/>
  <c r="AS44" i="9"/>
  <c r="AS41" i="9"/>
  <c r="AS40" i="9"/>
  <c r="AS39" i="9"/>
  <c r="AS38" i="9"/>
  <c r="AS37" i="9"/>
  <c r="AS36" i="9"/>
  <c r="AS35" i="9"/>
  <c r="AS34" i="9"/>
  <c r="AS33" i="9"/>
  <c r="AS32" i="9"/>
  <c r="AS31" i="9"/>
  <c r="AS30" i="9"/>
  <c r="AS29" i="9"/>
  <c r="AS28" i="9"/>
  <c r="AS27" i="9"/>
  <c r="AS26" i="9"/>
  <c r="AS25" i="9"/>
  <c r="AS24" i="9"/>
  <c r="AS23" i="9"/>
  <c r="AS22" i="9"/>
  <c r="AS21" i="9"/>
  <c r="AS20" i="9"/>
  <c r="AS19" i="9"/>
  <c r="AS18" i="9"/>
  <c r="AS17" i="9"/>
  <c r="AS16" i="9"/>
  <c r="AS15" i="9"/>
  <c r="AS14" i="9"/>
  <c r="AS13" i="9"/>
  <c r="AS12" i="9"/>
  <c r="AS11" i="9"/>
  <c r="AS10" i="9"/>
  <c r="AS9" i="9"/>
  <c r="AS8" i="9"/>
  <c r="AS7" i="9"/>
  <c r="AS6" i="9"/>
  <c r="AQ111" i="9"/>
  <c r="AQ110" i="9"/>
  <c r="AQ108" i="9"/>
  <c r="AQ105" i="9"/>
  <c r="AQ104" i="9"/>
  <c r="AQ101" i="9"/>
  <c r="AQ100" i="9"/>
  <c r="AQ99" i="9"/>
  <c r="AQ98" i="9"/>
  <c r="AQ95" i="9"/>
  <c r="AQ94" i="9"/>
  <c r="AQ93" i="9"/>
  <c r="AQ92" i="9"/>
  <c r="AQ91" i="9"/>
  <c r="AQ90" i="9"/>
  <c r="AQ89" i="9"/>
  <c r="AQ88" i="9"/>
  <c r="AQ85" i="9"/>
  <c r="AQ84" i="9"/>
  <c r="AQ83" i="9"/>
  <c r="AQ82" i="9"/>
  <c r="AQ81" i="9"/>
  <c r="AQ80" i="9"/>
  <c r="AQ79" i="9"/>
  <c r="AQ78" i="9"/>
  <c r="AQ77" i="9"/>
  <c r="AQ76" i="9"/>
  <c r="AQ75" i="9"/>
  <c r="AQ74" i="9"/>
  <c r="AQ73" i="9"/>
  <c r="AQ72" i="9"/>
  <c r="AQ71" i="9"/>
  <c r="AQ70" i="9"/>
  <c r="AQ67" i="9"/>
  <c r="AQ66" i="9"/>
  <c r="AQ65" i="9"/>
  <c r="AQ64" i="9"/>
  <c r="AQ63" i="9"/>
  <c r="AQ62" i="9"/>
  <c r="AQ61" i="9"/>
  <c r="AQ60" i="9"/>
  <c r="AQ59" i="9"/>
  <c r="AQ58" i="9"/>
  <c r="AQ57" i="9"/>
  <c r="AQ56" i="9"/>
  <c r="AQ55" i="9"/>
  <c r="AQ54" i="9"/>
  <c r="AQ53" i="9"/>
  <c r="AQ52" i="9"/>
  <c r="AQ51" i="9"/>
  <c r="AQ50" i="9"/>
  <c r="AQ49" i="9"/>
  <c r="AQ48" i="9"/>
  <c r="AQ47" i="9"/>
  <c r="AQ46" i="9"/>
  <c r="AQ45" i="9"/>
  <c r="AQ44" i="9"/>
  <c r="AQ41" i="9"/>
  <c r="AQ40" i="9"/>
  <c r="AQ39" i="9"/>
  <c r="AQ38" i="9"/>
  <c r="AQ37" i="9"/>
  <c r="AQ36" i="9"/>
  <c r="AQ35" i="9"/>
  <c r="AQ34" i="9"/>
  <c r="AQ33" i="9"/>
  <c r="AQ32" i="9"/>
  <c r="AQ31" i="9"/>
  <c r="AQ30" i="9"/>
  <c r="AQ29" i="9"/>
  <c r="AQ28" i="9"/>
  <c r="AQ27" i="9"/>
  <c r="AQ26" i="9"/>
  <c r="AQ25" i="9"/>
  <c r="AQ24" i="9"/>
  <c r="AQ23" i="9"/>
  <c r="AQ22" i="9"/>
  <c r="AQ21" i="9"/>
  <c r="AQ20" i="9"/>
  <c r="AQ19" i="9"/>
  <c r="AQ18" i="9"/>
  <c r="AQ17" i="9"/>
  <c r="AQ16" i="9"/>
  <c r="AQ15" i="9"/>
  <c r="AQ14" i="9"/>
  <c r="AQ13" i="9"/>
  <c r="AQ12" i="9"/>
  <c r="AQ11" i="9"/>
  <c r="AQ10" i="9"/>
  <c r="AQ9" i="9"/>
  <c r="AQ8" i="9"/>
  <c r="AQ7" i="9"/>
  <c r="AQ6" i="9"/>
  <c r="AO111" i="9"/>
  <c r="AO110" i="9"/>
  <c r="AO108" i="9"/>
  <c r="AO105" i="9"/>
  <c r="AO104" i="9"/>
  <c r="AO101" i="9"/>
  <c r="AO100" i="9"/>
  <c r="AO99" i="9"/>
  <c r="AO98" i="9"/>
  <c r="AO95" i="9"/>
  <c r="AO94" i="9"/>
  <c r="AO93" i="9"/>
  <c r="AO92" i="9"/>
  <c r="AO91" i="9"/>
  <c r="AO90" i="9"/>
  <c r="AO89" i="9"/>
  <c r="AO88" i="9"/>
  <c r="AO85" i="9"/>
  <c r="AO84" i="9"/>
  <c r="AO83" i="9"/>
  <c r="AO82" i="9"/>
  <c r="AO81" i="9"/>
  <c r="AO80" i="9"/>
  <c r="AO79" i="9"/>
  <c r="AO78" i="9"/>
  <c r="AO77" i="9"/>
  <c r="AO76" i="9"/>
  <c r="AO75" i="9"/>
  <c r="AO74" i="9"/>
  <c r="AO73" i="9"/>
  <c r="AO72" i="9"/>
  <c r="AO71" i="9"/>
  <c r="AO70" i="9"/>
  <c r="AO67" i="9"/>
  <c r="AO66" i="9"/>
  <c r="AO65" i="9"/>
  <c r="AO64" i="9"/>
  <c r="AO63" i="9"/>
  <c r="AO62" i="9"/>
  <c r="AO61" i="9"/>
  <c r="AO60" i="9"/>
  <c r="AO59" i="9"/>
  <c r="AO58" i="9"/>
  <c r="AO57" i="9"/>
  <c r="AO56" i="9"/>
  <c r="AO55" i="9"/>
  <c r="AO54" i="9"/>
  <c r="AO53" i="9"/>
  <c r="AO52" i="9"/>
  <c r="AO51" i="9"/>
  <c r="AO50" i="9"/>
  <c r="AO49" i="9"/>
  <c r="AO48" i="9"/>
  <c r="AO47" i="9"/>
  <c r="AO46" i="9"/>
  <c r="AO45" i="9"/>
  <c r="AO44"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M111" i="9"/>
  <c r="AM110" i="9"/>
  <c r="AM108" i="9"/>
  <c r="AM105" i="9"/>
  <c r="AM104" i="9"/>
  <c r="AM101" i="9"/>
  <c r="AM100" i="9"/>
  <c r="AM99" i="9"/>
  <c r="AM98" i="9"/>
  <c r="AM95" i="9"/>
  <c r="AM94" i="9"/>
  <c r="AM93" i="9"/>
  <c r="AM92" i="9"/>
  <c r="AM91" i="9"/>
  <c r="AM90" i="9"/>
  <c r="AM89" i="9"/>
  <c r="AM88" i="9"/>
  <c r="AM85" i="9"/>
  <c r="AM84" i="9"/>
  <c r="AM83" i="9"/>
  <c r="AM82" i="9"/>
  <c r="AM81" i="9"/>
  <c r="AM80" i="9"/>
  <c r="AM79" i="9"/>
  <c r="AM78" i="9"/>
  <c r="AM77" i="9"/>
  <c r="AM76" i="9"/>
  <c r="AM75" i="9"/>
  <c r="AM74" i="9"/>
  <c r="AM73" i="9"/>
  <c r="AM72" i="9"/>
  <c r="AM71" i="9"/>
  <c r="AM70" i="9"/>
  <c r="AM67" i="9"/>
  <c r="AM66" i="9"/>
  <c r="AM65" i="9"/>
  <c r="AM64" i="9"/>
  <c r="AM63" i="9"/>
  <c r="AM62" i="9"/>
  <c r="AM61" i="9"/>
  <c r="AM60" i="9"/>
  <c r="AM59" i="9"/>
  <c r="AM58" i="9"/>
  <c r="AM57" i="9"/>
  <c r="AM56" i="9"/>
  <c r="AM55" i="9"/>
  <c r="AM54" i="9"/>
  <c r="AM53" i="9"/>
  <c r="AM52" i="9"/>
  <c r="AM51" i="9"/>
  <c r="AM50" i="9"/>
  <c r="AM49" i="9"/>
  <c r="AM48" i="9"/>
  <c r="AM47" i="9"/>
  <c r="AM46" i="9"/>
  <c r="AM45" i="9"/>
  <c r="AM44" i="9"/>
  <c r="AM41" i="9"/>
  <c r="AM40" i="9"/>
  <c r="AM39" i="9"/>
  <c r="AM38" i="9"/>
  <c r="AM37" i="9"/>
  <c r="AM36" i="9"/>
  <c r="AM35" i="9"/>
  <c r="AM34" i="9"/>
  <c r="AM33" i="9"/>
  <c r="AM32" i="9"/>
  <c r="AM31" i="9"/>
  <c r="AM30" i="9"/>
  <c r="AM29" i="9"/>
  <c r="AM28" i="9"/>
  <c r="AM27" i="9"/>
  <c r="AM26" i="9"/>
  <c r="AM25" i="9"/>
  <c r="AM24" i="9"/>
  <c r="AM23" i="9"/>
  <c r="AM22" i="9"/>
  <c r="AM21" i="9"/>
  <c r="AM20" i="9"/>
  <c r="AM19" i="9"/>
  <c r="AM18" i="9"/>
  <c r="AM17" i="9"/>
  <c r="AM16" i="9"/>
  <c r="AM15" i="9"/>
  <c r="AM14" i="9"/>
  <c r="AM13" i="9"/>
  <c r="AM12" i="9"/>
  <c r="AM11" i="9"/>
  <c r="AM10" i="9"/>
  <c r="AM9" i="9"/>
  <c r="AM8" i="9"/>
  <c r="AM7" i="9"/>
  <c r="AM6" i="9"/>
  <c r="AK111" i="9"/>
  <c r="AK110" i="9"/>
  <c r="AK108" i="9"/>
  <c r="AK105" i="9"/>
  <c r="AK104" i="9"/>
  <c r="AK101" i="9"/>
  <c r="AK100" i="9"/>
  <c r="AK99" i="9"/>
  <c r="AK98" i="9"/>
  <c r="AK95" i="9"/>
  <c r="AK94" i="9"/>
  <c r="AK93" i="9"/>
  <c r="AK92" i="9"/>
  <c r="AK91" i="9"/>
  <c r="AK90" i="9"/>
  <c r="AK89" i="9"/>
  <c r="AK88" i="9"/>
  <c r="AK85" i="9"/>
  <c r="AK84" i="9"/>
  <c r="AK83" i="9"/>
  <c r="AK82" i="9"/>
  <c r="AK81" i="9"/>
  <c r="AK80" i="9"/>
  <c r="AK79" i="9"/>
  <c r="AK78" i="9"/>
  <c r="AK77" i="9"/>
  <c r="AK76" i="9"/>
  <c r="AK75" i="9"/>
  <c r="AK74" i="9"/>
  <c r="AK73" i="9"/>
  <c r="AK72" i="9"/>
  <c r="AK71" i="9"/>
  <c r="AK70" i="9"/>
  <c r="AK67" i="9"/>
  <c r="AK66" i="9"/>
  <c r="AK65" i="9"/>
  <c r="AK64" i="9"/>
  <c r="AK63" i="9"/>
  <c r="AK62" i="9"/>
  <c r="AK61" i="9"/>
  <c r="AK60" i="9"/>
  <c r="AK59" i="9"/>
  <c r="AK58" i="9"/>
  <c r="AK57" i="9"/>
  <c r="AK56" i="9"/>
  <c r="AK55" i="9"/>
  <c r="AK54" i="9"/>
  <c r="AK53" i="9"/>
  <c r="AK52" i="9"/>
  <c r="AK51" i="9"/>
  <c r="AK50" i="9"/>
  <c r="AK49" i="9"/>
  <c r="AK48" i="9"/>
  <c r="AK47" i="9"/>
  <c r="AK46" i="9"/>
  <c r="AK45" i="9"/>
  <c r="AK44" i="9"/>
  <c r="AK41" i="9"/>
  <c r="AK40" i="9"/>
  <c r="AK39" i="9"/>
  <c r="AK38" i="9"/>
  <c r="AK37" i="9"/>
  <c r="AK36" i="9"/>
  <c r="AK35" i="9"/>
  <c r="AK34" i="9"/>
  <c r="AK33" i="9"/>
  <c r="AK32" i="9"/>
  <c r="AK31" i="9"/>
  <c r="AK30" i="9"/>
  <c r="AK29" i="9"/>
  <c r="AK28" i="9"/>
  <c r="AK27" i="9"/>
  <c r="AK26" i="9"/>
  <c r="AK25" i="9"/>
  <c r="AK24" i="9"/>
  <c r="AK23" i="9"/>
  <c r="AK22" i="9"/>
  <c r="AK21" i="9"/>
  <c r="AK20" i="9"/>
  <c r="AK19" i="9"/>
  <c r="AK18" i="9"/>
  <c r="AK17" i="9"/>
  <c r="AK16" i="9"/>
  <c r="AK15" i="9"/>
  <c r="AK14" i="9"/>
  <c r="AK13" i="9"/>
  <c r="AK12" i="9"/>
  <c r="AK11" i="9"/>
  <c r="AK10" i="9"/>
  <c r="AK9" i="9"/>
  <c r="AK8" i="9"/>
  <c r="AK7" i="9"/>
  <c r="AK6" i="9"/>
  <c r="AI111" i="9"/>
  <c r="AI110" i="9"/>
  <c r="AI108" i="9"/>
  <c r="AI105" i="9"/>
  <c r="AI104" i="9"/>
  <c r="AI101" i="9"/>
  <c r="AI100" i="9"/>
  <c r="AI99" i="9"/>
  <c r="AI98" i="9"/>
  <c r="AI95" i="9"/>
  <c r="AI94" i="9"/>
  <c r="AI93" i="9"/>
  <c r="AI92" i="9"/>
  <c r="AI91" i="9"/>
  <c r="AI90" i="9"/>
  <c r="AI89" i="9"/>
  <c r="AI88" i="9"/>
  <c r="AI85" i="9"/>
  <c r="AI84" i="9"/>
  <c r="AI83" i="9"/>
  <c r="AI82" i="9"/>
  <c r="AI81" i="9"/>
  <c r="AI80" i="9"/>
  <c r="AI79" i="9"/>
  <c r="AI78" i="9"/>
  <c r="AI77" i="9"/>
  <c r="AI76" i="9"/>
  <c r="AI75" i="9"/>
  <c r="AI74" i="9"/>
  <c r="AI73" i="9"/>
  <c r="AI72" i="9"/>
  <c r="AI71" i="9"/>
  <c r="AI70" i="9"/>
  <c r="AI67" i="9"/>
  <c r="AI66" i="9"/>
  <c r="AI65" i="9"/>
  <c r="AI64" i="9"/>
  <c r="AI63" i="9"/>
  <c r="AI62" i="9"/>
  <c r="AI61" i="9"/>
  <c r="AI60" i="9"/>
  <c r="AI59" i="9"/>
  <c r="AI58" i="9"/>
  <c r="AI57" i="9"/>
  <c r="AI56" i="9"/>
  <c r="AI55" i="9"/>
  <c r="AI54" i="9"/>
  <c r="AI53" i="9"/>
  <c r="AI52" i="9"/>
  <c r="AI51" i="9"/>
  <c r="AI50" i="9"/>
  <c r="AI49" i="9"/>
  <c r="AI48" i="9"/>
  <c r="AI47" i="9"/>
  <c r="AI46" i="9"/>
  <c r="AI45" i="9"/>
  <c r="AI44"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G111" i="9"/>
  <c r="AG110" i="9"/>
  <c r="AG108" i="9"/>
  <c r="AG105" i="9"/>
  <c r="AG104" i="9"/>
  <c r="AG101" i="9"/>
  <c r="AG100" i="9"/>
  <c r="AG99" i="9"/>
  <c r="AG98" i="9"/>
  <c r="AG95" i="9"/>
  <c r="AG94" i="9"/>
  <c r="AG93" i="9"/>
  <c r="AG92" i="9"/>
  <c r="AG91" i="9"/>
  <c r="AG90" i="9"/>
  <c r="AG89" i="9"/>
  <c r="AG88" i="9"/>
  <c r="AG85" i="9"/>
  <c r="AG84" i="9"/>
  <c r="AG83" i="9"/>
  <c r="AG82" i="9"/>
  <c r="AG81" i="9"/>
  <c r="AG80" i="9"/>
  <c r="AG79" i="9"/>
  <c r="AG78" i="9"/>
  <c r="AG77" i="9"/>
  <c r="AG76" i="9"/>
  <c r="AG75" i="9"/>
  <c r="AG74" i="9"/>
  <c r="AG73" i="9"/>
  <c r="AG72" i="9"/>
  <c r="AG71" i="9"/>
  <c r="AG70" i="9"/>
  <c r="AG67" i="9"/>
  <c r="AG66" i="9"/>
  <c r="AG65" i="9"/>
  <c r="AG64" i="9"/>
  <c r="AG63" i="9"/>
  <c r="AG62" i="9"/>
  <c r="AG61" i="9"/>
  <c r="AG60" i="9"/>
  <c r="AG59" i="9"/>
  <c r="AG58" i="9"/>
  <c r="AG57" i="9"/>
  <c r="AG56" i="9"/>
  <c r="AG55" i="9"/>
  <c r="AG54" i="9"/>
  <c r="AG53" i="9"/>
  <c r="AG52" i="9"/>
  <c r="AG51" i="9"/>
  <c r="AG50" i="9"/>
  <c r="AG49" i="9"/>
  <c r="AG48" i="9"/>
  <c r="AG47" i="9"/>
  <c r="AG46" i="9"/>
  <c r="AG45" i="9"/>
  <c r="AG44" i="9"/>
  <c r="AG41" i="9"/>
  <c r="AG40" i="9"/>
  <c r="AG39" i="9"/>
  <c r="AG38" i="9"/>
  <c r="AG37" i="9"/>
  <c r="AG36" i="9"/>
  <c r="AG35" i="9"/>
  <c r="AG34" i="9"/>
  <c r="AG33" i="9"/>
  <c r="AG32" i="9"/>
  <c r="AG31" i="9"/>
  <c r="AG30" i="9"/>
  <c r="AG29" i="9"/>
  <c r="AG28" i="9"/>
  <c r="AG27" i="9"/>
  <c r="AG26" i="9"/>
  <c r="AG25" i="9"/>
  <c r="AG24" i="9"/>
  <c r="AG23" i="9"/>
  <c r="AG22" i="9"/>
  <c r="AG21" i="9"/>
  <c r="AG20" i="9"/>
  <c r="AG19" i="9"/>
  <c r="AG18" i="9"/>
  <c r="AG17" i="9"/>
  <c r="AG16" i="9"/>
  <c r="AG15" i="9"/>
  <c r="AG14" i="9"/>
  <c r="AG13" i="9"/>
  <c r="AG12" i="9"/>
  <c r="AG11" i="9"/>
  <c r="AG10" i="9"/>
  <c r="AG9" i="9"/>
  <c r="AG8" i="9"/>
  <c r="AG7" i="9"/>
  <c r="AG6" i="9"/>
  <c r="AE111" i="9"/>
  <c r="AE110" i="9"/>
  <c r="AE108" i="9"/>
  <c r="AE105" i="9"/>
  <c r="AE104" i="9"/>
  <c r="AE101" i="9"/>
  <c r="AE100" i="9"/>
  <c r="AE99" i="9"/>
  <c r="AE98" i="9"/>
  <c r="AE95" i="9"/>
  <c r="AE94" i="9"/>
  <c r="AE93" i="9"/>
  <c r="AE92" i="9"/>
  <c r="AE91" i="9"/>
  <c r="AE90" i="9"/>
  <c r="AE89" i="9"/>
  <c r="AE88" i="9"/>
  <c r="AE85" i="9"/>
  <c r="AE84" i="9"/>
  <c r="AE83" i="9"/>
  <c r="AE82" i="9"/>
  <c r="AE81" i="9"/>
  <c r="AE80" i="9"/>
  <c r="AE79" i="9"/>
  <c r="AE78" i="9"/>
  <c r="AE77" i="9"/>
  <c r="AE76" i="9"/>
  <c r="AE75" i="9"/>
  <c r="AE74" i="9"/>
  <c r="AE73" i="9"/>
  <c r="AE72" i="9"/>
  <c r="AE71" i="9"/>
  <c r="AE70" i="9"/>
  <c r="AE67" i="9"/>
  <c r="AE66" i="9"/>
  <c r="AE65" i="9"/>
  <c r="AE64" i="9"/>
  <c r="AE63" i="9"/>
  <c r="AE62" i="9"/>
  <c r="AE61" i="9"/>
  <c r="AE60" i="9"/>
  <c r="AE59" i="9"/>
  <c r="AE58" i="9"/>
  <c r="AE57" i="9"/>
  <c r="AE56" i="9"/>
  <c r="AE55" i="9"/>
  <c r="AE54" i="9"/>
  <c r="AE53" i="9"/>
  <c r="AE52" i="9"/>
  <c r="AE51" i="9"/>
  <c r="AE50" i="9"/>
  <c r="AE49" i="9"/>
  <c r="AE48" i="9"/>
  <c r="AE47" i="9"/>
  <c r="AE46" i="9"/>
  <c r="AE45" i="9"/>
  <c r="AE44" i="9"/>
  <c r="AE41" i="9"/>
  <c r="AE40" i="9"/>
  <c r="AE39" i="9"/>
  <c r="AE38" i="9"/>
  <c r="AE37" i="9"/>
  <c r="AE36" i="9"/>
  <c r="AE35" i="9"/>
  <c r="AE34" i="9"/>
  <c r="AE33" i="9"/>
  <c r="AE32" i="9"/>
  <c r="AE31" i="9"/>
  <c r="AE30" i="9"/>
  <c r="AE29" i="9"/>
  <c r="AE28" i="9"/>
  <c r="AE27" i="9"/>
  <c r="AE26" i="9"/>
  <c r="AE25" i="9"/>
  <c r="AE24" i="9"/>
  <c r="AE23" i="9"/>
  <c r="AE22" i="9"/>
  <c r="AE21" i="9"/>
  <c r="AE20" i="9"/>
  <c r="AE19" i="9"/>
  <c r="AE18" i="9"/>
  <c r="AE17" i="9"/>
  <c r="AE16" i="9"/>
  <c r="AE15" i="9"/>
  <c r="AE14" i="9"/>
  <c r="AE13" i="9"/>
  <c r="AE12" i="9"/>
  <c r="AE11" i="9"/>
  <c r="AE10" i="9"/>
  <c r="AE9" i="9"/>
  <c r="AE8" i="9"/>
  <c r="AE7" i="9"/>
  <c r="AE6" i="9"/>
  <c r="AC111" i="9"/>
  <c r="AC110" i="9"/>
  <c r="AC108" i="9"/>
  <c r="AC105" i="9"/>
  <c r="AC104" i="9"/>
  <c r="AC101" i="9"/>
  <c r="AC100" i="9"/>
  <c r="AC99" i="9"/>
  <c r="AC98" i="9"/>
  <c r="AC95" i="9"/>
  <c r="AC94" i="9"/>
  <c r="AC93" i="9"/>
  <c r="AC92" i="9"/>
  <c r="AC91" i="9"/>
  <c r="AC90" i="9"/>
  <c r="AC89" i="9"/>
  <c r="AC88" i="9"/>
  <c r="AC85" i="9"/>
  <c r="AC84" i="9"/>
  <c r="AC83" i="9"/>
  <c r="AC82" i="9"/>
  <c r="AC81" i="9"/>
  <c r="AC80" i="9"/>
  <c r="AC79" i="9"/>
  <c r="AC78" i="9"/>
  <c r="AC77" i="9"/>
  <c r="AC76" i="9"/>
  <c r="AC75" i="9"/>
  <c r="AC74" i="9"/>
  <c r="AC73" i="9"/>
  <c r="AC72" i="9"/>
  <c r="AC71" i="9"/>
  <c r="AC70" i="9"/>
  <c r="AC67" i="9"/>
  <c r="AC66" i="9"/>
  <c r="AC65" i="9"/>
  <c r="AC64" i="9"/>
  <c r="AC63" i="9"/>
  <c r="AC62" i="9"/>
  <c r="AC61" i="9"/>
  <c r="AC60" i="9"/>
  <c r="AC59" i="9"/>
  <c r="AC58" i="9"/>
  <c r="AC57" i="9"/>
  <c r="AC56" i="9"/>
  <c r="AC55" i="9"/>
  <c r="AC54" i="9"/>
  <c r="AC53" i="9"/>
  <c r="AC52" i="9"/>
  <c r="AC51" i="9"/>
  <c r="AC50" i="9"/>
  <c r="AC49" i="9"/>
  <c r="AC48" i="9"/>
  <c r="AC47" i="9"/>
  <c r="AC46" i="9"/>
  <c r="AC45" i="9"/>
  <c r="AC44" i="9"/>
  <c r="AC41" i="9"/>
  <c r="AC40" i="9"/>
  <c r="AC39" i="9"/>
  <c r="AC38" i="9"/>
  <c r="AC37" i="9"/>
  <c r="AC36" i="9"/>
  <c r="AC35" i="9"/>
  <c r="AC34" i="9"/>
  <c r="AC33" i="9"/>
  <c r="AC32" i="9"/>
  <c r="AC31" i="9"/>
  <c r="AC30" i="9"/>
  <c r="AC29" i="9"/>
  <c r="AC28" i="9"/>
  <c r="AC27" i="9"/>
  <c r="AC26" i="9"/>
  <c r="AC25" i="9"/>
  <c r="AC24" i="9"/>
  <c r="AC23" i="9"/>
  <c r="AC22" i="9"/>
  <c r="AC21" i="9"/>
  <c r="AC20" i="9"/>
  <c r="AC19" i="9"/>
  <c r="AC18" i="9"/>
  <c r="AC17" i="9"/>
  <c r="AC16" i="9"/>
  <c r="AC15" i="9"/>
  <c r="AC14" i="9"/>
  <c r="AC13" i="9"/>
  <c r="AC12" i="9"/>
  <c r="AC11" i="9"/>
  <c r="AC10" i="9"/>
  <c r="AC9" i="9"/>
  <c r="AC8" i="9"/>
  <c r="AC7" i="9"/>
  <c r="AC6" i="9"/>
  <c r="AA111" i="9"/>
  <c r="AA110" i="9"/>
  <c r="AA108" i="9"/>
  <c r="AA105" i="9"/>
  <c r="AA104" i="9"/>
  <c r="AA101" i="9"/>
  <c r="AA100" i="9"/>
  <c r="AA99" i="9"/>
  <c r="AA98" i="9"/>
  <c r="AA95" i="9"/>
  <c r="AA94" i="9"/>
  <c r="AA93" i="9"/>
  <c r="AA92" i="9"/>
  <c r="AA91" i="9"/>
  <c r="AA90" i="9"/>
  <c r="AA89" i="9"/>
  <c r="AA88" i="9"/>
  <c r="AA85" i="9"/>
  <c r="AA84" i="9"/>
  <c r="AA83" i="9"/>
  <c r="AA82" i="9"/>
  <c r="AA81" i="9"/>
  <c r="AA80" i="9"/>
  <c r="AA79" i="9"/>
  <c r="AA78" i="9"/>
  <c r="AA77" i="9"/>
  <c r="AA76" i="9"/>
  <c r="AA75" i="9"/>
  <c r="AA74" i="9"/>
  <c r="AA73" i="9"/>
  <c r="AA72" i="9"/>
  <c r="AA71" i="9"/>
  <c r="AA70" i="9"/>
  <c r="AA67" i="9"/>
  <c r="AA66" i="9"/>
  <c r="AA65" i="9"/>
  <c r="AA64" i="9"/>
  <c r="AA63" i="9"/>
  <c r="AA62" i="9"/>
  <c r="AA61" i="9"/>
  <c r="AA60" i="9"/>
  <c r="AA59" i="9"/>
  <c r="AA58" i="9"/>
  <c r="AA57" i="9"/>
  <c r="AA56" i="9"/>
  <c r="AA55" i="9"/>
  <c r="AA54" i="9"/>
  <c r="AA53" i="9"/>
  <c r="AA52" i="9"/>
  <c r="AA51" i="9"/>
  <c r="AA50" i="9"/>
  <c r="AA49" i="9"/>
  <c r="AA48" i="9"/>
  <c r="AA47" i="9"/>
  <c r="AA46" i="9"/>
  <c r="AA45" i="9"/>
  <c r="AA44" i="9"/>
  <c r="AA41" i="9"/>
  <c r="AA40" i="9"/>
  <c r="AA39" i="9"/>
  <c r="AA38" i="9"/>
  <c r="AA37" i="9"/>
  <c r="AA36" i="9"/>
  <c r="AA35" i="9"/>
  <c r="AA34" i="9"/>
  <c r="AA33" i="9"/>
  <c r="AA32" i="9"/>
  <c r="AA31" i="9"/>
  <c r="AA30" i="9"/>
  <c r="AA29" i="9"/>
  <c r="AA28" i="9"/>
  <c r="AA27" i="9"/>
  <c r="AA26" i="9"/>
  <c r="AA25" i="9"/>
  <c r="AA24" i="9"/>
  <c r="AA23" i="9"/>
  <c r="AA22" i="9"/>
  <c r="AA21" i="9"/>
  <c r="AA20" i="9"/>
  <c r="AA19" i="9"/>
  <c r="AA18" i="9"/>
  <c r="AA17" i="9"/>
  <c r="AA16" i="9"/>
  <c r="AA15" i="9"/>
  <c r="AA14" i="9"/>
  <c r="AA13" i="9"/>
  <c r="AA12" i="9"/>
  <c r="AA11" i="9"/>
  <c r="AA10" i="9"/>
  <c r="AA9" i="9"/>
  <c r="AA8" i="9"/>
  <c r="AA7" i="9"/>
  <c r="AA6" i="9"/>
  <c r="Y111" i="9"/>
  <c r="Y110" i="9"/>
  <c r="Y108" i="9"/>
  <c r="Y105" i="9"/>
  <c r="Y104" i="9"/>
  <c r="Y101" i="9"/>
  <c r="Y100" i="9"/>
  <c r="Y99" i="9"/>
  <c r="Y98" i="9"/>
  <c r="Y95" i="9"/>
  <c r="Y94" i="9"/>
  <c r="Y93" i="9"/>
  <c r="Y92" i="9"/>
  <c r="Y91" i="9"/>
  <c r="Y90" i="9"/>
  <c r="Y89" i="9"/>
  <c r="Y88" i="9"/>
  <c r="Y85" i="9"/>
  <c r="Y84" i="9"/>
  <c r="Y83" i="9"/>
  <c r="Y82" i="9"/>
  <c r="Y81" i="9"/>
  <c r="Y80" i="9"/>
  <c r="Y79" i="9"/>
  <c r="Y78" i="9"/>
  <c r="Y77" i="9"/>
  <c r="Y76" i="9"/>
  <c r="Y75" i="9"/>
  <c r="Y74" i="9"/>
  <c r="Y73" i="9"/>
  <c r="Y72" i="9"/>
  <c r="Y71" i="9"/>
  <c r="Y70" i="9"/>
  <c r="Y67" i="9"/>
  <c r="Y66" i="9"/>
  <c r="Y65" i="9"/>
  <c r="Y64" i="9"/>
  <c r="Y63" i="9"/>
  <c r="Y62" i="9"/>
  <c r="Y61" i="9"/>
  <c r="Y60" i="9"/>
  <c r="Y59" i="9"/>
  <c r="Y58" i="9"/>
  <c r="Y57" i="9"/>
  <c r="Y56" i="9"/>
  <c r="Y55" i="9"/>
  <c r="Y54" i="9"/>
  <c r="Y53" i="9"/>
  <c r="Y52" i="9"/>
  <c r="Y51" i="9"/>
  <c r="Y50" i="9"/>
  <c r="Y49" i="9"/>
  <c r="Y48" i="9"/>
  <c r="Y47" i="9"/>
  <c r="Y46" i="9"/>
  <c r="Y45" i="9"/>
  <c r="Y44" i="9"/>
  <c r="Y41" i="9"/>
  <c r="Y40" i="9"/>
  <c r="Y39" i="9"/>
  <c r="Y38" i="9"/>
  <c r="Y37" i="9"/>
  <c r="Y36" i="9"/>
  <c r="Y35" i="9"/>
  <c r="Y34" i="9"/>
  <c r="Y33" i="9"/>
  <c r="Y32" i="9"/>
  <c r="Y31" i="9"/>
  <c r="Y30" i="9"/>
  <c r="Y29" i="9"/>
  <c r="Y28" i="9"/>
  <c r="Y27" i="9"/>
  <c r="Y26" i="9"/>
  <c r="Y25" i="9"/>
  <c r="Y24" i="9"/>
  <c r="Y23" i="9"/>
  <c r="Y22" i="9"/>
  <c r="Y21" i="9"/>
  <c r="Y20" i="9"/>
  <c r="Y19" i="9"/>
  <c r="Y18" i="9"/>
  <c r="Y17" i="9"/>
  <c r="Y16" i="9"/>
  <c r="Y15" i="9"/>
  <c r="Y14" i="9"/>
  <c r="Y13" i="9"/>
  <c r="Y12" i="9"/>
  <c r="Y11" i="9"/>
  <c r="Y10" i="9"/>
  <c r="Y9" i="9"/>
  <c r="Y8" i="9"/>
  <c r="Y7" i="9"/>
  <c r="Y6" i="9"/>
  <c r="W111" i="9"/>
  <c r="W110" i="9"/>
  <c r="W108" i="9"/>
  <c r="W105" i="9"/>
  <c r="W104" i="9"/>
  <c r="W101" i="9"/>
  <c r="W100" i="9"/>
  <c r="W99" i="9"/>
  <c r="W98" i="9"/>
  <c r="W95" i="9"/>
  <c r="W94" i="9"/>
  <c r="W93" i="9"/>
  <c r="W92" i="9"/>
  <c r="W91" i="9"/>
  <c r="W90" i="9"/>
  <c r="W89" i="9"/>
  <c r="W88" i="9"/>
  <c r="W85" i="9"/>
  <c r="W84" i="9"/>
  <c r="W83" i="9"/>
  <c r="W82" i="9"/>
  <c r="W81" i="9"/>
  <c r="W80" i="9"/>
  <c r="W79" i="9"/>
  <c r="W78" i="9"/>
  <c r="W77" i="9"/>
  <c r="W76" i="9"/>
  <c r="W75" i="9"/>
  <c r="W74" i="9"/>
  <c r="W73" i="9"/>
  <c r="W72" i="9"/>
  <c r="W71" i="9"/>
  <c r="W70" i="9"/>
  <c r="W67" i="9"/>
  <c r="W66" i="9"/>
  <c r="W65" i="9"/>
  <c r="W64" i="9"/>
  <c r="W63" i="9"/>
  <c r="W62" i="9"/>
  <c r="W61" i="9"/>
  <c r="W60" i="9"/>
  <c r="W59" i="9"/>
  <c r="W58" i="9"/>
  <c r="W57" i="9"/>
  <c r="W56" i="9"/>
  <c r="W55" i="9"/>
  <c r="W54" i="9"/>
  <c r="W53" i="9"/>
  <c r="W52" i="9"/>
  <c r="W51" i="9"/>
  <c r="W50" i="9"/>
  <c r="W49" i="9"/>
  <c r="W48" i="9"/>
  <c r="W47" i="9"/>
  <c r="W46" i="9"/>
  <c r="W45" i="9"/>
  <c r="W44" i="9"/>
  <c r="W41" i="9"/>
  <c r="W40" i="9"/>
  <c r="W39" i="9"/>
  <c r="W38" i="9"/>
  <c r="W37" i="9"/>
  <c r="W36" i="9"/>
  <c r="W35" i="9"/>
  <c r="W34" i="9"/>
  <c r="W33" i="9"/>
  <c r="W32" i="9"/>
  <c r="W31" i="9"/>
  <c r="W30" i="9"/>
  <c r="W29" i="9"/>
  <c r="W28" i="9"/>
  <c r="W27" i="9"/>
  <c r="W26" i="9"/>
  <c r="W25" i="9"/>
  <c r="W24" i="9"/>
  <c r="W23" i="9"/>
  <c r="W22" i="9"/>
  <c r="W21" i="9"/>
  <c r="W20" i="9"/>
  <c r="W19" i="9"/>
  <c r="W18" i="9"/>
  <c r="W17" i="9"/>
  <c r="W16" i="9"/>
  <c r="W15" i="9"/>
  <c r="W14" i="9"/>
  <c r="W13" i="9"/>
  <c r="W12" i="9"/>
  <c r="W11" i="9"/>
  <c r="W10" i="9"/>
  <c r="W9" i="9"/>
  <c r="W8" i="9"/>
  <c r="W7" i="9"/>
  <c r="W6" i="9"/>
  <c r="U111" i="9"/>
  <c r="U110" i="9"/>
  <c r="U108" i="9"/>
  <c r="U105" i="9"/>
  <c r="U104" i="9"/>
  <c r="U101" i="9"/>
  <c r="U100" i="9"/>
  <c r="U99" i="9"/>
  <c r="U98" i="9"/>
  <c r="U95" i="9"/>
  <c r="U94" i="9"/>
  <c r="U93" i="9"/>
  <c r="U92" i="9"/>
  <c r="U91" i="9"/>
  <c r="U90" i="9"/>
  <c r="U89" i="9"/>
  <c r="U88" i="9"/>
  <c r="U85" i="9"/>
  <c r="U84" i="9"/>
  <c r="U83" i="9"/>
  <c r="U82" i="9"/>
  <c r="U81" i="9"/>
  <c r="U80" i="9"/>
  <c r="U79" i="9"/>
  <c r="U78" i="9"/>
  <c r="U77" i="9"/>
  <c r="U76" i="9"/>
  <c r="U75" i="9"/>
  <c r="U74" i="9"/>
  <c r="U73" i="9"/>
  <c r="U72" i="9"/>
  <c r="U71" i="9"/>
  <c r="U70" i="9"/>
  <c r="U67" i="9"/>
  <c r="U66" i="9"/>
  <c r="U65" i="9"/>
  <c r="U64" i="9"/>
  <c r="U63" i="9"/>
  <c r="U62" i="9"/>
  <c r="U61" i="9"/>
  <c r="U60" i="9"/>
  <c r="U59" i="9"/>
  <c r="U58" i="9"/>
  <c r="U57" i="9"/>
  <c r="U56" i="9"/>
  <c r="U55" i="9"/>
  <c r="U54" i="9"/>
  <c r="U53" i="9"/>
  <c r="U52" i="9"/>
  <c r="U51" i="9"/>
  <c r="U50" i="9"/>
  <c r="U49" i="9"/>
  <c r="U48" i="9"/>
  <c r="U47" i="9"/>
  <c r="U46" i="9"/>
  <c r="U45" i="9"/>
  <c r="U44" i="9"/>
  <c r="U41" i="9"/>
  <c r="U40" i="9"/>
  <c r="U39" i="9"/>
  <c r="U38" i="9"/>
  <c r="U37" i="9"/>
  <c r="U36" i="9"/>
  <c r="U35" i="9"/>
  <c r="U34" i="9"/>
  <c r="U33" i="9"/>
  <c r="U32" i="9"/>
  <c r="U31" i="9"/>
  <c r="U30" i="9"/>
  <c r="U29" i="9"/>
  <c r="U28" i="9"/>
  <c r="U27" i="9"/>
  <c r="U26" i="9"/>
  <c r="U25" i="9"/>
  <c r="U24" i="9"/>
  <c r="U23" i="9"/>
  <c r="U22" i="9"/>
  <c r="U21" i="9"/>
  <c r="U20" i="9"/>
  <c r="U19" i="9"/>
  <c r="U18" i="9"/>
  <c r="U17" i="9"/>
  <c r="U16" i="9"/>
  <c r="U15" i="9"/>
  <c r="U14" i="9"/>
  <c r="U13" i="9"/>
  <c r="U12" i="9"/>
  <c r="U11" i="9"/>
  <c r="U10" i="9"/>
  <c r="U9" i="9"/>
  <c r="U8" i="9"/>
  <c r="U7" i="9"/>
  <c r="U6"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7" i="9"/>
  <c r="S6" i="9"/>
  <c r="S111" i="9"/>
  <c r="J62" i="9" l="1"/>
  <c r="F62" i="9"/>
  <c r="CZ4" i="9" l="1"/>
  <c r="G62" i="9" l="1"/>
  <c r="C62" i="9" s="1"/>
  <c r="B62" i="9"/>
  <c r="J61" i="9" l="1"/>
  <c r="F61" i="9"/>
  <c r="CX4" i="9" l="1"/>
  <c r="G61" i="9" s="1"/>
  <c r="C61" i="9" s="1"/>
  <c r="J60" i="9"/>
  <c r="F60" i="9"/>
  <c r="B61" i="9" l="1"/>
  <c r="CV4" i="9"/>
  <c r="B60" i="9" l="1"/>
  <c r="G60" i="9"/>
  <c r="C60" i="9" s="1"/>
  <c r="J59" i="9"/>
  <c r="F59" i="9"/>
  <c r="CT4" i="9" l="1"/>
  <c r="G59" i="9" l="1"/>
  <c r="C59" i="9" s="1"/>
  <c r="B59" i="9"/>
  <c r="J58" i="9"/>
  <c r="F58" i="9"/>
  <c r="CR4" i="9" l="1"/>
  <c r="G58" i="9" l="1"/>
  <c r="C58" i="9" s="1"/>
  <c r="B58" i="9"/>
  <c r="J57" i="9"/>
  <c r="F57" i="9"/>
  <c r="CP4" i="9"/>
  <c r="G57" i="9" s="1"/>
  <c r="C57" i="9" s="1"/>
  <c r="B57" i="9" l="1"/>
  <c r="J56" i="9"/>
  <c r="F56" i="9"/>
  <c r="CN4" i="9" l="1"/>
  <c r="G56" i="9" s="1"/>
  <c r="C56" i="9" s="1"/>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F55" i="9"/>
  <c r="CL4" i="9" l="1"/>
  <c r="B55" i="9" s="1"/>
  <c r="B56" i="9"/>
  <c r="G55" i="9"/>
  <c r="C55" i="9" s="1"/>
  <c r="F54" i="9"/>
  <c r="CJ4" i="9" l="1"/>
  <c r="B54" i="9" s="1"/>
  <c r="F53" i="9"/>
  <c r="G54" i="9" l="1"/>
  <c r="C54" i="9" s="1"/>
  <c r="CH4" i="9"/>
  <c r="B53" i="9" s="1"/>
  <c r="F52" i="9"/>
  <c r="F51" i="9"/>
  <c r="G53" i="9" l="1"/>
  <c r="C53" i="9" s="1"/>
  <c r="CD4" i="9"/>
  <c r="B51" i="9" s="1"/>
  <c r="G51" i="9"/>
  <c r="C51" i="9" s="1"/>
  <c r="CF4" i="9"/>
  <c r="F50" i="9"/>
  <c r="B52" i="9" l="1"/>
  <c r="G52" i="9"/>
  <c r="C52" i="9" s="1"/>
  <c r="CB4" i="9"/>
  <c r="F49" i="9"/>
  <c r="G50" i="9" l="1"/>
  <c r="C50" i="9" s="1"/>
  <c r="B50" i="9"/>
  <c r="BZ4" i="9"/>
  <c r="B49" i="9" l="1"/>
  <c r="G49" i="9"/>
  <c r="C49" i="9" s="1"/>
  <c r="F48" i="9"/>
  <c r="BX4" i="9" l="1"/>
  <c r="G48" i="9" l="1"/>
  <c r="C48" i="9" s="1"/>
  <c r="B48" i="9"/>
  <c r="F47" i="9"/>
  <c r="BV4" i="9" l="1"/>
  <c r="F46" i="9"/>
  <c r="BT4" i="9" l="1"/>
  <c r="B46" i="9" s="1"/>
  <c r="G47" i="9"/>
  <c r="C47" i="9" s="1"/>
  <c r="B47" i="9"/>
  <c r="F45" i="9"/>
  <c r="G46" i="9" l="1"/>
  <c r="C46" i="9" s="1"/>
  <c r="BR4" i="9"/>
  <c r="F44" i="9"/>
  <c r="S45" i="9"/>
  <c r="BP4" i="9" l="1"/>
  <c r="G44" i="9" s="1"/>
  <c r="C44" i="9" s="1"/>
  <c r="B45" i="9"/>
  <c r="G45" i="9"/>
  <c r="C45" i="9" s="1"/>
  <c r="F43" i="9"/>
  <c r="B44" i="9" l="1"/>
  <c r="BN4" i="9"/>
  <c r="F42" i="9"/>
  <c r="BL4" i="9" l="1"/>
  <c r="G43" i="9"/>
  <c r="C43" i="9" s="1"/>
  <c r="B43" i="9"/>
  <c r="F41" i="9"/>
  <c r="B42" i="9" l="1"/>
  <c r="G42" i="9"/>
  <c r="C42" i="9" s="1"/>
  <c r="BJ4" i="9"/>
  <c r="G41" i="9" l="1"/>
  <c r="C41" i="9" s="1"/>
  <c r="B41" i="9"/>
  <c r="F40" i="9" l="1"/>
  <c r="BH4" i="9" l="1"/>
  <c r="F39" i="9"/>
  <c r="BF4" i="9" l="1"/>
  <c r="B39" i="9" s="1"/>
  <c r="G40" i="9"/>
  <c r="C40" i="9" s="1"/>
  <c r="B40" i="9"/>
  <c r="F38" i="9"/>
  <c r="G39" i="9" l="1"/>
  <c r="C39" i="9" s="1"/>
  <c r="BD4" i="9"/>
  <c r="B38" i="9" s="1"/>
  <c r="F37" i="9"/>
  <c r="G38" i="9" l="1"/>
  <c r="C38" i="9" s="1"/>
  <c r="BB4" i="9"/>
  <c r="G37" i="9" s="1"/>
  <c r="C37" i="9" s="1"/>
  <c r="B37" i="9" l="1"/>
  <c r="F36" i="9"/>
  <c r="AZ4" i="9" l="1"/>
  <c r="F35" i="9"/>
  <c r="G36" i="9" l="1"/>
  <c r="C36" i="9" s="1"/>
  <c r="B36" i="9"/>
  <c r="AX4" i="9"/>
  <c r="B35" i="9" l="1"/>
  <c r="G35" i="9"/>
  <c r="C35" i="9" s="1"/>
  <c r="F34" i="9"/>
  <c r="AV4" i="9" l="1"/>
  <c r="B34" i="9" l="1"/>
  <c r="G34" i="9"/>
  <c r="C34" i="9" s="1"/>
  <c r="F33" i="9"/>
  <c r="AT4" i="9" l="1"/>
  <c r="B33" i="9" l="1"/>
  <c r="G33" i="9"/>
  <c r="C33" i="9" s="1"/>
  <c r="F32" i="9"/>
  <c r="AR4" i="9" l="1"/>
  <c r="F31" i="9"/>
  <c r="B32" i="9" l="1"/>
  <c r="G32" i="9"/>
  <c r="C32" i="9" s="1"/>
  <c r="AP4" i="9"/>
  <c r="B31" i="9" l="1"/>
  <c r="G31" i="9"/>
  <c r="C31" i="9" s="1"/>
  <c r="F30" i="9" l="1"/>
  <c r="AN4" i="9" l="1"/>
  <c r="F29" i="9"/>
  <c r="B30" i="9" l="1"/>
  <c r="G30" i="9"/>
  <c r="C30" i="9" s="1"/>
  <c r="AL4" i="9"/>
  <c r="B29" i="9" s="1"/>
  <c r="F28" i="9"/>
  <c r="G29" i="9" l="1"/>
  <c r="C29" i="9" s="1"/>
  <c r="AJ4" i="9"/>
  <c r="B28" i="9" s="1"/>
  <c r="F27" i="9"/>
  <c r="G28" i="9" l="1"/>
  <c r="C28" i="9" s="1"/>
  <c r="AH4" i="9"/>
  <c r="G27" i="9" l="1"/>
  <c r="C27" i="9" s="1"/>
  <c r="B27" i="9"/>
  <c r="F26" i="9"/>
  <c r="AF4" i="9" l="1"/>
  <c r="G26" i="9" s="1"/>
  <c r="C26" i="9" s="1"/>
  <c r="B26" i="9"/>
  <c r="F25" i="9" l="1"/>
  <c r="AD4" i="9" l="1"/>
  <c r="B25" i="9" s="1"/>
  <c r="G25" i="9" l="1"/>
  <c r="C25" i="9" s="1"/>
  <c r="F20" i="9"/>
  <c r="F21" i="9"/>
  <c r="F22" i="9"/>
  <c r="F23" i="9"/>
  <c r="F24" i="9"/>
  <c r="F19" i="9"/>
  <c r="Z4" i="9" l="1"/>
  <c r="B23" i="9" s="1"/>
  <c r="AB4" i="9"/>
  <c r="B24" i="9" s="1"/>
  <c r="Z5" i="9" l="1"/>
  <c r="G24" i="9"/>
  <c r="C24" i="9" s="1"/>
  <c r="G23" i="9"/>
  <c r="C23" i="9" s="1"/>
  <c r="BE10" i="3"/>
  <c r="BE9" i="3" s="1"/>
  <c r="C3" i="8" l="1"/>
  <c r="C111" i="8"/>
  <c r="L66" i="3"/>
  <c r="L65" i="3"/>
  <c r="L64" i="3" l="1"/>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 i="3"/>
  <c r="S110" i="9" l="1"/>
  <c r="S108" i="9"/>
  <c r="S105" i="9"/>
  <c r="S104" i="9"/>
  <c r="S99" i="9"/>
  <c r="S100" i="9"/>
  <c r="S101" i="9"/>
  <c r="S98" i="9"/>
  <c r="S89" i="9"/>
  <c r="S90" i="9"/>
  <c r="S91" i="9"/>
  <c r="S92" i="9"/>
  <c r="S93" i="9"/>
  <c r="S94" i="9"/>
  <c r="S95" i="9"/>
  <c r="S88" i="9"/>
  <c r="S71" i="9"/>
  <c r="S72" i="9"/>
  <c r="S73" i="9"/>
  <c r="S74" i="9"/>
  <c r="S75" i="9"/>
  <c r="S76" i="9"/>
  <c r="S77" i="9"/>
  <c r="S78" i="9"/>
  <c r="S79" i="9"/>
  <c r="S80" i="9"/>
  <c r="S81" i="9"/>
  <c r="S82" i="9"/>
  <c r="S83" i="9"/>
  <c r="S84" i="9"/>
  <c r="S85" i="9"/>
  <c r="S70" i="9"/>
  <c r="S67" i="9"/>
  <c r="S66" i="9"/>
  <c r="S65" i="9"/>
  <c r="S64" i="9"/>
  <c r="S63" i="9"/>
  <c r="S62" i="9"/>
  <c r="S61" i="9"/>
  <c r="S60" i="9"/>
  <c r="S59" i="9"/>
  <c r="S58" i="9"/>
  <c r="S57" i="9"/>
  <c r="S56" i="9"/>
  <c r="S55" i="9"/>
  <c r="S54" i="9"/>
  <c r="S53" i="9"/>
  <c r="S52" i="9"/>
  <c r="S51" i="9"/>
  <c r="S50" i="9"/>
  <c r="S49" i="9"/>
  <c r="S48" i="9"/>
  <c r="S47" i="9"/>
  <c r="S46" i="9"/>
  <c r="S44" i="9"/>
  <c r="C110"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6" i="8"/>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2" i="6"/>
  <c r="X4" i="9" l="1"/>
  <c r="B22" i="9" s="1"/>
  <c r="V4" i="9"/>
  <c r="T4" i="9"/>
  <c r="R4" i="9"/>
  <c r="B19" i="9" s="1"/>
  <c r="BN38" i="3"/>
  <c r="BM38" i="3"/>
  <c r="BL38" i="3"/>
  <c r="BG38" i="3"/>
  <c r="BO34" i="3" s="1"/>
  <c r="BU34" i="3" s="1"/>
  <c r="BO37" i="3"/>
  <c r="BU37" i="3" s="1"/>
  <c r="BM37" i="3"/>
  <c r="BL37" i="3"/>
  <c r="BG37" i="3"/>
  <c r="BN34" i="3" s="1"/>
  <c r="BT34" i="3" s="1"/>
  <c r="BO36" i="3"/>
  <c r="BN36" i="3"/>
  <c r="BT36" i="3" s="1"/>
  <c r="BL36" i="3"/>
  <c r="BG36" i="3"/>
  <c r="BM34" i="3" s="1"/>
  <c r="BS34" i="3" s="1"/>
  <c r="BO35" i="3"/>
  <c r="BN35" i="3"/>
  <c r="BM35" i="3"/>
  <c r="BS35" i="3" s="1"/>
  <c r="BG35" i="3"/>
  <c r="BL34" i="3" s="1"/>
  <c r="BR34" i="3" s="1"/>
  <c r="BG33" i="3"/>
  <c r="BN32" i="3"/>
  <c r="BM32" i="3"/>
  <c r="BL32" i="3"/>
  <c r="BG32" i="3"/>
  <c r="BO28" i="3" s="1"/>
  <c r="BU28" i="3" s="1"/>
  <c r="BO31" i="3"/>
  <c r="BU31" i="3" s="1"/>
  <c r="BM31" i="3"/>
  <c r="BL31" i="3"/>
  <c r="BG31" i="3"/>
  <c r="BN28" i="3" s="1"/>
  <c r="BT28" i="3" s="1"/>
  <c r="BO30" i="3"/>
  <c r="BN30" i="3"/>
  <c r="BL30" i="3"/>
  <c r="BG30" i="3"/>
  <c r="BM28" i="3" s="1"/>
  <c r="BS28" i="3" s="1"/>
  <c r="BO29" i="3"/>
  <c r="BN29" i="3"/>
  <c r="BM29" i="3"/>
  <c r="BS29" i="3" s="1"/>
  <c r="BG29" i="3"/>
  <c r="BL28" i="3" s="1"/>
  <c r="BR28" i="3" s="1"/>
  <c r="BG27" i="3"/>
  <c r="BN26" i="3"/>
  <c r="BM26" i="3"/>
  <c r="BL26" i="3"/>
  <c r="BG26" i="3"/>
  <c r="BO25" i="3"/>
  <c r="BM25" i="3"/>
  <c r="BL25" i="3"/>
  <c r="BG25" i="3"/>
  <c r="BN22" i="3" s="1"/>
  <c r="BT22" i="3" s="1"/>
  <c r="BO24" i="3"/>
  <c r="BN24" i="3"/>
  <c r="BT24" i="3" s="1"/>
  <c r="BL24" i="3"/>
  <c r="BG24" i="3"/>
  <c r="BM22" i="3" s="1"/>
  <c r="BS22" i="3" s="1"/>
  <c r="BO23" i="3"/>
  <c r="BN23" i="3"/>
  <c r="BM23" i="3"/>
  <c r="BS23" i="3" s="1"/>
  <c r="BG23" i="3"/>
  <c r="BL22" i="3" s="1"/>
  <c r="BR22" i="3" s="1"/>
  <c r="BO22" i="3"/>
  <c r="BU22" i="3" s="1"/>
  <c r="BG21" i="3"/>
  <c r="BN20" i="3"/>
  <c r="BM20" i="3"/>
  <c r="BL20" i="3"/>
  <c r="BG20" i="3"/>
  <c r="BO16" i="3" s="1"/>
  <c r="BU16" i="3" s="1"/>
  <c r="BO19" i="3"/>
  <c r="BU19" i="3" s="1"/>
  <c r="BM19" i="3"/>
  <c r="BL19" i="3"/>
  <c r="BG19" i="3"/>
  <c r="BN16" i="3" s="1"/>
  <c r="BT16" i="3" s="1"/>
  <c r="BO18" i="3"/>
  <c r="BN18" i="3"/>
  <c r="BT18" i="3" s="1"/>
  <c r="BL18" i="3"/>
  <c r="BG18" i="3"/>
  <c r="BM16" i="3" s="1"/>
  <c r="BS16" i="3" s="1"/>
  <c r="BO17" i="3"/>
  <c r="BN17" i="3"/>
  <c r="BM17" i="3"/>
  <c r="BG17" i="3"/>
  <c r="BL16" i="3" s="1"/>
  <c r="BR16" i="3" s="1"/>
  <c r="BG15" i="3"/>
  <c r="BG9" i="3"/>
  <c r="BG3" i="3"/>
  <c r="BN14" i="3"/>
  <c r="BM14" i="3"/>
  <c r="BL14" i="3"/>
  <c r="BO13" i="3"/>
  <c r="BM13" i="3"/>
  <c r="BL13" i="3"/>
  <c r="BO12" i="3"/>
  <c r="BN12" i="3"/>
  <c r="BL12" i="3"/>
  <c r="BO11" i="3"/>
  <c r="BN11" i="3"/>
  <c r="BM11" i="3"/>
  <c r="BG14" i="3"/>
  <c r="BO10" i="3" s="1"/>
  <c r="BU10" i="3" s="1"/>
  <c r="BG13" i="3"/>
  <c r="BG12" i="3"/>
  <c r="BM10" i="3" s="1"/>
  <c r="BS10" i="3" s="1"/>
  <c r="BG11" i="3"/>
  <c r="BL10" i="3" s="1"/>
  <c r="BR10" i="3" s="1"/>
  <c r="BN10" i="3"/>
  <c r="BT10" i="3" s="1"/>
  <c r="BE8" i="3"/>
  <c r="BE7" i="3" s="1"/>
  <c r="BE6" i="3" s="1"/>
  <c r="BE5" i="3" s="1"/>
  <c r="BN8" i="3"/>
  <c r="BO7" i="3"/>
  <c r="BM8" i="3"/>
  <c r="BO6" i="3"/>
  <c r="BM7" i="3"/>
  <c r="BN6" i="3"/>
  <c r="BO5" i="3"/>
  <c r="BL8" i="3"/>
  <c r="BL7" i="3"/>
  <c r="BN5" i="3"/>
  <c r="BL6" i="3"/>
  <c r="BM5" i="3"/>
  <c r="BG6" i="3"/>
  <c r="BM4" i="3" s="1"/>
  <c r="BS4" i="3" s="1"/>
  <c r="BG7" i="3"/>
  <c r="BN4" i="3" s="1"/>
  <c r="BT4" i="3" s="1"/>
  <c r="BG8" i="3"/>
  <c r="BO4" i="3" s="1"/>
  <c r="BU4" i="3" s="1"/>
  <c r="BG5" i="3"/>
  <c r="BL4" i="3" s="1"/>
  <c r="BR4" i="3" s="1"/>
  <c r="BU35" i="3" l="1"/>
  <c r="BT30" i="3"/>
  <c r="BU25" i="3"/>
  <c r="BU29" i="3"/>
  <c r="BU17" i="3"/>
  <c r="G21" i="9"/>
  <c r="C21" i="9" s="1"/>
  <c r="B21" i="9"/>
  <c r="G20" i="9"/>
  <c r="C20" i="9" s="1"/>
  <c r="B20" i="9"/>
  <c r="G19" i="9"/>
  <c r="C19" i="9" s="1"/>
  <c r="Z2" i="9"/>
  <c r="AB2" i="9"/>
  <c r="X5" i="9"/>
  <c r="G22" i="9"/>
  <c r="C22" i="9" s="1"/>
  <c r="BT23" i="3"/>
  <c r="BT35" i="3"/>
  <c r="BU36" i="3"/>
  <c r="BU24" i="3"/>
  <c r="BU18" i="3"/>
  <c r="BR24" i="3"/>
  <c r="R5" i="9"/>
  <c r="R2" i="9"/>
  <c r="X2" i="9"/>
  <c r="T2" i="9"/>
  <c r="T5" i="9"/>
  <c r="V5" i="9"/>
  <c r="V2" i="9"/>
  <c r="BS37" i="3"/>
  <c r="BT17" i="3"/>
  <c r="BU23" i="3"/>
  <c r="BU30" i="3"/>
  <c r="BR36" i="3"/>
  <c r="BS25" i="3"/>
  <c r="BR32" i="3"/>
  <c r="BT32" i="3"/>
  <c r="BR26" i="3"/>
  <c r="BT26" i="3"/>
  <c r="BT29" i="3"/>
  <c r="BR30" i="3"/>
  <c r="BS31" i="3"/>
  <c r="BR38" i="3"/>
  <c r="BT38" i="3"/>
  <c r="BR20" i="3"/>
  <c r="BS19" i="3"/>
  <c r="BS17" i="3"/>
  <c r="BR18" i="3"/>
  <c r="BT20" i="3"/>
  <c r="BR12" i="3"/>
  <c r="BS11" i="3"/>
  <c r="BT11" i="3"/>
  <c r="BT12" i="3"/>
  <c r="BU11" i="3"/>
  <c r="BU13" i="3"/>
  <c r="BR6" i="3"/>
  <c r="BR7" i="3"/>
  <c r="BR8" i="3"/>
  <c r="BT6" i="3"/>
  <c r="BS8" i="3"/>
  <c r="BT8" i="3"/>
  <c r="BR37" i="3"/>
  <c r="BS38" i="3"/>
  <c r="BR31" i="3"/>
  <c r="BS32" i="3"/>
  <c r="BR25" i="3"/>
  <c r="BS26" i="3"/>
  <c r="BR19" i="3"/>
  <c r="BS20" i="3"/>
  <c r="BT14" i="3"/>
  <c r="BS13" i="3"/>
  <c r="BR14" i="3"/>
  <c r="BU12" i="3"/>
  <c r="BR13" i="3"/>
  <c r="BS14" i="3"/>
  <c r="BU5" i="3"/>
  <c r="BS7" i="3"/>
  <c r="BT5" i="3"/>
  <c r="BU7" i="3"/>
  <c r="BS5" i="3"/>
  <c r="BU6" i="3"/>
  <c r="AJ38" i="3"/>
  <c r="AI38" i="3"/>
  <c r="AE38" i="3"/>
  <c r="AJ37" i="3"/>
  <c r="AI37" i="3"/>
  <c r="AE37" i="3"/>
  <c r="AJ36" i="3"/>
  <c r="AI36" i="3"/>
  <c r="AE36" i="3"/>
  <c r="AJ35" i="3"/>
  <c r="AI35" i="3"/>
  <c r="AE35" i="3"/>
  <c r="AE32" i="3"/>
  <c r="AE31" i="3"/>
  <c r="AE30" i="3"/>
  <c r="AE29" i="3"/>
  <c r="AE26" i="3"/>
  <c r="AE25" i="3"/>
  <c r="AE24" i="3"/>
  <c r="AE23" i="3"/>
  <c r="AJ20" i="3" a="1"/>
  <c r="AJ20" i="3" s="1"/>
  <c r="AI20" i="3" a="1"/>
  <c r="AI20" i="3" s="1"/>
  <c r="AE20" i="3"/>
  <c r="AJ19" i="3" a="1"/>
  <c r="AJ19" i="3" s="1"/>
  <c r="AI19" i="3" a="1"/>
  <c r="AI19" i="3" s="1"/>
  <c r="AE19" i="3"/>
  <c r="AJ18" i="3" a="1"/>
  <c r="AJ18" i="3" s="1"/>
  <c r="AI18" i="3" a="1"/>
  <c r="AI18" i="3" s="1"/>
  <c r="AE18" i="3"/>
  <c r="AJ17" i="3" a="1"/>
  <c r="AJ17" i="3" s="1"/>
  <c r="AI17" i="3" a="1"/>
  <c r="AI17" i="3" s="1"/>
  <c r="AE17" i="3"/>
  <c r="AJ14" i="3" a="1"/>
  <c r="AJ14" i="3" s="1"/>
  <c r="AI14" i="3" a="1"/>
  <c r="AI14" i="3" s="1"/>
  <c r="AE14" i="3"/>
  <c r="AJ13" i="3" a="1"/>
  <c r="AJ13" i="3" s="1"/>
  <c r="AI13" i="3" a="1"/>
  <c r="AI13" i="3" s="1"/>
  <c r="AE13" i="3"/>
  <c r="AJ12" i="3" a="1"/>
  <c r="AJ12" i="3" s="1"/>
  <c r="AI12" i="3" a="1"/>
  <c r="AI12" i="3" s="1"/>
  <c r="AE12" i="3"/>
  <c r="AJ11" i="3" a="1"/>
  <c r="AJ11" i="3" s="1"/>
  <c r="AI11" i="3" a="1"/>
  <c r="AI11" i="3" s="1"/>
  <c r="AE11" i="3"/>
  <c r="AJ8" i="3" a="1"/>
  <c r="AJ8" i="3" s="1"/>
  <c r="AI8" i="3" a="1"/>
  <c r="AI8" i="3" s="1"/>
  <c r="AJ7" i="3" a="1"/>
  <c r="AJ7" i="3" s="1"/>
  <c r="AI7" i="3" a="1"/>
  <c r="AI7" i="3" s="1"/>
  <c r="AJ6" i="3" a="1"/>
  <c r="AJ6" i="3" s="1"/>
  <c r="AI6" i="3" a="1"/>
  <c r="AI6" i="3" s="1"/>
  <c r="AJ5" i="3" a="1"/>
  <c r="AJ5" i="3" s="1"/>
  <c r="AI5" i="3" a="1"/>
  <c r="AI5" i="3" s="1"/>
  <c r="AF26" i="3" a="1"/>
  <c r="AF26" i="3" s="1"/>
  <c r="AF25" i="3" a="1"/>
  <c r="AF25" i="3" s="1"/>
  <c r="AF24" i="3" a="1"/>
  <c r="AF24" i="3" s="1"/>
  <c r="AF29" i="3" a="1"/>
  <c r="AF29" i="3" s="1"/>
  <c r="AG29" i="3" a="1"/>
  <c r="AG29" i="3" s="1"/>
  <c r="AH29" i="3" a="1"/>
  <c r="AH29" i="3" s="1"/>
  <c r="AI29" i="3"/>
  <c r="AJ29" i="3"/>
  <c r="AF30" i="3" a="1"/>
  <c r="AF30" i="3" s="1"/>
  <c r="AG30" i="3" a="1"/>
  <c r="AG30" i="3" s="1"/>
  <c r="AH30" i="3" a="1"/>
  <c r="AH30" i="3" s="1"/>
  <c r="AI30" i="3"/>
  <c r="AJ30" i="3"/>
  <c r="AF31" i="3" a="1"/>
  <c r="AF31" i="3" s="1"/>
  <c r="AG31" i="3" a="1"/>
  <c r="AG31" i="3" s="1"/>
  <c r="AH31" i="3" a="1"/>
  <c r="AH31" i="3" s="1"/>
  <c r="AI31" i="3"/>
  <c r="AJ31" i="3"/>
  <c r="AF32" i="3" a="1"/>
  <c r="AF32" i="3" s="1"/>
  <c r="AG32" i="3" a="1"/>
  <c r="AG32" i="3" s="1"/>
  <c r="AH32" i="3" a="1"/>
  <c r="AH32" i="3" s="1"/>
  <c r="AI32" i="3"/>
  <c r="AJ32" i="3"/>
  <c r="F47" i="3" l="1"/>
  <c r="D58" i="9"/>
  <c r="E62" i="9"/>
  <c r="D62" i="9"/>
  <c r="D61" i="9"/>
  <c r="E61" i="9"/>
  <c r="D60" i="9"/>
  <c r="E60" i="9"/>
  <c r="D59" i="9"/>
  <c r="E59" i="9"/>
  <c r="E58" i="9"/>
  <c r="D56" i="9"/>
  <c r="D57" i="9"/>
  <c r="E57" i="9"/>
  <c r="E56" i="9"/>
  <c r="D55" i="9"/>
  <c r="E55" i="9"/>
  <c r="D52" i="9"/>
  <c r="E54" i="9"/>
  <c r="D54" i="9"/>
  <c r="D53" i="9"/>
  <c r="E53" i="9"/>
  <c r="E52" i="9"/>
  <c r="D51" i="9"/>
  <c r="E51" i="9"/>
  <c r="E50" i="9"/>
  <c r="D50" i="9"/>
  <c r="D49" i="9"/>
  <c r="E49" i="9"/>
  <c r="D48" i="9"/>
  <c r="E48" i="9"/>
  <c r="D47" i="9"/>
  <c r="E47" i="9"/>
  <c r="E46" i="9"/>
  <c r="D46" i="9"/>
  <c r="D45" i="9"/>
  <c r="E45" i="9"/>
  <c r="D44" i="9"/>
  <c r="D35" i="9"/>
  <c r="E44" i="9"/>
  <c r="D43" i="9"/>
  <c r="E43" i="9"/>
  <c r="D42" i="9"/>
  <c r="E42" i="9"/>
  <c r="E41" i="9"/>
  <c r="D41" i="9"/>
  <c r="E40" i="9"/>
  <c r="D40" i="9"/>
  <c r="E39" i="9"/>
  <c r="D39" i="9"/>
  <c r="D38" i="9"/>
  <c r="E38" i="9"/>
  <c r="D37" i="9"/>
  <c r="E37" i="9"/>
  <c r="E36" i="9"/>
  <c r="D36" i="9"/>
  <c r="E35" i="9"/>
  <c r="D34" i="9"/>
  <c r="E34" i="9"/>
  <c r="D33" i="9"/>
  <c r="E33" i="9"/>
  <c r="D32" i="9"/>
  <c r="E32" i="9"/>
  <c r="D31" i="9"/>
  <c r="E31" i="9"/>
  <c r="D30" i="9"/>
  <c r="E30" i="9"/>
  <c r="D29" i="9"/>
  <c r="E29" i="9"/>
  <c r="E28" i="9"/>
  <c r="D28" i="9"/>
  <c r="E27" i="9"/>
  <c r="D27" i="9"/>
  <c r="E26" i="9"/>
  <c r="D26" i="9"/>
  <c r="D25" i="9"/>
  <c r="E25" i="9"/>
  <c r="E22" i="9"/>
  <c r="D20" i="9"/>
  <c r="D21" i="9"/>
  <c r="D22" i="9"/>
  <c r="D24" i="9"/>
  <c r="E19" i="9"/>
  <c r="E23" i="9"/>
  <c r="E24" i="9"/>
  <c r="E20" i="9"/>
  <c r="E21" i="9"/>
  <c r="D23" i="9"/>
  <c r="D19" i="9"/>
  <c r="AB1" i="9"/>
  <c r="Z1" i="9"/>
  <c r="T1" i="9"/>
  <c r="R1" i="9"/>
  <c r="X1" i="9"/>
  <c r="V1" i="9"/>
  <c r="AK32" i="3"/>
  <c r="AD32" i="3"/>
  <c r="AK31" i="3"/>
  <c r="AK30" i="3"/>
  <c r="AK29" i="3"/>
  <c r="AD29" i="3"/>
  <c r="AD31" i="3"/>
  <c r="AD30" i="3"/>
  <c r="AK5" i="3"/>
  <c r="AH38" i="3" a="1"/>
  <c r="AH38" i="3" s="1"/>
  <c r="AG38" i="3" a="1"/>
  <c r="AG38" i="3" s="1"/>
  <c r="AF38" i="3" a="1"/>
  <c r="AF38" i="3" s="1"/>
  <c r="AH37" i="3" a="1"/>
  <c r="AH37" i="3" s="1"/>
  <c r="AG37" i="3" a="1"/>
  <c r="AG37" i="3" s="1"/>
  <c r="AF37" i="3" a="1"/>
  <c r="AF37" i="3" s="1"/>
  <c r="AH36" i="3" a="1"/>
  <c r="AH36" i="3" s="1"/>
  <c r="AG36" i="3" a="1"/>
  <c r="AG36" i="3" s="1"/>
  <c r="AF36" i="3" a="1"/>
  <c r="AF36" i="3" s="1"/>
  <c r="AH35" i="3" a="1"/>
  <c r="AH35" i="3" s="1"/>
  <c r="AG35" i="3" a="1"/>
  <c r="AG35" i="3" s="1"/>
  <c r="AF35" i="3" a="1"/>
  <c r="AF35" i="3" s="1"/>
  <c r="AH5" i="3" a="1"/>
  <c r="AH5" i="3" s="1"/>
  <c r="AG5" i="3" a="1"/>
  <c r="AG5" i="3" s="1"/>
  <c r="AF5" i="3" a="1"/>
  <c r="AF5" i="3" s="1"/>
  <c r="AE5" i="3"/>
  <c r="AH24" i="3" a="1"/>
  <c r="AH24" i="3" s="1"/>
  <c r="AH25" i="3" a="1"/>
  <c r="AH25" i="3" s="1"/>
  <c r="AH26" i="3" a="1"/>
  <c r="AH26" i="3" s="1"/>
  <c r="AH23" i="3" a="1"/>
  <c r="AH23" i="3" s="1"/>
  <c r="AG24" i="3" a="1"/>
  <c r="AG24" i="3" s="1"/>
  <c r="AG25" i="3" a="1"/>
  <c r="AG25" i="3" s="1"/>
  <c r="AG26" i="3" a="1"/>
  <c r="AG26" i="3" s="1"/>
  <c r="AG23" i="3" a="1"/>
  <c r="AG23" i="3" s="1"/>
  <c r="AH6" i="3" a="1"/>
  <c r="AH6" i="3" s="1"/>
  <c r="AH7" i="3" a="1"/>
  <c r="AH7" i="3" s="1"/>
  <c r="AH8" i="3" a="1"/>
  <c r="AH8" i="3" s="1"/>
  <c r="AG6" i="3" a="1"/>
  <c r="AG6" i="3" s="1"/>
  <c r="AG7" i="3" a="1"/>
  <c r="AG7" i="3" s="1"/>
  <c r="AG8" i="3" a="1"/>
  <c r="AG8" i="3" s="1"/>
  <c r="AF6" i="3" a="1"/>
  <c r="AF6" i="3" s="1"/>
  <c r="AF7" i="3" a="1"/>
  <c r="AF7" i="3" s="1"/>
  <c r="AF8" i="3" a="1"/>
  <c r="AF8" i="3" s="1"/>
  <c r="AJ26" i="3"/>
  <c r="AI26" i="3"/>
  <c r="AJ25" i="3"/>
  <c r="AI25" i="3"/>
  <c r="AJ24" i="3"/>
  <c r="AI24" i="3"/>
  <c r="AJ23" i="3"/>
  <c r="AI23" i="3"/>
  <c r="AF23" i="3" a="1"/>
  <c r="AF23" i="3" s="1"/>
  <c r="AF18" i="3" a="1"/>
  <c r="AF18" i="3" s="1"/>
  <c r="AG18" i="3" a="1"/>
  <c r="AG18" i="3" s="1"/>
  <c r="AH18" i="3" a="1"/>
  <c r="AH18" i="3" s="1"/>
  <c r="AF19" i="3" a="1"/>
  <c r="AF19" i="3" s="1"/>
  <c r="AG19" i="3" a="1"/>
  <c r="AG19" i="3" s="1"/>
  <c r="AH19" i="3" a="1"/>
  <c r="AH19" i="3" s="1"/>
  <c r="AF20" i="3" a="1"/>
  <c r="AF20" i="3" s="1"/>
  <c r="AG20" i="3" a="1"/>
  <c r="AG20" i="3" s="1"/>
  <c r="AH20" i="3" a="1"/>
  <c r="AH20" i="3" s="1"/>
  <c r="AH17" i="3" a="1"/>
  <c r="AH17" i="3" s="1"/>
  <c r="AG17" i="3" a="1"/>
  <c r="AG17" i="3" s="1"/>
  <c r="AF17" i="3" a="1"/>
  <c r="AF17" i="3" s="1"/>
  <c r="AF12" i="3" a="1"/>
  <c r="AF12" i="3" s="1"/>
  <c r="AG12" i="3" a="1"/>
  <c r="AG12" i="3" s="1"/>
  <c r="AH12" i="3" a="1"/>
  <c r="AH12" i="3" s="1"/>
  <c r="AF13" i="3" a="1"/>
  <c r="AF13" i="3" s="1"/>
  <c r="AG13" i="3" a="1"/>
  <c r="AG13" i="3" s="1"/>
  <c r="AH13" i="3" a="1"/>
  <c r="AH13" i="3" s="1"/>
  <c r="AF14" i="3" a="1"/>
  <c r="AF14" i="3" s="1"/>
  <c r="AG14" i="3" a="1"/>
  <c r="AG14" i="3" s="1"/>
  <c r="AH14" i="3" a="1"/>
  <c r="AH14" i="3" s="1"/>
  <c r="AH11" i="3" a="1"/>
  <c r="AH11" i="3" s="1"/>
  <c r="AG11" i="3" a="1"/>
  <c r="AG11" i="3" s="1"/>
  <c r="AF11" i="3" a="1"/>
  <c r="AF11" i="3" s="1"/>
  <c r="AE6" i="3"/>
  <c r="AE7" i="3"/>
  <c r="AE8" i="3"/>
  <c r="L62" i="9" l="1"/>
  <c r="M62" i="9"/>
  <c r="L61" i="9"/>
  <c r="M61" i="9"/>
  <c r="L60" i="9"/>
  <c r="M60" i="9"/>
  <c r="L59" i="9"/>
  <c r="M59" i="9"/>
  <c r="L58" i="9"/>
  <c r="M58" i="9"/>
  <c r="L57" i="9"/>
  <c r="M57" i="9"/>
  <c r="L56" i="9"/>
  <c r="M56" i="9"/>
  <c r="L22" i="9"/>
  <c r="L27" i="9"/>
  <c r="L33" i="9"/>
  <c r="L38" i="9"/>
  <c r="L43" i="9"/>
  <c r="L49" i="9"/>
  <c r="L54" i="9"/>
  <c r="M25" i="9"/>
  <c r="M33" i="9"/>
  <c r="M41" i="9"/>
  <c r="M49" i="9"/>
  <c r="L23" i="9"/>
  <c r="L34" i="9"/>
  <c r="L45" i="9"/>
  <c r="L55" i="9"/>
  <c r="M34" i="9"/>
  <c r="M50" i="9"/>
  <c r="L25" i="9"/>
  <c r="L35" i="9"/>
  <c r="L46" i="9"/>
  <c r="M21" i="9"/>
  <c r="M37" i="9"/>
  <c r="M53" i="9"/>
  <c r="L21" i="9"/>
  <c r="L26" i="9"/>
  <c r="L31" i="9"/>
  <c r="L37" i="9"/>
  <c r="L42" i="9"/>
  <c r="L47" i="9"/>
  <c r="L53" i="9"/>
  <c r="M22" i="9"/>
  <c r="M30" i="9"/>
  <c r="M38" i="9"/>
  <c r="M46" i="9"/>
  <c r="M54" i="9"/>
  <c r="K54" i="9" s="1"/>
  <c r="L29" i="9"/>
  <c r="L39" i="9"/>
  <c r="L50" i="9"/>
  <c r="M26" i="9"/>
  <c r="M42" i="9"/>
  <c r="L19" i="9"/>
  <c r="L30" i="9"/>
  <c r="L41" i="9"/>
  <c r="L51" i="9"/>
  <c r="M29" i="9"/>
  <c r="M45" i="9"/>
  <c r="L48" i="9"/>
  <c r="M55" i="9"/>
  <c r="L44" i="9"/>
  <c r="M51" i="9"/>
  <c r="M31" i="9"/>
  <c r="M36" i="9"/>
  <c r="L40" i="9"/>
  <c r="L36" i="9"/>
  <c r="M27" i="9"/>
  <c r="K27" i="9" s="1"/>
  <c r="L32" i="9"/>
  <c r="L28" i="9"/>
  <c r="M43" i="9"/>
  <c r="M44" i="9"/>
  <c r="M28" i="9"/>
  <c r="L20" i="9"/>
  <c r="L52" i="9"/>
  <c r="L24" i="9"/>
  <c r="M35" i="9"/>
  <c r="K35" i="9" s="1"/>
  <c r="M19" i="9"/>
  <c r="K19" i="9" s="1"/>
  <c r="M40" i="9"/>
  <c r="M24" i="9"/>
  <c r="M52" i="9"/>
  <c r="M20" i="9"/>
  <c r="K20" i="9" s="1"/>
  <c r="M39" i="9"/>
  <c r="M47" i="9"/>
  <c r="M48" i="9"/>
  <c r="M32" i="9"/>
  <c r="M23" i="9"/>
  <c r="BH30" i="3"/>
  <c r="BK30" i="3"/>
  <c r="BK29" i="3"/>
  <c r="BH29" i="3"/>
  <c r="BQ29" i="3"/>
  <c r="BH32" i="3"/>
  <c r="BK32" i="3"/>
  <c r="BQ30" i="3"/>
  <c r="BQ32" i="3"/>
  <c r="BK31" i="3"/>
  <c r="BH31" i="3"/>
  <c r="BQ31" i="3"/>
  <c r="AK7" i="3"/>
  <c r="AK8" i="3"/>
  <c r="AD24" i="3"/>
  <c r="AK37" i="3"/>
  <c r="AD26" i="3"/>
  <c r="AK17" i="3"/>
  <c r="AD11" i="3"/>
  <c r="AD13" i="3"/>
  <c r="AK6" i="3"/>
  <c r="AK35" i="3"/>
  <c r="AD36" i="3"/>
  <c r="AD38" i="3"/>
  <c r="AK25" i="3"/>
  <c r="AK13" i="3"/>
  <c r="AK38" i="3"/>
  <c r="AK36" i="3"/>
  <c r="AD37" i="3"/>
  <c r="AD35" i="3"/>
  <c r="AD25" i="3"/>
  <c r="AK23" i="3"/>
  <c r="AK26" i="3"/>
  <c r="AK24" i="3"/>
  <c r="AD23" i="3"/>
  <c r="AK18" i="3"/>
  <c r="AD17" i="3"/>
  <c r="AD18" i="3"/>
  <c r="AK20" i="3"/>
  <c r="AD19" i="3"/>
  <c r="AD20" i="3"/>
  <c r="AK19" i="3"/>
  <c r="AK11" i="3"/>
  <c r="AK12" i="3"/>
  <c r="AD14" i="3"/>
  <c r="AD12" i="3"/>
  <c r="AK14" i="3"/>
  <c r="AD5" i="3"/>
  <c r="AD7" i="3"/>
  <c r="AD6" i="3"/>
  <c r="AD8" i="3"/>
  <c r="K61" i="9" l="1"/>
  <c r="K62" i="9"/>
  <c r="K60" i="9"/>
  <c r="K59" i="9"/>
  <c r="K58" i="9"/>
  <c r="K39" i="9"/>
  <c r="K51" i="9"/>
  <c r="K31" i="9"/>
  <c r="K26" i="9"/>
  <c r="K43" i="9"/>
  <c r="K47" i="9"/>
  <c r="K24" i="9"/>
  <c r="K44" i="9"/>
  <c r="K22" i="9"/>
  <c r="K52" i="9"/>
  <c r="K42" i="9"/>
  <c r="K38" i="9"/>
  <c r="K57" i="9"/>
  <c r="K34" i="9"/>
  <c r="K53" i="9"/>
  <c r="K49" i="9"/>
  <c r="K48" i="9"/>
  <c r="K28" i="9"/>
  <c r="K36" i="9"/>
  <c r="K55" i="9"/>
  <c r="K30" i="9"/>
  <c r="K25" i="9"/>
  <c r="K56" i="9"/>
  <c r="K23" i="9"/>
  <c r="K40" i="9"/>
  <c r="K45" i="9"/>
  <c r="K46" i="9"/>
  <c r="K37" i="9"/>
  <c r="K41" i="9"/>
  <c r="K32" i="9"/>
  <c r="K29" i="9"/>
  <c r="K21" i="9"/>
  <c r="K50" i="9"/>
  <c r="K33" i="9"/>
  <c r="BJ32" i="3"/>
  <c r="BP31" i="3"/>
  <c r="BH23" i="3"/>
  <c r="BK23" i="3"/>
  <c r="BQ23" i="3"/>
  <c r="BH25" i="3"/>
  <c r="BK25" i="3"/>
  <c r="BQ25" i="3"/>
  <c r="BH37" i="3"/>
  <c r="BK37" i="3"/>
  <c r="BQ37" i="3"/>
  <c r="BH36" i="3"/>
  <c r="BQ36" i="3"/>
  <c r="BK36" i="3"/>
  <c r="BH26" i="3"/>
  <c r="BK26" i="3"/>
  <c r="BQ26" i="3"/>
  <c r="BH24" i="3"/>
  <c r="BK24" i="3"/>
  <c r="BQ24" i="3"/>
  <c r="BP32" i="3"/>
  <c r="BI32" i="3" s="1"/>
  <c r="AL32" i="3" s="1"/>
  <c r="BP29" i="3"/>
  <c r="BJ29" i="3"/>
  <c r="BH35" i="3"/>
  <c r="BK35" i="3"/>
  <c r="BQ35" i="3"/>
  <c r="BH38" i="3"/>
  <c r="BK38" i="3"/>
  <c r="BQ38" i="3"/>
  <c r="BJ31" i="3"/>
  <c r="BI31" i="3" s="1"/>
  <c r="AL31" i="3" s="1"/>
  <c r="BP30" i="3"/>
  <c r="BJ30" i="3"/>
  <c r="BH19" i="3"/>
  <c r="BK19" i="3"/>
  <c r="BQ19" i="3"/>
  <c r="BH18" i="3"/>
  <c r="BQ18" i="3"/>
  <c r="BK18" i="3"/>
  <c r="BH20" i="3"/>
  <c r="BK20" i="3"/>
  <c r="BQ20" i="3"/>
  <c r="BH17" i="3"/>
  <c r="BK17" i="3"/>
  <c r="BQ17" i="3"/>
  <c r="BH6" i="3"/>
  <c r="BH5" i="3"/>
  <c r="BH8" i="3"/>
  <c r="BH7" i="3"/>
  <c r="BH12" i="3"/>
  <c r="BH13" i="3"/>
  <c r="BH14" i="3"/>
  <c r="BH11" i="3"/>
  <c r="BQ12" i="3"/>
  <c r="BK12" i="3"/>
  <c r="BK13" i="3"/>
  <c r="BQ13" i="3"/>
  <c r="BK14" i="3"/>
  <c r="BQ14" i="3"/>
  <c r="BK11" i="3"/>
  <c r="BQ11" i="3"/>
  <c r="BQ6" i="3"/>
  <c r="BK6" i="3"/>
  <c r="BK5" i="3"/>
  <c r="BQ5" i="3"/>
  <c r="BQ8" i="3"/>
  <c r="BK8" i="3"/>
  <c r="BK7" i="3"/>
  <c r="BQ7" i="3"/>
  <c r="BJ24" i="3" l="1"/>
  <c r="BP38" i="3"/>
  <c r="BJ36" i="3"/>
  <c r="BP24" i="3"/>
  <c r="BP35" i="3"/>
  <c r="BP26" i="3"/>
  <c r="BP23" i="3"/>
  <c r="BI30" i="3"/>
  <c r="AL30" i="3" s="1"/>
  <c r="BJ38" i="3"/>
  <c r="BJ35" i="3"/>
  <c r="BI29" i="3"/>
  <c r="AL29" i="3" s="1"/>
  <c r="BJ26" i="3"/>
  <c r="BI26" i="3" s="1"/>
  <c r="AL26" i="3" s="1"/>
  <c r="BP36" i="3"/>
  <c r="BP37" i="3"/>
  <c r="BJ37" i="3"/>
  <c r="BP25" i="3"/>
  <c r="BJ25" i="3"/>
  <c r="BJ23" i="3"/>
  <c r="BJ17" i="3"/>
  <c r="BP20" i="3"/>
  <c r="BP18" i="3"/>
  <c r="BP19" i="3"/>
  <c r="BJ19" i="3"/>
  <c r="BP17" i="3"/>
  <c r="BJ20" i="3"/>
  <c r="BJ18" i="3"/>
  <c r="BJ7" i="3"/>
  <c r="BP8" i="3"/>
  <c r="BJ5" i="3"/>
  <c r="BP6" i="3"/>
  <c r="BP7" i="3"/>
  <c r="BI7" i="3" s="1"/>
  <c r="AL7" i="3" s="1"/>
  <c r="BJ8" i="3"/>
  <c r="BP5" i="3"/>
  <c r="BJ6" i="3"/>
  <c r="BJ11" i="3"/>
  <c r="BP14" i="3"/>
  <c r="BJ13" i="3"/>
  <c r="BJ12" i="3"/>
  <c r="BP11" i="3"/>
  <c r="BJ14" i="3"/>
  <c r="BP13" i="3"/>
  <c r="BP12" i="3"/>
  <c r="BI11" i="3" l="1"/>
  <c r="AL11" i="3" s="1"/>
  <c r="BI8" i="3"/>
  <c r="AL8" i="3" s="1"/>
  <c r="BI12" i="3"/>
  <c r="AL12" i="3" s="1"/>
  <c r="BI14" i="3"/>
  <c r="AL14" i="3" s="1"/>
  <c r="BI6" i="3"/>
  <c r="AL6" i="3" s="1"/>
  <c r="BI36" i="3"/>
  <c r="AL36" i="3" s="1"/>
  <c r="AB29" i="3"/>
  <c r="BI24" i="3"/>
  <c r="AL24" i="3" s="1"/>
  <c r="BI37" i="3"/>
  <c r="AL37" i="3" s="1"/>
  <c r="BI38" i="3"/>
  <c r="AL38" i="3" s="1"/>
  <c r="BI25" i="3"/>
  <c r="AL25" i="3" s="1"/>
  <c r="AB32" i="3"/>
  <c r="AM32" i="3" s="1"/>
  <c r="BI23" i="3"/>
  <c r="AL23" i="3" s="1"/>
  <c r="BI35" i="3"/>
  <c r="AL35" i="3" s="1"/>
  <c r="AB30" i="3"/>
  <c r="AB31" i="3"/>
  <c r="AM31" i="3" s="1"/>
  <c r="BI20" i="3"/>
  <c r="AL20" i="3" s="1"/>
  <c r="BI19" i="3"/>
  <c r="AL19" i="3" s="1"/>
  <c r="BI17" i="3"/>
  <c r="AL17" i="3" s="1"/>
  <c r="BI18" i="3"/>
  <c r="AL18" i="3" s="1"/>
  <c r="BI5" i="3"/>
  <c r="AL5" i="3" s="1"/>
  <c r="BI13" i="3"/>
  <c r="AL13" i="3" s="1"/>
  <c r="AM29" i="3" l="1"/>
  <c r="F48" i="3"/>
  <c r="K45" i="3"/>
  <c r="AW9" i="3"/>
  <c r="AU9" i="3"/>
  <c r="AY9" i="3"/>
  <c r="AS9" i="3"/>
  <c r="P29" i="3"/>
  <c r="Z29" i="3" s="1"/>
  <c r="P31" i="3"/>
  <c r="Z31" i="3" s="1"/>
  <c r="AB36" i="3"/>
  <c r="AM36" i="3" s="1"/>
  <c r="AM30" i="3"/>
  <c r="C76" i="8"/>
  <c r="AB23" i="3"/>
  <c r="AB26" i="3"/>
  <c r="AM26" i="3" s="1"/>
  <c r="AB24" i="3"/>
  <c r="AM24" i="3" s="1"/>
  <c r="AB25" i="3"/>
  <c r="AM25" i="3" s="1"/>
  <c r="P30" i="3"/>
  <c r="Z30" i="3" s="1"/>
  <c r="P32" i="3"/>
  <c r="Z32" i="3" s="1"/>
  <c r="AV9" i="3"/>
  <c r="AR9" i="3"/>
  <c r="AQ9" i="3"/>
  <c r="BC30" i="3" s="1"/>
  <c r="AX9" i="3"/>
  <c r="AT9" i="3"/>
  <c r="AB38" i="3"/>
  <c r="AM38" i="3" s="1"/>
  <c r="AB35" i="3"/>
  <c r="K47" i="3" s="1"/>
  <c r="AB37" i="3"/>
  <c r="AM37" i="3" s="1"/>
  <c r="AB19" i="3"/>
  <c r="AM19" i="3" s="1"/>
  <c r="AB17" i="3"/>
  <c r="AB20" i="3"/>
  <c r="AM20" i="3" s="1"/>
  <c r="AB18" i="3"/>
  <c r="AM18" i="3" s="1"/>
  <c r="AB12" i="3"/>
  <c r="AM12" i="3" s="1"/>
  <c r="AB8" i="3"/>
  <c r="AM8" i="3" s="1"/>
  <c r="AB6" i="3"/>
  <c r="AM6" i="3" s="1"/>
  <c r="AB7" i="3"/>
  <c r="AM7" i="3" s="1"/>
  <c r="AB5" i="3"/>
  <c r="F42" i="3" s="1"/>
  <c r="F43" i="3" l="1"/>
  <c r="F45" i="3"/>
  <c r="K42" i="3"/>
  <c r="BD35" i="3"/>
  <c r="AZ9" i="3"/>
  <c r="V31" i="3"/>
  <c r="BD34" i="3"/>
  <c r="X29" i="3"/>
  <c r="T29" i="3"/>
  <c r="C60" i="8"/>
  <c r="O29" i="3"/>
  <c r="C61" i="8"/>
  <c r="C62" i="8"/>
  <c r="V29" i="3"/>
  <c r="Q29" i="3"/>
  <c r="W29" i="3"/>
  <c r="S29" i="3"/>
  <c r="U29" i="3"/>
  <c r="R29" i="3"/>
  <c r="Y29" i="3" s="1"/>
  <c r="U31" i="3"/>
  <c r="BC25" i="3"/>
  <c r="BC28" i="3"/>
  <c r="BC31" i="3"/>
  <c r="X31" i="3"/>
  <c r="W31" i="3"/>
  <c r="T31" i="3"/>
  <c r="S31" i="3"/>
  <c r="R31" i="3"/>
  <c r="Y31" i="3" s="1"/>
  <c r="Q31" i="3"/>
  <c r="BC36" i="3"/>
  <c r="BC32" i="3"/>
  <c r="BD27" i="3"/>
  <c r="BC23" i="3"/>
  <c r="O31" i="3"/>
  <c r="T30" i="3"/>
  <c r="R30" i="3"/>
  <c r="Y30" i="3" s="1"/>
  <c r="C63" i="8"/>
  <c r="O30" i="3"/>
  <c r="O32" i="3"/>
  <c r="W30" i="3"/>
  <c r="V30" i="3"/>
  <c r="Q30" i="3"/>
  <c r="S30" i="3"/>
  <c r="U30" i="3"/>
  <c r="X30" i="3"/>
  <c r="Q32" i="3"/>
  <c r="R32" i="3"/>
  <c r="Y32" i="3" s="1"/>
  <c r="T32" i="3"/>
  <c r="X32" i="3"/>
  <c r="S32" i="3"/>
  <c r="V32" i="3"/>
  <c r="W32" i="3"/>
  <c r="U32" i="3"/>
  <c r="AM35" i="3"/>
  <c r="AR10" i="3"/>
  <c r="AY10" i="3"/>
  <c r="AW10" i="3"/>
  <c r="AT10" i="3"/>
  <c r="P37" i="3"/>
  <c r="P38" i="3"/>
  <c r="AU10" i="3"/>
  <c r="F46" i="3"/>
  <c r="C75" i="8" s="1"/>
  <c r="AX10" i="3"/>
  <c r="AV10" i="3"/>
  <c r="AQ10" i="3"/>
  <c r="BC27" i="3" s="1"/>
  <c r="AS10" i="3"/>
  <c r="P35" i="3"/>
  <c r="Z35" i="3" s="1"/>
  <c r="P36" i="3"/>
  <c r="AM23" i="3"/>
  <c r="AY8" i="3"/>
  <c r="AW8" i="3"/>
  <c r="AU8" i="3"/>
  <c r="AT8" i="3"/>
  <c r="AQ8" i="3"/>
  <c r="P23" i="3"/>
  <c r="Z23" i="3" s="1"/>
  <c r="P25" i="3"/>
  <c r="Z25" i="3" s="1"/>
  <c r="AR8" i="3"/>
  <c r="AX8" i="3"/>
  <c r="AV8" i="3"/>
  <c r="AS8" i="3"/>
  <c r="P24" i="3"/>
  <c r="Z24" i="3" s="1"/>
  <c r="P26" i="3"/>
  <c r="Z26" i="3" s="1"/>
  <c r="AM17" i="3"/>
  <c r="AY7" i="3"/>
  <c r="AQ7" i="3"/>
  <c r="AV7" i="3"/>
  <c r="AT7" i="3"/>
  <c r="AS7" i="3"/>
  <c r="AU7" i="3"/>
  <c r="C74" i="8"/>
  <c r="AR7" i="3"/>
  <c r="AW7" i="3"/>
  <c r="AX7" i="3"/>
  <c r="P18" i="3"/>
  <c r="Z18" i="3" s="1"/>
  <c r="P20" i="3"/>
  <c r="Z20" i="3" s="1"/>
  <c r="P19" i="3"/>
  <c r="Z19" i="3" s="1"/>
  <c r="P17" i="3"/>
  <c r="Z17" i="3" s="1"/>
  <c r="AB14" i="3"/>
  <c r="AM14" i="3" s="1"/>
  <c r="AB11" i="3"/>
  <c r="AX6" i="3" s="1"/>
  <c r="AB13" i="3"/>
  <c r="AM13" i="3" s="1"/>
  <c r="AS5" i="3"/>
  <c r="AT5" i="3"/>
  <c r="AX5" i="3"/>
  <c r="F41" i="3"/>
  <c r="C70" i="8" s="1"/>
  <c r="AW5" i="3"/>
  <c r="AU5" i="3"/>
  <c r="AQ5" i="3"/>
  <c r="AY5" i="3"/>
  <c r="AV5" i="3"/>
  <c r="AR5" i="3"/>
  <c r="P6" i="3"/>
  <c r="P5" i="3"/>
  <c r="P8" i="3"/>
  <c r="P7" i="3"/>
  <c r="Z7" i="3" s="1"/>
  <c r="AM5" i="3"/>
  <c r="AM11" i="3" l="1"/>
  <c r="F44" i="3"/>
  <c r="C73" i="8" s="1"/>
  <c r="K41" i="3"/>
  <c r="C78" i="8" s="1"/>
  <c r="AZ10" i="3"/>
  <c r="AZ7" i="3"/>
  <c r="AZ8" i="3"/>
  <c r="AZ5" i="3"/>
  <c r="AS6" i="3"/>
  <c r="AQ6" i="3"/>
  <c r="BE27" i="3" s="1"/>
  <c r="AU6" i="3"/>
  <c r="AT6" i="3"/>
  <c r="C77" i="8"/>
  <c r="C66" i="8"/>
  <c r="Z37" i="3"/>
  <c r="C65" i="8"/>
  <c r="Z36" i="3"/>
  <c r="C67" i="8"/>
  <c r="Z38" i="3"/>
  <c r="C64" i="8"/>
  <c r="C55" i="8"/>
  <c r="C47" i="8"/>
  <c r="Z8" i="3"/>
  <c r="C45" i="8"/>
  <c r="Z6" i="3"/>
  <c r="C44" i="8"/>
  <c r="Z5" i="3"/>
  <c r="C72" i="8"/>
  <c r="C84" i="8"/>
  <c r="L41" i="3"/>
  <c r="C59" i="8"/>
  <c r="C58" i="8"/>
  <c r="C57" i="8"/>
  <c r="C56" i="8"/>
  <c r="C54" i="8"/>
  <c r="C53" i="8"/>
  <c r="C52" i="8"/>
  <c r="C46" i="8"/>
  <c r="O24" i="3"/>
  <c r="X24" i="3"/>
  <c r="R24" i="3"/>
  <c r="Y24" i="3" s="1"/>
  <c r="U24" i="3"/>
  <c r="S24" i="3"/>
  <c r="W24" i="3"/>
  <c r="Q24" i="3"/>
  <c r="T24" i="3"/>
  <c r="V24" i="3"/>
  <c r="O23" i="3"/>
  <c r="Q23" i="3"/>
  <c r="S23" i="3"/>
  <c r="R23" i="3"/>
  <c r="Y23" i="3" s="1"/>
  <c r="V23" i="3"/>
  <c r="W23" i="3"/>
  <c r="T23" i="3"/>
  <c r="X23" i="3"/>
  <c r="U23" i="3"/>
  <c r="O35" i="3"/>
  <c r="R35" i="3"/>
  <c r="Q35" i="3"/>
  <c r="S35" i="3"/>
  <c r="V35" i="3"/>
  <c r="W35" i="3"/>
  <c r="X35" i="3"/>
  <c r="U35" i="3"/>
  <c r="T35" i="3"/>
  <c r="BC24" i="3"/>
  <c r="BE36" i="3"/>
  <c r="BC33" i="3"/>
  <c r="BE31" i="3"/>
  <c r="BC29" i="3"/>
  <c r="BC34" i="3"/>
  <c r="BE30" i="3"/>
  <c r="BC35" i="3"/>
  <c r="BC26" i="3"/>
  <c r="O37" i="3"/>
  <c r="T37" i="3"/>
  <c r="Q37" i="3"/>
  <c r="R37" i="3"/>
  <c r="W37" i="3"/>
  <c r="U37" i="3"/>
  <c r="S37" i="3"/>
  <c r="X37" i="3"/>
  <c r="V37" i="3"/>
  <c r="O26" i="3"/>
  <c r="S26" i="3"/>
  <c r="T26" i="3"/>
  <c r="W26" i="3"/>
  <c r="Q26" i="3"/>
  <c r="R26" i="3"/>
  <c r="Y26" i="3" s="1"/>
  <c r="X26" i="3"/>
  <c r="U26" i="3"/>
  <c r="V26" i="3"/>
  <c r="O25" i="3"/>
  <c r="U25" i="3"/>
  <c r="V25" i="3"/>
  <c r="W25" i="3"/>
  <c r="T25" i="3"/>
  <c r="Q25" i="3"/>
  <c r="R25" i="3"/>
  <c r="Y25" i="3" s="1"/>
  <c r="S25" i="3"/>
  <c r="X25" i="3"/>
  <c r="BD25" i="3"/>
  <c r="BD31" i="3"/>
  <c r="BB29" i="3"/>
  <c r="BD26" i="3"/>
  <c r="BB32" i="3"/>
  <c r="BB28" i="3"/>
  <c r="BB35" i="3"/>
  <c r="BB36" i="3"/>
  <c r="BB22" i="3"/>
  <c r="BB33" i="3"/>
  <c r="O36" i="3"/>
  <c r="W36" i="3"/>
  <c r="T36" i="3"/>
  <c r="R36" i="3"/>
  <c r="V36" i="3"/>
  <c r="U36" i="3"/>
  <c r="Q36" i="3"/>
  <c r="X36" i="3"/>
  <c r="S36" i="3"/>
  <c r="O38" i="3"/>
  <c r="V38" i="3"/>
  <c r="R38" i="3"/>
  <c r="T38" i="3"/>
  <c r="W38" i="3"/>
  <c r="U38" i="3"/>
  <c r="S38" i="3"/>
  <c r="Q38" i="3"/>
  <c r="X38" i="3"/>
  <c r="BD23" i="3"/>
  <c r="BD36" i="3"/>
  <c r="BD30" i="3"/>
  <c r="BD28" i="3"/>
  <c r="BD32" i="3"/>
  <c r="BD22" i="3"/>
  <c r="BB34" i="3"/>
  <c r="BD33" i="3"/>
  <c r="BD29" i="3"/>
  <c r="BD24" i="3"/>
  <c r="O18" i="3"/>
  <c r="T18" i="3"/>
  <c r="X18" i="3"/>
  <c r="V18" i="3"/>
  <c r="R18" i="3"/>
  <c r="Y18" i="3" s="1"/>
  <c r="U18" i="3"/>
  <c r="S18" i="3"/>
  <c r="Q18" i="3"/>
  <c r="W18" i="3"/>
  <c r="O19" i="3"/>
  <c r="R19" i="3"/>
  <c r="Y19" i="3" s="1"/>
  <c r="V19" i="3"/>
  <c r="T19" i="3"/>
  <c r="U19" i="3"/>
  <c r="X19" i="3"/>
  <c r="W19" i="3"/>
  <c r="Q19" i="3"/>
  <c r="S19" i="3"/>
  <c r="O17" i="3"/>
  <c r="Q17" i="3"/>
  <c r="R17" i="3"/>
  <c r="Y17" i="3" s="1"/>
  <c r="T17" i="3"/>
  <c r="U17" i="3"/>
  <c r="S17" i="3"/>
  <c r="W17" i="3"/>
  <c r="X17" i="3"/>
  <c r="V17" i="3"/>
  <c r="V20" i="3"/>
  <c r="O20" i="3"/>
  <c r="T20" i="3"/>
  <c r="Q20" i="3"/>
  <c r="R20" i="3"/>
  <c r="Y20" i="3" s="1"/>
  <c r="U20" i="3"/>
  <c r="X20" i="3"/>
  <c r="S20" i="3"/>
  <c r="W20" i="3"/>
  <c r="AV6" i="3"/>
  <c r="C71" i="8"/>
  <c r="AY6" i="3"/>
  <c r="AW6" i="3"/>
  <c r="AR6" i="3"/>
  <c r="P11" i="3"/>
  <c r="Z11" i="3" s="1"/>
  <c r="P13" i="3"/>
  <c r="Z13" i="3" s="1"/>
  <c r="P14" i="3"/>
  <c r="Z14" i="3" s="1"/>
  <c r="P12" i="3"/>
  <c r="Z12" i="3" s="1"/>
  <c r="BB23" i="3"/>
  <c r="BB25" i="3"/>
  <c r="BE29" i="3"/>
  <c r="BB30" i="3"/>
  <c r="BB26" i="3"/>
  <c r="BE22" i="3"/>
  <c r="BE28" i="3"/>
  <c r="BB27" i="3"/>
  <c r="BB31" i="3"/>
  <c r="BB24" i="3"/>
  <c r="Q7" i="3"/>
  <c r="R7" i="3"/>
  <c r="W7" i="3"/>
  <c r="T7" i="3"/>
  <c r="X7" i="3"/>
  <c r="O7" i="3"/>
  <c r="U7" i="3"/>
  <c r="S7" i="3"/>
  <c r="V7" i="3"/>
  <c r="Q5" i="3"/>
  <c r="W5" i="3"/>
  <c r="V5" i="3"/>
  <c r="R5" i="3"/>
  <c r="S5" i="3"/>
  <c r="O5" i="3"/>
  <c r="U5" i="3"/>
  <c r="X5" i="3"/>
  <c r="T5" i="3"/>
  <c r="O8" i="3"/>
  <c r="V8" i="3"/>
  <c r="T8" i="3"/>
  <c r="X8" i="3"/>
  <c r="S8" i="3"/>
  <c r="U8" i="3"/>
  <c r="R8" i="3"/>
  <c r="W8" i="3"/>
  <c r="Q8" i="3"/>
  <c r="X6" i="3"/>
  <c r="R6" i="3"/>
  <c r="Q6" i="3"/>
  <c r="U6" i="3"/>
  <c r="O6" i="3"/>
  <c r="W6" i="3"/>
  <c r="S6" i="3"/>
  <c r="V6" i="3"/>
  <c r="T6" i="3"/>
  <c r="BE32" i="3"/>
  <c r="BE35" i="3" l="1"/>
  <c r="Y38" i="3"/>
  <c r="Y36" i="3"/>
  <c r="AZ6" i="3"/>
  <c r="BA8" i="3" s="1"/>
  <c r="Y6" i="3"/>
  <c r="Y8" i="3"/>
  <c r="Y5" i="3"/>
  <c r="BE24" i="3"/>
  <c r="BE23" i="3"/>
  <c r="L48" i="3"/>
  <c r="Y7" i="3"/>
  <c r="Y37" i="3"/>
  <c r="Y35" i="3"/>
  <c r="BE25" i="3"/>
  <c r="BE33" i="3"/>
  <c r="BC22" i="3"/>
  <c r="BE26" i="3"/>
  <c r="BE34" i="3"/>
  <c r="C94" i="8"/>
  <c r="L47" i="3"/>
  <c r="C93" i="8"/>
  <c r="L46" i="3"/>
  <c r="C88" i="8"/>
  <c r="C49" i="8"/>
  <c r="T13" i="3"/>
  <c r="W13" i="3"/>
  <c r="C50" i="8"/>
  <c r="Q14" i="3"/>
  <c r="C51" i="8"/>
  <c r="C48" i="8"/>
  <c r="W11" i="3"/>
  <c r="Q12" i="3"/>
  <c r="S14" i="3"/>
  <c r="Q11" i="3"/>
  <c r="V11" i="3"/>
  <c r="R11" i="3"/>
  <c r="Y11" i="3" s="1"/>
  <c r="U14" i="3"/>
  <c r="S13" i="3"/>
  <c r="R12" i="3"/>
  <c r="Y12" i="3" s="1"/>
  <c r="V13" i="3"/>
  <c r="U13" i="3"/>
  <c r="U12" i="3"/>
  <c r="X13" i="3"/>
  <c r="O13" i="3"/>
  <c r="R13" i="3"/>
  <c r="Y13" i="3" s="1"/>
  <c r="Q13" i="3"/>
  <c r="X12" i="3"/>
  <c r="O12" i="3"/>
  <c r="W12" i="3"/>
  <c r="T11" i="3"/>
  <c r="S11" i="3"/>
  <c r="O14" i="3"/>
  <c r="X11" i="3"/>
  <c r="U11" i="3"/>
  <c r="O11" i="3"/>
  <c r="W14" i="3"/>
  <c r="X14" i="3"/>
  <c r="T14" i="3"/>
  <c r="R14" i="3"/>
  <c r="Y14" i="3" s="1"/>
  <c r="V14" i="3"/>
  <c r="S12" i="3"/>
  <c r="V12" i="3"/>
  <c r="T12" i="3"/>
  <c r="BA5" i="3"/>
  <c r="AO10" i="3" l="1"/>
  <c r="BA10" i="3"/>
  <c r="C95" i="8"/>
  <c r="BA6" i="3"/>
  <c r="AO5" i="3"/>
  <c r="AO6" i="3"/>
  <c r="BA7" i="3"/>
  <c r="O40" i="3"/>
  <c r="O41" i="3" s="1"/>
  <c r="AO7" i="3"/>
  <c r="BA9" i="3"/>
  <c r="AO8" i="3"/>
  <c r="AO9" i="3"/>
  <c r="O46" i="3" l="1"/>
  <c r="AQ15" i="3"/>
  <c r="AQ14" i="3"/>
  <c r="AP14" i="3"/>
  <c r="AP15" i="3"/>
  <c r="AP13" i="3"/>
  <c r="AQ13" i="3"/>
  <c r="AQ12" i="3"/>
  <c r="AP12" i="3"/>
  <c r="O47" i="3" l="1"/>
  <c r="AR14" i="3"/>
  <c r="AR12" i="3"/>
  <c r="AR15" i="3"/>
  <c r="AR13" i="3"/>
  <c r="AP20" i="3" l="1"/>
  <c r="AP19" i="3"/>
  <c r="AP18" i="3"/>
  <c r="AP17" i="3"/>
  <c r="AO22" i="3" l="1"/>
  <c r="BA34" i="3" s="1"/>
  <c r="BA22" i="3" l="1"/>
  <c r="BA25" i="3"/>
  <c r="BA36" i="3"/>
  <c r="BA32" i="3"/>
  <c r="BA24" i="3"/>
  <c r="BA26" i="3"/>
  <c r="BA35" i="3"/>
  <c r="BA27" i="3"/>
  <c r="BA28" i="3"/>
  <c r="BA23" i="3"/>
  <c r="BA33" i="3"/>
  <c r="BA30" i="3"/>
  <c r="BA31" i="3"/>
  <c r="BA29" i="3"/>
  <c r="K46" i="3" l="1"/>
  <c r="C83" i="8" s="1"/>
  <c r="K48" i="3"/>
  <c r="C85" i="8" s="1"/>
  <c r="K44" i="3"/>
  <c r="K43" i="3"/>
  <c r="C79" i="8"/>
  <c r="L42" i="3"/>
  <c r="L45" i="3"/>
  <c r="C82" i="8"/>
  <c r="C81" i="8" l="1"/>
  <c r="L44" i="3"/>
  <c r="C80" i="8"/>
  <c r="K58" i="3"/>
  <c r="C91" i="8"/>
  <c r="F58" i="3"/>
  <c r="L53" i="3" s="1"/>
  <c r="C90" i="8"/>
  <c r="K57" i="3"/>
  <c r="L52" i="3" s="1"/>
  <c r="C89" i="8"/>
  <c r="L43" i="3" l="1"/>
  <c r="C101" i="8"/>
  <c r="L54" i="3"/>
  <c r="C92" i="8"/>
  <c r="F57" i="3"/>
  <c r="C100" i="8"/>
  <c r="C99" i="8"/>
  <c r="K61" i="3"/>
  <c r="L58" i="3" s="1"/>
  <c r="C98" i="8" l="1"/>
  <c r="L51" i="3"/>
  <c r="F61" i="3"/>
  <c r="C105" i="8"/>
  <c r="C104" i="8" l="1"/>
  <c r="L57" i="3"/>
  <c r="F63" i="3"/>
  <c r="C108" i="8" l="1"/>
  <c r="L63" i="3"/>
  <c r="L61" i="3"/>
  <c r="O63" i="3" l="1"/>
</calcChain>
</file>

<file path=xl/sharedStrings.xml><?xml version="1.0" encoding="utf-8"?>
<sst xmlns="http://schemas.openxmlformats.org/spreadsheetml/2006/main" count="5143" uniqueCount="427">
  <si>
    <t>A</t>
  </si>
  <si>
    <t>B</t>
  </si>
  <si>
    <t>C</t>
  </si>
  <si>
    <t>D</t>
  </si>
  <si>
    <t>E</t>
  </si>
  <si>
    <t>F</t>
  </si>
  <si>
    <t>A1</t>
  </si>
  <si>
    <t>A2</t>
  </si>
  <si>
    <t>A3</t>
  </si>
  <si>
    <t>A4</t>
  </si>
  <si>
    <t>B1</t>
  </si>
  <si>
    <t>B2</t>
  </si>
  <si>
    <t>B3</t>
  </si>
  <si>
    <t>B4</t>
  </si>
  <si>
    <t>C1</t>
  </si>
  <si>
    <t>C2</t>
  </si>
  <si>
    <t>C3</t>
  </si>
  <si>
    <t>C4</t>
  </si>
  <si>
    <t>D1</t>
  </si>
  <si>
    <t>D2</t>
  </si>
  <si>
    <t>E1</t>
  </si>
  <si>
    <t>E2</t>
  </si>
  <si>
    <t>F1</t>
  </si>
  <si>
    <t>F2</t>
  </si>
  <si>
    <t>D3</t>
  </si>
  <si>
    <t>E3</t>
  </si>
  <si>
    <t>F3</t>
  </si>
  <si>
    <t>D4</t>
  </si>
  <si>
    <t>E4</t>
  </si>
  <si>
    <t>F4</t>
  </si>
  <si>
    <t>Equipo</t>
  </si>
  <si>
    <t>J</t>
  </si>
  <si>
    <t>G</t>
  </si>
  <si>
    <t>P</t>
  </si>
  <si>
    <t>GF</t>
  </si>
  <si>
    <t>GC</t>
  </si>
  <si>
    <t>Puntos</t>
  </si>
  <si>
    <t>FINAL</t>
  </si>
  <si>
    <t>Grupo</t>
  </si>
  <si>
    <t>Hora</t>
  </si>
  <si>
    <t>Estadio</t>
  </si>
  <si>
    <t>Dif</t>
  </si>
  <si>
    <r>
      <t>Stade Bollaert-Delelis</t>
    </r>
    <r>
      <rPr>
        <sz val="9"/>
        <color rgb="FF252525"/>
        <rFont val="Arial"/>
        <family val="2"/>
      </rPr>
      <t>, </t>
    </r>
    <r>
      <rPr>
        <sz val="9"/>
        <color rgb="FF0B0080"/>
        <rFont val="Arial"/>
        <family val="2"/>
      </rPr>
      <t>Lens</t>
    </r>
  </si>
  <si>
    <r>
      <t>Parc des Princes</t>
    </r>
    <r>
      <rPr>
        <sz val="9"/>
        <color rgb="FF252525"/>
        <rFont val="Arial"/>
        <family val="2"/>
      </rPr>
      <t>, </t>
    </r>
    <r>
      <rPr>
        <sz val="9"/>
        <color rgb="FF0B0080"/>
        <rFont val="Arial"/>
        <family val="2"/>
      </rPr>
      <t>París</t>
    </r>
  </si>
  <si>
    <r>
      <t>Stade Vélodrome</t>
    </r>
    <r>
      <rPr>
        <sz val="9"/>
        <color rgb="FF252525"/>
        <rFont val="Arial"/>
        <family val="2"/>
      </rPr>
      <t>, </t>
    </r>
    <r>
      <rPr>
        <sz val="9"/>
        <color rgb="FF0B0080"/>
        <rFont val="Arial"/>
        <family val="2"/>
      </rPr>
      <t>Marsella</t>
    </r>
  </si>
  <si>
    <r>
      <t>Stade Pierre-Mauroy</t>
    </r>
    <r>
      <rPr>
        <sz val="9"/>
        <color rgb="FF252525"/>
        <rFont val="Arial"/>
        <family val="2"/>
      </rPr>
      <t>, </t>
    </r>
    <r>
      <rPr>
        <sz val="9"/>
        <color rgb="FF0B0080"/>
        <rFont val="Arial"/>
        <family val="2"/>
      </rPr>
      <t>Lille Métropole</t>
    </r>
  </si>
  <si>
    <t>Estadios</t>
  </si>
  <si>
    <t>Stade de Bordeaux, Bordeaux</t>
  </si>
  <si>
    <r>
      <t>Stade de Lyon</t>
    </r>
    <r>
      <rPr>
        <sz val="9"/>
        <color rgb="FF252525"/>
        <rFont val="Arial"/>
        <family val="2"/>
      </rPr>
      <t>, </t>
    </r>
    <r>
      <rPr>
        <sz val="9"/>
        <color rgb="FF0B0080"/>
        <rFont val="Arial"/>
        <family val="2"/>
      </rPr>
      <t>Lyon</t>
    </r>
  </si>
  <si>
    <t>Stade de Nice, Nice</t>
  </si>
  <si>
    <t>Stade de France, Saint-Denis</t>
  </si>
  <si>
    <t>Stade Geoffroy Guichard, Saint-Étienne</t>
  </si>
  <si>
    <t>Stadium de Toulouse, Toulouse</t>
  </si>
  <si>
    <t>Equipo 1</t>
  </si>
  <si>
    <t>Equipo 2</t>
  </si>
  <si>
    <t>GE1</t>
  </si>
  <si>
    <t>GE2</t>
  </si>
  <si>
    <t>Todos los partidos</t>
  </si>
  <si>
    <t>Fecha</t>
  </si>
  <si>
    <t>Puesto</t>
  </si>
  <si>
    <t>Ptos</t>
  </si>
  <si>
    <t>Rank</t>
  </si>
  <si>
    <t>2A</t>
  </si>
  <si>
    <t>2C</t>
  </si>
  <si>
    <t>1B</t>
  </si>
  <si>
    <t>3A/C/D</t>
  </si>
  <si>
    <t>1D</t>
  </si>
  <si>
    <t>3B/E/F</t>
  </si>
  <si>
    <t>1A</t>
  </si>
  <si>
    <t>3C/D/E</t>
  </si>
  <si>
    <t>1C</t>
  </si>
  <si>
    <t>3A/B/F</t>
  </si>
  <si>
    <t>1F</t>
  </si>
  <si>
    <t>2E</t>
  </si>
  <si>
    <t>1E</t>
  </si>
  <si>
    <t>2D</t>
  </si>
  <si>
    <t>2B</t>
  </si>
  <si>
    <t>2F</t>
  </si>
  <si>
    <t>Nº</t>
  </si>
  <si>
    <t>W37</t>
  </si>
  <si>
    <t>W39</t>
  </si>
  <si>
    <t>W38</t>
  </si>
  <si>
    <t>W42</t>
  </si>
  <si>
    <t>W41</t>
  </si>
  <si>
    <t>W43</t>
  </si>
  <si>
    <t>W40</t>
  </si>
  <si>
    <t>W44</t>
  </si>
  <si>
    <t>Los 4 mejores terceros son…</t>
  </si>
  <si>
    <t>Por orden alfabetico</t>
  </si>
  <si>
    <t>ABCD</t>
  </si>
  <si>
    <t>ABCE</t>
  </si>
  <si>
    <t>ABCF</t>
  </si>
  <si>
    <t>ABDE</t>
  </si>
  <si>
    <t>ABDF</t>
  </si>
  <si>
    <t>ABEF</t>
  </si>
  <si>
    <t>ACDE</t>
  </si>
  <si>
    <t>ACEF</t>
  </si>
  <si>
    <t>ACDF</t>
  </si>
  <si>
    <t>ADEF</t>
  </si>
  <si>
    <t>BCDE</t>
  </si>
  <si>
    <t>BCDF</t>
  </si>
  <si>
    <t>BCEF</t>
  </si>
  <si>
    <t>BDEF</t>
  </si>
  <si>
    <t>CDEF</t>
  </si>
  <si>
    <t>Francia</t>
  </si>
  <si>
    <t>Belgica</t>
  </si>
  <si>
    <t>España</t>
  </si>
  <si>
    <t>Alemania</t>
  </si>
  <si>
    <t>Inglaterra</t>
  </si>
  <si>
    <t>Portugal</t>
  </si>
  <si>
    <t>Italia</t>
  </si>
  <si>
    <t>Rusia</t>
  </si>
  <si>
    <t>Suiza</t>
  </si>
  <si>
    <t>Austria</t>
  </si>
  <si>
    <t>Croacia</t>
  </si>
  <si>
    <t>Ucrania</t>
  </si>
  <si>
    <t>Suecia</t>
  </si>
  <si>
    <t>Polonia</t>
  </si>
  <si>
    <t>Rumania</t>
  </si>
  <si>
    <t>Eslovaquia</t>
  </si>
  <si>
    <t>Hungria</t>
  </si>
  <si>
    <t>Turquia</t>
  </si>
  <si>
    <t>Rep. Irlanda</t>
  </si>
  <si>
    <t>Islandia</t>
  </si>
  <si>
    <t>Gales</t>
  </si>
  <si>
    <t>Albania</t>
  </si>
  <si>
    <t>Irlanda N</t>
  </si>
  <si>
    <t>OCTAVOS DE FINAL</t>
  </si>
  <si>
    <t>W45</t>
  </si>
  <si>
    <t>W46</t>
  </si>
  <si>
    <t>W47</t>
  </si>
  <si>
    <t>W48</t>
  </si>
  <si>
    <t>W49</t>
  </si>
  <si>
    <t>W50</t>
  </si>
  <si>
    <t>Corresponde a los grupos…</t>
  </si>
  <si>
    <t>CAMPEÓN</t>
  </si>
  <si>
    <t>CUARTOS DE FINAL</t>
  </si>
  <si>
    <t>SEMIFINALES</t>
  </si>
  <si>
    <t>#</t>
  </si>
  <si>
    <t>FASE DE GRUPOS</t>
  </si>
  <si>
    <t>X</t>
  </si>
  <si>
    <t>Pos</t>
  </si>
  <si>
    <t>Rep. Checa</t>
  </si>
  <si>
    <t>Grupo A</t>
  </si>
  <si>
    <t>Grupo F</t>
  </si>
  <si>
    <t>Grupo E</t>
  </si>
  <si>
    <t>Grupo D</t>
  </si>
  <si>
    <t>Grupo C</t>
  </si>
  <si>
    <t>Grupo B</t>
  </si>
  <si>
    <t>AUXILIAR GRUPO A</t>
  </si>
  <si>
    <t>AUXILIAR GRUPO F</t>
  </si>
  <si>
    <t>AUXILIAR GRUPO E</t>
  </si>
  <si>
    <t>AUXILIAR GRUPO D</t>
  </si>
  <si>
    <t>AUXILIAR GRUPO C</t>
  </si>
  <si>
    <t>AUXILIAR GRUPO B</t>
  </si>
  <si>
    <t>AUXILIAR PARA VER CUATRO MEJORES TERCEROS</t>
  </si>
  <si>
    <t>Auxiliar para los emparejamientos de octavos</t>
  </si>
  <si>
    <t>Orden</t>
  </si>
  <si>
    <t>V/F</t>
  </si>
  <si>
    <t>matejero</t>
  </si>
  <si>
    <t>Selección</t>
  </si>
  <si>
    <t>Rellenar los cuadros grises</t>
  </si>
  <si>
    <t>Casa</t>
  </si>
  <si>
    <t>Fuera</t>
  </si>
  <si>
    <t>Gol</t>
  </si>
  <si>
    <t>AUXILIARES</t>
  </si>
  <si>
    <t>MÁS DIF GOLES GLV</t>
  </si>
  <si>
    <t>MÁS GOLES GLV</t>
  </si>
  <si>
    <t>RANKING FIFA</t>
  </si>
  <si>
    <t>TOPIC</t>
  </si>
  <si>
    <t>VALUE</t>
  </si>
  <si>
    <t>Entre Iguales</t>
  </si>
  <si>
    <t>Ranking</t>
  </si>
  <si>
    <t>Diferencia de Goles - Partidos Cruzados</t>
  </si>
  <si>
    <t>Goles - Partidos Cruzados</t>
  </si>
  <si>
    <t>NEquipEqual</t>
  </si>
  <si>
    <t>SIN EMPEZAR</t>
  </si>
  <si>
    <t>Ranking Inv</t>
  </si>
  <si>
    <t>PUNTOS</t>
  </si>
  <si>
    <t>MÁS GOLES General</t>
  </si>
  <si>
    <t>MÁS PUNTOS General</t>
  </si>
  <si>
    <t>Grecia</t>
  </si>
  <si>
    <t>Dinamarca</t>
  </si>
  <si>
    <t>Serbia</t>
  </si>
  <si>
    <t>Noruega</t>
  </si>
  <si>
    <t>Israel</t>
  </si>
  <si>
    <t>Bosnia-Herzegovina</t>
  </si>
  <si>
    <t>Eslovenia</t>
  </si>
  <si>
    <t>Finlandia</t>
  </si>
  <si>
    <t>Escocia</t>
  </si>
  <si>
    <t>Letonia</t>
  </si>
  <si>
    <t>Bielorrusia</t>
  </si>
  <si>
    <t>Bulgaria</t>
  </si>
  <si>
    <t>Montenegro</t>
  </si>
  <si>
    <t>Estonia</t>
  </si>
  <si>
    <t>Armenia</t>
  </si>
  <si>
    <t>Lituania</t>
  </si>
  <si>
    <t>Georgia</t>
  </si>
  <si>
    <t>Chipre</t>
  </si>
  <si>
    <t>Moldavia</t>
  </si>
  <si>
    <t>Azerbaiyán</t>
  </si>
  <si>
    <t>Luxemburgo</t>
  </si>
  <si>
    <t>Liechtenstein</t>
  </si>
  <si>
    <t>Islas Feroe</t>
  </si>
  <si>
    <t>Malta</t>
  </si>
  <si>
    <t>Andorra</t>
  </si>
  <si>
    <t>San Marino</t>
  </si>
  <si>
    <t>Gibraltar</t>
  </si>
  <si>
    <t>Clasificada</t>
  </si>
  <si>
    <t>Kazajstan</t>
  </si>
  <si>
    <t>POSICIÓN GRUPOS</t>
  </si>
  <si>
    <t>1º GRUPO A</t>
  </si>
  <si>
    <t>2º GRUPO A</t>
  </si>
  <si>
    <t>3º GRUPO A</t>
  </si>
  <si>
    <t>4º GRUPO A</t>
  </si>
  <si>
    <t>1º GRUPO B</t>
  </si>
  <si>
    <t>2º GRUPO C</t>
  </si>
  <si>
    <t>3º GRUPO B</t>
  </si>
  <si>
    <t>2º GRUPO B</t>
  </si>
  <si>
    <t>4º GRUPO B</t>
  </si>
  <si>
    <t>1º GRUPO C</t>
  </si>
  <si>
    <t>3º GRUPO C</t>
  </si>
  <si>
    <t>4º GRUPO C</t>
  </si>
  <si>
    <t>1º GRUPO D</t>
  </si>
  <si>
    <t>2º GRUPO D</t>
  </si>
  <si>
    <t>3º GRUPO D</t>
  </si>
  <si>
    <t>4º GRUPO D</t>
  </si>
  <si>
    <t>1º GRUPO E</t>
  </si>
  <si>
    <t>2º GRUPO E</t>
  </si>
  <si>
    <t>3º GRUPO E</t>
  </si>
  <si>
    <t>4º GRUPO E</t>
  </si>
  <si>
    <t>1º GRUPO F</t>
  </si>
  <si>
    <t>2º GRUPO F</t>
  </si>
  <si>
    <t>3º GRUPO F</t>
  </si>
  <si>
    <t>4º GRUPO F</t>
  </si>
  <si>
    <t>Octavofinalista</t>
  </si>
  <si>
    <t>CLASIFICADOS PARA CUARTOS</t>
  </si>
  <si>
    <t>CLASIFICADOS PARA OCTAVOS</t>
  </si>
  <si>
    <t>Cuartofinalista</t>
  </si>
  <si>
    <t>CLASIFICADOS PARA SEMIFINALES</t>
  </si>
  <si>
    <t>Semifinalista</t>
  </si>
  <si>
    <t>CLASIFICADOS PARA LA FINAL</t>
  </si>
  <si>
    <t>PORRISTA</t>
  </si>
  <si>
    <t>Finalista</t>
  </si>
  <si>
    <t>CAMPEONES</t>
  </si>
  <si>
    <t>Equipo Ganador</t>
  </si>
  <si>
    <t>Bota de Oro</t>
  </si>
  <si>
    <t>FASE DE GRUPOS - Resultado exacto</t>
  </si>
  <si>
    <t>FASE DE GRUPOS - Resultado 1X2</t>
  </si>
  <si>
    <t>Equipo clasificado en CUARTOS</t>
  </si>
  <si>
    <t>Equipo clasIficado en OCTAVOS</t>
  </si>
  <si>
    <t>Equipo clasIficado en SEMIFINALES</t>
  </si>
  <si>
    <t>Equipo clasificado en LA FINAL</t>
  </si>
  <si>
    <t>Equipo CAMPEÓN</t>
  </si>
  <si>
    <t>Jugador BOTA DE ORO</t>
  </si>
  <si>
    <t>FASE DE GRUPOS - Posición exacta (1º)</t>
  </si>
  <si>
    <t>FASE DE GRUPOS - Posición exacta (2º)</t>
  </si>
  <si>
    <t>FASE DE GRUPOS - Posición exacta (3º)</t>
  </si>
  <si>
    <t>FASE DE GRUPOS - Posición exacta (4º)</t>
  </si>
  <si>
    <t>Valor</t>
  </si>
  <si>
    <t>Tipo Acierto</t>
  </si>
  <si>
    <t>Nombre</t>
  </si>
  <si>
    <t>2|1-2</t>
  </si>
  <si>
    <t>1|4-1</t>
  </si>
  <si>
    <t>1|3-2</t>
  </si>
  <si>
    <t>2|1-4</t>
  </si>
  <si>
    <t>1|3-1</t>
  </si>
  <si>
    <t>1|2-1</t>
  </si>
  <si>
    <t>X|2-2</t>
  </si>
  <si>
    <t>1|4-2</t>
  </si>
  <si>
    <t>2|1-5</t>
  </si>
  <si>
    <t>X|1-1</t>
  </si>
  <si>
    <t>Francia-Rumania</t>
  </si>
  <si>
    <t>Albania-Suiza</t>
  </si>
  <si>
    <t>Rumania-Suiza</t>
  </si>
  <si>
    <t>Francia-Albania</t>
  </si>
  <si>
    <t>Rumania-Albania</t>
  </si>
  <si>
    <t>Suiza-Francia</t>
  </si>
  <si>
    <t>Gales-Eslovaquia</t>
  </si>
  <si>
    <t>Inglaterra-Rusia</t>
  </si>
  <si>
    <t>Rusia-Eslovaquia</t>
  </si>
  <si>
    <t>Inglaterra-Gales</t>
  </si>
  <si>
    <t>Rusia-Gales</t>
  </si>
  <si>
    <t>Eslovaquia-Inglaterra</t>
  </si>
  <si>
    <t>Polonia-Irlanda N</t>
  </si>
  <si>
    <t>Alemania-Ucrania</t>
  </si>
  <si>
    <t>Ucrania-Irlanda N</t>
  </si>
  <si>
    <t>Alemania-Polonia</t>
  </si>
  <si>
    <t>Ucrania-Polonia</t>
  </si>
  <si>
    <t>Irlanda N-Alemania</t>
  </si>
  <si>
    <t>Turquia-Croacia</t>
  </si>
  <si>
    <t>España-Rep. Checa</t>
  </si>
  <si>
    <t>Rep. Checa-Croacia</t>
  </si>
  <si>
    <t>España-Turquia</t>
  </si>
  <si>
    <t>Rep. Checa-Turquia</t>
  </si>
  <si>
    <t>Croacia-España</t>
  </si>
  <si>
    <t>Rep. Irlanda-Suecia</t>
  </si>
  <si>
    <t>Belgica-Italia</t>
  </si>
  <si>
    <t>Italia-Suecia</t>
  </si>
  <si>
    <t>Belgica-Rep. Irlanda</t>
  </si>
  <si>
    <t>Italia-Rep. Irlanda</t>
  </si>
  <si>
    <t>Suecia-Belgica</t>
  </si>
  <si>
    <t>Austria-Hungria</t>
  </si>
  <si>
    <t>Portugal-Islandia</t>
  </si>
  <si>
    <t>Islandia-Hungria</t>
  </si>
  <si>
    <t>Portugal-Austria</t>
  </si>
  <si>
    <t>Islandia-Austria</t>
  </si>
  <si>
    <t>Hungria-Portugal</t>
  </si>
  <si>
    <t>1|1-0</t>
  </si>
  <si>
    <t>RESULTADOS REALES</t>
  </si>
  <si>
    <t>¡HAY CONFLICTOS EN TU PORRA!</t>
  </si>
  <si>
    <t>Escoge un Jugador</t>
  </si>
  <si>
    <t>BOTA DE ORO (PICHICHI)</t>
  </si>
  <si>
    <t>MVP (MEJOR JUGADOR)</t>
  </si>
  <si>
    <t>TU NOMBRE</t>
  </si>
  <si>
    <t>Escribe tu nombre</t>
  </si>
  <si>
    <t>Pichichi</t>
  </si>
  <si>
    <t>MVP</t>
  </si>
  <si>
    <t>MÁS DIF GOLES General</t>
  </si>
  <si>
    <t>Espe Amezketa</t>
  </si>
  <si>
    <t>1|3-0</t>
  </si>
  <si>
    <t>X|0-0</t>
  </si>
  <si>
    <t>1|2-0</t>
  </si>
  <si>
    <t>2|0-1</t>
  </si>
  <si>
    <t>Lewandowski</t>
  </si>
  <si>
    <t>Iniesta</t>
  </si>
  <si>
    <t>2|1-3</t>
  </si>
  <si>
    <t>Cristiano</t>
  </si>
  <si>
    <t>Alvaro Huarte</t>
  </si>
  <si>
    <t>Álvaro Buldain</t>
  </si>
  <si>
    <t>2|0-2</t>
  </si>
  <si>
    <t>Carlos Sabando</t>
  </si>
  <si>
    <t>ALEX IZQUIERDO</t>
  </si>
  <si>
    <t>Eva López</t>
  </si>
  <si>
    <t>1|4-0</t>
  </si>
  <si>
    <t>2|2-3</t>
  </si>
  <si>
    <t>2|0-4</t>
  </si>
  <si>
    <t>NOMBRE</t>
  </si>
  <si>
    <t>PUNTOS1</t>
  </si>
  <si>
    <t>PUNTOS2</t>
  </si>
  <si>
    <t>PON AQUÍ NOMBRES</t>
  </si>
  <si>
    <t>ORDEN1</t>
  </si>
  <si>
    <t>ORDEN2</t>
  </si>
  <si>
    <t>PosReal</t>
  </si>
  <si>
    <t>1.- Pon el nombre de cada nueva apuesta</t>
  </si>
  <si>
    <t>2.- Por cada nueva apuesta, copia una nueva fila</t>
  </si>
  <si>
    <t>2|0-3</t>
  </si>
  <si>
    <t>Muller</t>
  </si>
  <si>
    <t>Ana Leranoz</t>
  </si>
  <si>
    <t>Griezman</t>
  </si>
  <si>
    <t>Ander Clavijo</t>
  </si>
  <si>
    <t>Alex Izquierdo</t>
  </si>
  <si>
    <t>César Diaz</t>
  </si>
  <si>
    <t>Griezmann</t>
  </si>
  <si>
    <t>David Martinez</t>
  </si>
  <si>
    <t>Nolito</t>
  </si>
  <si>
    <t>Busquets</t>
  </si>
  <si>
    <t>Fermín Galar</t>
  </si>
  <si>
    <t>Kane</t>
  </si>
  <si>
    <t>Pogba</t>
  </si>
  <si>
    <t>Fermín Ros</t>
  </si>
  <si>
    <t>Iñaki López</t>
  </si>
  <si>
    <t>Kroos</t>
  </si>
  <si>
    <t>Javier Lainez</t>
  </si>
  <si>
    <t>1|5-0</t>
  </si>
  <si>
    <t>Jesús Valencia</t>
  </si>
  <si>
    <t>Joanes</t>
  </si>
  <si>
    <t>De Bruyne</t>
  </si>
  <si>
    <t>Jorge Villabona</t>
  </si>
  <si>
    <t>2|0-5</t>
  </si>
  <si>
    <t>Ibrahimovic</t>
  </si>
  <si>
    <t>Josu Ramirez</t>
  </si>
  <si>
    <t>Juanlu Cardoso</t>
  </si>
  <si>
    <t>Buffon</t>
  </si>
  <si>
    <t>Kepa Larrea</t>
  </si>
  <si>
    <t>Laura Ancín</t>
  </si>
  <si>
    <t>Leire Garayo</t>
  </si>
  <si>
    <t>Marcos Luqui</t>
  </si>
  <si>
    <t>Ronaldo</t>
  </si>
  <si>
    <t>Marta ipiens</t>
  </si>
  <si>
    <t>Ortzi Arrondo</t>
  </si>
  <si>
    <t>Pablo Munárriz</t>
  </si>
  <si>
    <t>Ozil</t>
  </si>
  <si>
    <t>Morata</t>
  </si>
  <si>
    <t>Patxi Solana</t>
  </si>
  <si>
    <t>Pedro Mendive</t>
  </si>
  <si>
    <t>Raúl Fernández</t>
  </si>
  <si>
    <t>Rebeca Andueza</t>
  </si>
  <si>
    <t>Roberto Esain</t>
  </si>
  <si>
    <t>Vardy</t>
  </si>
  <si>
    <t>Rubén Astrain</t>
  </si>
  <si>
    <t>Rodrigo Abad</t>
  </si>
  <si>
    <t>Santi García</t>
  </si>
  <si>
    <t>Vicente Urdanoz</t>
  </si>
  <si>
    <t>Xabi Goñi</t>
  </si>
  <si>
    <t>Lukaku</t>
  </si>
  <si>
    <t>Eneko Eseberri</t>
  </si>
  <si>
    <t>Garazi Lacunza</t>
  </si>
  <si>
    <t>Hazard</t>
  </si>
  <si>
    <t>Mario Gomez</t>
  </si>
  <si>
    <t>Iker Macaya</t>
  </si>
  <si>
    <t xml:space="preserve">   Jugador MVP</t>
  </si>
  <si>
    <t>Asier Alejo</t>
  </si>
  <si>
    <t>Hart</t>
  </si>
  <si>
    <t>Fernando Lacunza</t>
  </si>
  <si>
    <t>Podolski</t>
  </si>
  <si>
    <t>Iosu Ureña</t>
  </si>
  <si>
    <t>Vardi</t>
  </si>
  <si>
    <t>Olga Esquiroz</t>
  </si>
  <si>
    <t>Miriam Antona</t>
  </si>
  <si>
    <t>Rooney</t>
  </si>
  <si>
    <t>Roma</t>
  </si>
  <si>
    <t>Bakú</t>
  </si>
  <si>
    <t>Copenhague</t>
  </si>
  <si>
    <t>San Petersburgo</t>
  </si>
  <si>
    <t>Bélgica</t>
  </si>
  <si>
    <t>Bucarest</t>
  </si>
  <si>
    <t>Amsterdam</t>
  </si>
  <si>
    <t>Países Bajos</t>
  </si>
  <si>
    <t>Macedonia N</t>
  </si>
  <si>
    <t>Londres</t>
  </si>
  <si>
    <t>Glasgow</t>
  </si>
  <si>
    <t>Sevilla</t>
  </si>
  <si>
    <t>Budapest</t>
  </si>
  <si>
    <t>Munich</t>
  </si>
  <si>
    <t>Hungría</t>
  </si>
  <si>
    <t>Turquía</t>
  </si>
</sst>
</file>

<file path=xl/styles.xml><?xml version="1.0" encoding="utf-8"?>
<styleSheet xmlns="http://schemas.openxmlformats.org/spreadsheetml/2006/main" xmlns:mc="http://schemas.openxmlformats.org/markup-compatibility/2006" xmlns:x14ac="http://schemas.microsoft.com/office/spreadsheetml/2009/9/ac" mc:Ignorable="x14ac">
  <fonts count="32" x14ac:knownFonts="1">
    <font>
      <sz val="11"/>
      <color theme="1"/>
      <name val="Calibri"/>
      <family val="2"/>
      <scheme val="minor"/>
    </font>
    <font>
      <b/>
      <sz val="11"/>
      <color theme="1"/>
      <name val="Calibri"/>
      <family val="2"/>
      <scheme val="minor"/>
    </font>
    <font>
      <sz val="9"/>
      <color rgb="FF252525"/>
      <name val="Arial"/>
      <family val="2"/>
    </font>
    <font>
      <sz val="9"/>
      <color rgb="FF0B0080"/>
      <name val="Arial"/>
      <family val="2"/>
    </font>
    <font>
      <u/>
      <sz val="11"/>
      <color theme="1"/>
      <name val="Calibri"/>
      <family val="2"/>
      <scheme val="minor"/>
    </font>
    <font>
      <b/>
      <sz val="11"/>
      <color theme="3"/>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sz val="11"/>
      <color theme="0"/>
      <name val="Calibri"/>
      <family val="2"/>
      <scheme val="minor"/>
    </font>
    <font>
      <b/>
      <sz val="11"/>
      <color theme="0"/>
      <name val="Calibri"/>
      <family val="2"/>
      <scheme val="minor"/>
    </font>
    <font>
      <b/>
      <sz val="11"/>
      <name val="Calibri"/>
      <family val="2"/>
      <scheme val="minor"/>
    </font>
    <font>
      <sz val="11"/>
      <color rgb="FF0070C0"/>
      <name val="Calibri"/>
      <family val="2"/>
      <scheme val="minor"/>
    </font>
    <font>
      <b/>
      <sz val="20"/>
      <color theme="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1"/>
      <color rgb="FF002060"/>
      <name val="Calibri"/>
      <family val="2"/>
      <scheme val="minor"/>
    </font>
    <font>
      <b/>
      <sz val="11"/>
      <color rgb="FF002060"/>
      <name val="Calibri"/>
      <family val="2"/>
      <scheme val="minor"/>
    </font>
    <font>
      <b/>
      <sz val="11"/>
      <color theme="0" tint="-0.14999847407452621"/>
      <name val="Calibri"/>
      <family val="2"/>
      <scheme val="minor"/>
    </font>
    <font>
      <b/>
      <sz val="12"/>
      <color theme="0" tint="-0.14999847407452621"/>
      <name val="Calibri"/>
      <family val="2"/>
      <scheme val="minor"/>
    </font>
    <font>
      <sz val="9"/>
      <color theme="0" tint="-0.14999847407452621"/>
      <name val="Arial"/>
      <family val="2"/>
    </font>
    <font>
      <b/>
      <sz val="24"/>
      <name val="Calibri"/>
      <family val="2"/>
      <scheme val="minor"/>
    </font>
    <font>
      <sz val="8"/>
      <color theme="1"/>
      <name val="Calibri"/>
      <family val="2"/>
      <scheme val="minor"/>
    </font>
    <font>
      <sz val="10"/>
      <color theme="1"/>
      <name val="Calibri"/>
      <family val="2"/>
      <scheme val="minor"/>
    </font>
    <font>
      <sz val="11"/>
      <color theme="1"/>
      <name val="Calibri"/>
      <scheme val="minor"/>
    </font>
  </fonts>
  <fills count="1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4" tint="0.79998168889431442"/>
        <bgColor indexed="64"/>
      </patternFill>
    </fill>
    <fill>
      <patternFill patternType="gray125">
        <fgColor rgb="FFFFC000"/>
        <bgColor rgb="FFFFC000"/>
      </patternFill>
    </fill>
    <fill>
      <patternFill patternType="solid">
        <fgColor theme="6" tint="0.39994506668294322"/>
        <bgColor indexed="64"/>
      </patternFill>
    </fill>
    <fill>
      <patternFill patternType="solid">
        <fgColor rgb="FFFFFF00"/>
        <bgColor indexed="64"/>
      </patternFill>
    </fill>
    <fill>
      <patternFill patternType="solid">
        <fgColor rgb="FF0070C0"/>
        <bgColor indexed="64"/>
      </patternFill>
    </fill>
    <fill>
      <patternFill patternType="solid">
        <fgColor rgb="FFFF0000"/>
        <bgColor indexed="64"/>
      </patternFill>
    </fill>
    <fill>
      <patternFill patternType="gray125">
        <fgColor rgb="FFFFC000"/>
        <bgColor theme="8" tint="-0.249977111117893"/>
      </patternFill>
    </fill>
    <fill>
      <patternFill patternType="gray125">
        <fgColor rgb="FFFFC000"/>
        <bgColor theme="9" tint="-0.249977111117893"/>
      </patternFill>
    </fill>
    <fill>
      <patternFill patternType="solid">
        <fgColor theme="9" tint="0.39997558519241921"/>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rgb="FF002060"/>
        <bgColor indexed="64"/>
      </patternFill>
    </fill>
    <fill>
      <patternFill patternType="solid">
        <fgColor rgb="FF002060"/>
        <bgColor rgb="FFFFC000"/>
      </patternFill>
    </fill>
    <fill>
      <patternFill patternType="solid">
        <fgColor rgb="FF00B050"/>
        <bgColor indexed="64"/>
      </patternFill>
    </fill>
  </fills>
  <borders count="54">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bottom/>
      <diagonal/>
    </border>
    <border>
      <left/>
      <right style="thin">
        <color auto="1"/>
      </right>
      <top/>
      <bottom style="medium">
        <color auto="1"/>
      </bottom>
      <diagonal/>
    </border>
    <border>
      <left/>
      <right style="thin">
        <color auto="1"/>
      </right>
      <top/>
      <bottom/>
      <diagonal/>
    </border>
    <border>
      <left style="thin">
        <color auto="1"/>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right style="thin">
        <color theme="0"/>
      </right>
      <top/>
      <bottom/>
      <diagonal/>
    </border>
    <border>
      <left/>
      <right style="thin">
        <color theme="0"/>
      </right>
      <top/>
      <bottom style="thin">
        <color theme="0" tint="-0.14999847407452621"/>
      </bottom>
      <diagonal/>
    </border>
    <border>
      <left/>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right>
      <top style="thin">
        <color theme="0" tint="-0.14999847407452621"/>
      </top>
      <bottom style="thin">
        <color theme="0" tint="-0.14999847407452621"/>
      </bottom>
      <diagonal/>
    </border>
    <border>
      <left/>
      <right/>
      <top style="thin">
        <color theme="0" tint="-0.1499984740745262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right/>
      <top style="medium">
        <color auto="1"/>
      </top>
      <bottom/>
      <diagonal/>
    </border>
    <border>
      <left/>
      <right style="medium">
        <color indexed="64"/>
      </right>
      <top style="medium">
        <color auto="1"/>
      </top>
      <bottom/>
      <diagonal/>
    </border>
    <border>
      <left style="medium">
        <color indexed="64"/>
      </left>
      <right/>
      <top style="medium">
        <color auto="1"/>
      </top>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indexed="64"/>
      </top>
      <bottom style="thin">
        <color auto="1"/>
      </bottom>
      <diagonal/>
    </border>
    <border>
      <left style="thin">
        <color auto="1"/>
      </left>
      <right/>
      <top style="thin">
        <color auto="1"/>
      </top>
      <bottom style="medium">
        <color indexed="64"/>
      </bottom>
      <diagonal/>
    </border>
    <border>
      <left/>
      <right style="thin">
        <color auto="1"/>
      </right>
      <top/>
      <bottom style="thin">
        <color auto="1"/>
      </bottom>
      <diagonal/>
    </border>
    <border>
      <left/>
      <right style="thin">
        <color auto="1"/>
      </right>
      <top style="thin">
        <color auto="1"/>
      </top>
      <bottom/>
      <diagonal/>
    </border>
    <border>
      <left style="medium">
        <color indexed="64"/>
      </left>
      <right style="medium">
        <color indexed="64"/>
      </right>
      <top style="medium">
        <color indexed="64"/>
      </top>
      <bottom style="medium">
        <color indexed="64"/>
      </bottom>
      <diagonal/>
    </border>
    <border>
      <left/>
      <right/>
      <top style="thin">
        <color rgb="FF002060"/>
      </top>
      <bottom style="thin">
        <color rgb="FF002060"/>
      </bottom>
      <diagonal/>
    </border>
    <border>
      <left style="thin">
        <color theme="0"/>
      </left>
      <right style="thin">
        <color theme="0"/>
      </right>
      <top style="thin">
        <color theme="0"/>
      </top>
      <bottom/>
      <diagonal/>
    </border>
    <border>
      <left/>
      <right style="thin">
        <color theme="0"/>
      </right>
      <top style="thin">
        <color rgb="FF002060"/>
      </top>
      <bottom style="thin">
        <color rgb="FF002060"/>
      </bottom>
      <diagonal/>
    </border>
    <border>
      <left style="thin">
        <color theme="0"/>
      </left>
      <right/>
      <top style="thin">
        <color rgb="FF002060"/>
      </top>
      <bottom style="thin">
        <color rgb="FF002060"/>
      </bottom>
      <diagonal/>
    </border>
    <border>
      <left/>
      <right/>
      <top/>
      <bottom style="thin">
        <color auto="1"/>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3">
    <xf numFmtId="0" fontId="0" fillId="0" borderId="0"/>
    <xf numFmtId="0" fontId="6" fillId="0" borderId="0" applyNumberFormat="0" applyFill="0" applyBorder="0" applyAlignment="0" applyProtection="0"/>
    <xf numFmtId="0" fontId="7" fillId="0" borderId="0" applyNumberFormat="0" applyFill="0" applyBorder="0" applyAlignment="0" applyProtection="0"/>
  </cellStyleXfs>
  <cellXfs count="225">
    <xf numFmtId="0" fontId="0" fillId="0" borderId="0" xfId="0"/>
    <xf numFmtId="14" fontId="0" fillId="0" borderId="0" xfId="0" applyNumberFormat="1"/>
    <xf numFmtId="20" fontId="0" fillId="0" borderId="0" xfId="0" applyNumberFormat="1"/>
    <xf numFmtId="0" fontId="4" fillId="0" borderId="0" xfId="0" applyFont="1"/>
    <xf numFmtId="14" fontId="0" fillId="0" borderId="0" xfId="0" applyNumberFormat="1" applyBorder="1"/>
    <xf numFmtId="0" fontId="0" fillId="0" borderId="0" xfId="0" applyBorder="1"/>
    <xf numFmtId="20" fontId="0" fillId="0" borderId="0" xfId="0" applyNumberFormat="1" applyBorder="1"/>
    <xf numFmtId="1" fontId="0" fillId="0" borderId="0" xfId="0" applyNumberFormat="1"/>
    <xf numFmtId="0" fontId="5" fillId="3" borderId="0" xfId="0" applyFont="1" applyFill="1"/>
    <xf numFmtId="0" fontId="5" fillId="3" borderId="0" xfId="0" applyFont="1" applyFill="1" applyBorder="1"/>
    <xf numFmtId="0" fontId="0" fillId="0" borderId="1" xfId="0" applyBorder="1"/>
    <xf numFmtId="0" fontId="0" fillId="0" borderId="4" xfId="0" applyBorder="1"/>
    <xf numFmtId="0" fontId="1" fillId="4" borderId="3" xfId="0" applyFont="1" applyFill="1" applyBorder="1" applyAlignment="1">
      <alignment horizontal="center"/>
    </xf>
    <xf numFmtId="0" fontId="0" fillId="5" borderId="0" xfId="0" applyFill="1"/>
    <xf numFmtId="0" fontId="0" fillId="0" borderId="1" xfId="0" applyBorder="1" applyProtection="1">
      <protection hidden="1"/>
    </xf>
    <xf numFmtId="0" fontId="0" fillId="5" borderId="5" xfId="0" applyFill="1" applyBorder="1"/>
    <xf numFmtId="0" fontId="0" fillId="5" borderId="7" xfId="0" applyFill="1" applyBorder="1"/>
    <xf numFmtId="0" fontId="0" fillId="6" borderId="0" xfId="0" applyFill="1" applyProtection="1">
      <protection hidden="1"/>
    </xf>
    <xf numFmtId="0" fontId="0" fillId="5" borderId="10" xfId="0" applyFill="1" applyBorder="1" applyAlignment="1"/>
    <xf numFmtId="0" fontId="0" fillId="5" borderId="11" xfId="0" applyFill="1" applyBorder="1" applyAlignment="1"/>
    <xf numFmtId="0" fontId="0" fillId="5" borderId="5" xfId="0" applyFill="1" applyBorder="1" applyAlignment="1"/>
    <xf numFmtId="0" fontId="0" fillId="5" borderId="0" xfId="0" applyFill="1" applyBorder="1" applyAlignment="1"/>
    <xf numFmtId="0" fontId="0" fillId="5" borderId="8" xfId="0" applyFill="1" applyBorder="1" applyAlignment="1"/>
    <xf numFmtId="0" fontId="0" fillId="5" borderId="2" xfId="0" applyFill="1" applyBorder="1" applyAlignment="1"/>
    <xf numFmtId="0" fontId="0" fillId="5" borderId="6" xfId="0" applyFill="1" applyBorder="1" applyAlignment="1"/>
    <xf numFmtId="0" fontId="0" fillId="7" borderId="0" xfId="0" applyFill="1"/>
    <xf numFmtId="0" fontId="0" fillId="7" borderId="0" xfId="0" applyFill="1" applyProtection="1">
      <protection hidden="1"/>
    </xf>
    <xf numFmtId="0" fontId="8" fillId="7" borderId="0" xfId="0" applyFont="1" applyFill="1" applyProtection="1">
      <protection hidden="1"/>
    </xf>
    <xf numFmtId="0" fontId="0" fillId="2" borderId="0" xfId="0" applyFill="1"/>
    <xf numFmtId="0" fontId="1" fillId="2" borderId="0" xfId="0" applyFont="1" applyFill="1" applyBorder="1" applyAlignment="1">
      <alignment horizontal="center"/>
    </xf>
    <xf numFmtId="0" fontId="11" fillId="3" borderId="0" xfId="0" applyFont="1" applyFill="1"/>
    <xf numFmtId="0" fontId="5" fillId="3" borderId="12" xfId="0" applyFont="1" applyFill="1" applyBorder="1"/>
    <xf numFmtId="0" fontId="5" fillId="3" borderId="12" xfId="0" applyFont="1" applyFill="1" applyBorder="1" applyAlignment="1">
      <alignment horizontal="center"/>
    </xf>
    <xf numFmtId="0" fontId="5" fillId="3" borderId="19" xfId="0" applyFont="1" applyFill="1" applyBorder="1"/>
    <xf numFmtId="0" fontId="0" fillId="2" borderId="0" xfId="0" applyFill="1" applyProtection="1">
      <protection hidden="1"/>
    </xf>
    <xf numFmtId="0" fontId="9" fillId="3" borderId="0" xfId="0" applyFont="1" applyFill="1" applyBorder="1" applyAlignment="1"/>
    <xf numFmtId="0" fontId="9" fillId="3" borderId="12" xfId="0" applyFont="1" applyFill="1" applyBorder="1" applyAlignment="1"/>
    <xf numFmtId="0" fontId="0" fillId="3" borderId="0" xfId="0" applyFont="1" applyFill="1" applyBorder="1" applyAlignment="1"/>
    <xf numFmtId="0" fontId="0" fillId="3" borderId="12" xfId="0" applyFont="1" applyFill="1" applyBorder="1" applyAlignment="1"/>
    <xf numFmtId="0" fontId="0" fillId="3" borderId="19" xfId="0" applyFont="1" applyFill="1" applyBorder="1" applyAlignment="1"/>
    <xf numFmtId="0" fontId="0" fillId="3" borderId="15" xfId="0" applyFont="1" applyFill="1" applyBorder="1" applyAlignment="1"/>
    <xf numFmtId="0" fontId="8" fillId="3" borderId="0" xfId="0" applyFont="1" applyFill="1" applyBorder="1" applyAlignment="1"/>
    <xf numFmtId="0" fontId="8" fillId="3" borderId="12" xfId="0" applyFont="1" applyFill="1" applyBorder="1" applyAlignment="1"/>
    <xf numFmtId="0" fontId="9" fillId="3" borderId="14" xfId="0" applyFont="1" applyFill="1" applyBorder="1" applyAlignment="1"/>
    <xf numFmtId="0" fontId="5" fillId="3" borderId="13" xfId="0" applyFont="1" applyFill="1" applyBorder="1"/>
    <xf numFmtId="0" fontId="0" fillId="5" borderId="8" xfId="0" applyFill="1" applyBorder="1" applyAlignment="1">
      <alignment horizontal="centerContinuous"/>
    </xf>
    <xf numFmtId="0" fontId="0" fillId="5" borderId="2" xfId="0" applyFill="1" applyBorder="1" applyAlignment="1">
      <alignment horizontal="centerContinuous"/>
    </xf>
    <xf numFmtId="0" fontId="5" fillId="3" borderId="0" xfId="0" applyFont="1" applyFill="1" applyBorder="1" applyAlignment="1">
      <alignment horizontal="centerContinuous"/>
    </xf>
    <xf numFmtId="0" fontId="5" fillId="3" borderId="14" xfId="0" applyFont="1" applyFill="1" applyBorder="1"/>
    <xf numFmtId="0" fontId="5" fillId="3" borderId="18" xfId="0" applyFont="1" applyFill="1" applyBorder="1"/>
    <xf numFmtId="0" fontId="5" fillId="3" borderId="15" xfId="0" applyFont="1" applyFill="1" applyBorder="1"/>
    <xf numFmtId="0" fontId="12" fillId="3" borderId="0" xfId="0" applyFont="1" applyFill="1" applyBorder="1"/>
    <xf numFmtId="0" fontId="5" fillId="3" borderId="0" xfId="0" applyFont="1" applyFill="1" applyAlignment="1">
      <alignment horizontal="right"/>
    </xf>
    <xf numFmtId="0" fontId="5" fillId="3" borderId="13" xfId="0" applyFont="1" applyFill="1" applyBorder="1" applyAlignment="1">
      <alignment horizontal="centerContinuous"/>
    </xf>
    <xf numFmtId="0" fontId="5" fillId="3" borderId="13" xfId="0" applyFont="1" applyFill="1" applyBorder="1" applyProtection="1">
      <protection locked="0"/>
    </xf>
    <xf numFmtId="0" fontId="5" fillId="3" borderId="0" xfId="0" applyFont="1" applyFill="1" applyAlignment="1">
      <alignment horizontal="centerContinuous" wrapText="1"/>
    </xf>
    <xf numFmtId="0" fontId="0" fillId="0" borderId="28" xfId="0" applyBorder="1"/>
    <xf numFmtId="0" fontId="15" fillId="0" borderId="30" xfId="0" applyFont="1" applyBorder="1" applyAlignment="1">
      <alignment horizontal="center"/>
    </xf>
    <xf numFmtId="0" fontId="15" fillId="0" borderId="1" xfId="0" applyFont="1" applyBorder="1" applyAlignment="1">
      <alignment horizontal="center"/>
    </xf>
    <xf numFmtId="0" fontId="15" fillId="0" borderId="31" xfId="0" applyFont="1" applyBorder="1" applyAlignment="1">
      <alignment horizontal="center"/>
    </xf>
    <xf numFmtId="0" fontId="15" fillId="0" borderId="32" xfId="0" applyFont="1" applyBorder="1" applyAlignment="1">
      <alignment horizontal="center"/>
    </xf>
    <xf numFmtId="0" fontId="15" fillId="0" borderId="4" xfId="0" applyFont="1" applyBorder="1" applyAlignment="1">
      <alignment horizontal="center"/>
    </xf>
    <xf numFmtId="0" fontId="15" fillId="0" borderId="34" xfId="0" applyFont="1" applyBorder="1" applyAlignment="1">
      <alignment horizontal="center"/>
    </xf>
    <xf numFmtId="0" fontId="15" fillId="0" borderId="35" xfId="0" applyFont="1" applyBorder="1" applyAlignment="1">
      <alignment horizontal="center"/>
    </xf>
    <xf numFmtId="0" fontId="15" fillId="12" borderId="30" xfId="0" applyFont="1" applyFill="1" applyBorder="1" applyAlignment="1">
      <alignment horizontal="center"/>
    </xf>
    <xf numFmtId="0" fontId="15" fillId="12" borderId="1" xfId="0" applyFont="1" applyFill="1" applyBorder="1" applyAlignment="1">
      <alignment horizontal="center"/>
    </xf>
    <xf numFmtId="0" fontId="15" fillId="12" borderId="33" xfId="0" applyFont="1" applyFill="1" applyBorder="1" applyAlignment="1">
      <alignment horizontal="center"/>
    </xf>
    <xf numFmtId="0" fontId="15" fillId="13" borderId="30" xfId="0" applyFont="1" applyFill="1" applyBorder="1" applyAlignment="1">
      <alignment horizontal="center"/>
    </xf>
    <xf numFmtId="0" fontId="15" fillId="13" borderId="1" xfId="0" applyFont="1" applyFill="1" applyBorder="1" applyAlignment="1">
      <alignment horizontal="center"/>
    </xf>
    <xf numFmtId="0" fontId="15" fillId="13" borderId="33" xfId="0" applyFont="1" applyFill="1" applyBorder="1" applyAlignment="1">
      <alignment horizontal="center"/>
    </xf>
    <xf numFmtId="0" fontId="19" fillId="4" borderId="3" xfId="0" applyFont="1" applyFill="1" applyBorder="1" applyAlignment="1">
      <alignment horizontal="center"/>
    </xf>
    <xf numFmtId="0" fontId="19" fillId="4" borderId="39" xfId="0" applyFont="1" applyFill="1" applyBorder="1" applyAlignment="1">
      <alignment horizontal="center"/>
    </xf>
    <xf numFmtId="0" fontId="1" fillId="4" borderId="39" xfId="0" applyFont="1" applyFill="1" applyBorder="1" applyAlignment="1">
      <alignment horizontal="center"/>
    </xf>
    <xf numFmtId="0" fontId="18" fillId="4" borderId="9" xfId="0" applyFont="1" applyFill="1" applyBorder="1" applyAlignment="1">
      <alignment horizontal="center"/>
    </xf>
    <xf numFmtId="0" fontId="18" fillId="14" borderId="39" xfId="0" applyFont="1" applyFill="1" applyBorder="1" applyAlignment="1">
      <alignment horizontal="center"/>
    </xf>
    <xf numFmtId="0" fontId="18" fillId="14" borderId="3" xfId="0" applyFont="1" applyFill="1" applyBorder="1" applyAlignment="1">
      <alignment horizontal="center"/>
    </xf>
    <xf numFmtId="0" fontId="18" fillId="14" borderId="40" xfId="0" applyFont="1" applyFill="1" applyBorder="1" applyAlignment="1">
      <alignment horizontal="center"/>
    </xf>
    <xf numFmtId="0" fontId="17" fillId="14" borderId="30" xfId="0" applyFont="1" applyFill="1" applyBorder="1" applyAlignment="1">
      <alignment horizontal="center" vertical="center"/>
    </xf>
    <xf numFmtId="0" fontId="17" fillId="14" borderId="32" xfId="0" applyFont="1" applyFill="1" applyBorder="1" applyAlignment="1">
      <alignment horizontal="center" vertical="center"/>
    </xf>
    <xf numFmtId="0" fontId="0" fillId="0" borderId="41" xfId="0" applyBorder="1"/>
    <xf numFmtId="0" fontId="1" fillId="5" borderId="38" xfId="0" applyFont="1" applyFill="1" applyBorder="1"/>
    <xf numFmtId="0" fontId="0" fillId="5" borderId="36" xfId="0" applyFill="1" applyBorder="1"/>
    <xf numFmtId="0" fontId="0" fillId="0" borderId="42" xfId="0" applyFill="1" applyBorder="1" applyProtection="1">
      <protection hidden="1"/>
    </xf>
    <xf numFmtId="0" fontId="0" fillId="0" borderId="27" xfId="0" applyFill="1" applyBorder="1"/>
    <xf numFmtId="0" fontId="16" fillId="0" borderId="29" xfId="0" applyFont="1" applyFill="1" applyBorder="1" applyProtection="1">
      <protection hidden="1"/>
    </xf>
    <xf numFmtId="3" fontId="14" fillId="0" borderId="28" xfId="0" applyNumberFormat="1" applyFont="1" applyFill="1" applyBorder="1"/>
    <xf numFmtId="0" fontId="0" fillId="2" borderId="0" xfId="0" applyFill="1" applyAlignment="1">
      <alignment horizontal="left" indent="1"/>
    </xf>
    <xf numFmtId="0" fontId="9" fillId="2" borderId="0" xfId="0" applyFont="1" applyFill="1" applyAlignment="1">
      <alignment horizontal="left" indent="1"/>
    </xf>
    <xf numFmtId="0" fontId="0" fillId="0" borderId="0" xfId="0" applyFill="1" applyAlignment="1">
      <alignment horizontal="left" indent="1"/>
    </xf>
    <xf numFmtId="0" fontId="0" fillId="0" borderId="0" xfId="0" applyFill="1" applyBorder="1" applyAlignment="1">
      <alignment horizontal="left" indent="1"/>
    </xf>
    <xf numFmtId="0" fontId="20" fillId="0" borderId="0" xfId="0" applyFont="1"/>
    <xf numFmtId="0" fontId="21" fillId="0" borderId="0" xfId="0" applyFont="1"/>
    <xf numFmtId="0" fontId="0" fillId="3" borderId="44" xfId="0" applyFill="1" applyBorder="1"/>
    <xf numFmtId="0" fontId="0" fillId="0" borderId="44" xfId="0" applyBorder="1" applyAlignment="1">
      <alignment horizontal="center"/>
    </xf>
    <xf numFmtId="0" fontId="9" fillId="0" borderId="0" xfId="0" applyFont="1"/>
    <xf numFmtId="0" fontId="21" fillId="0" borderId="1" xfId="0" applyFont="1" applyBorder="1"/>
    <xf numFmtId="0" fontId="22" fillId="0" borderId="0" xfId="0" applyFont="1"/>
    <xf numFmtId="0" fontId="0" fillId="0" borderId="0" xfId="0" applyAlignment="1">
      <alignment horizontal="center"/>
    </xf>
    <xf numFmtId="0" fontId="9" fillId="0" borderId="0" xfId="0" applyFont="1" applyAlignment="1">
      <alignment horizontal="center"/>
    </xf>
    <xf numFmtId="0" fontId="9" fillId="15" borderId="0" xfId="0" applyFont="1" applyFill="1" applyBorder="1"/>
    <xf numFmtId="14" fontId="9" fillId="15" borderId="0" xfId="0" applyNumberFormat="1" applyFont="1" applyFill="1" applyBorder="1"/>
    <xf numFmtId="20" fontId="9" fillId="15" borderId="0" xfId="0" applyNumberFormat="1" applyFont="1" applyFill="1" applyBorder="1"/>
    <xf numFmtId="0" fontId="9" fillId="15" borderId="19" xfId="0" applyFont="1" applyFill="1" applyBorder="1"/>
    <xf numFmtId="0" fontId="9" fillId="15" borderId="0" xfId="0" applyFont="1" applyFill="1" applyBorder="1" applyAlignment="1">
      <alignment horizontal="right"/>
    </xf>
    <xf numFmtId="0" fontId="9" fillId="15" borderId="0" xfId="0" applyFont="1" applyFill="1" applyBorder="1" applyAlignment="1"/>
    <xf numFmtId="0" fontId="9" fillId="15" borderId="12" xfId="0" applyFont="1" applyFill="1" applyBorder="1"/>
    <xf numFmtId="14" fontId="9" fillId="15" borderId="12" xfId="0" applyNumberFormat="1" applyFont="1" applyFill="1" applyBorder="1"/>
    <xf numFmtId="20" fontId="9" fillId="15" borderId="21" xfId="0" applyNumberFormat="1" applyFont="1" applyFill="1" applyBorder="1"/>
    <xf numFmtId="0" fontId="9" fillId="15" borderId="20" xfId="0" applyFont="1" applyFill="1" applyBorder="1"/>
    <xf numFmtId="0" fontId="9" fillId="15" borderId="21" xfId="0" applyFont="1" applyFill="1" applyBorder="1" applyAlignment="1">
      <alignment horizontal="right"/>
    </xf>
    <xf numFmtId="0" fontId="9" fillId="15" borderId="21" xfId="0" applyFont="1" applyFill="1" applyBorder="1" applyAlignment="1"/>
    <xf numFmtId="20" fontId="9" fillId="15" borderId="12" xfId="0" applyNumberFormat="1" applyFont="1" applyFill="1" applyBorder="1"/>
    <xf numFmtId="0" fontId="9" fillId="15" borderId="15" xfId="0" applyFont="1" applyFill="1" applyBorder="1"/>
    <xf numFmtId="0" fontId="9" fillId="15" borderId="12" xfId="0" applyFont="1" applyFill="1" applyBorder="1" applyAlignment="1">
      <alignment horizontal="right"/>
    </xf>
    <xf numFmtId="0" fontId="9" fillId="15" borderId="12" xfId="0" applyFont="1" applyFill="1" applyBorder="1" applyAlignment="1"/>
    <xf numFmtId="0" fontId="9" fillId="15" borderId="19" xfId="0" applyFont="1" applyFill="1" applyBorder="1" applyAlignment="1">
      <alignment horizontal="left"/>
    </xf>
    <xf numFmtId="0" fontId="9" fillId="15" borderId="20" xfId="0" applyFont="1" applyFill="1" applyBorder="1" applyAlignment="1">
      <alignment horizontal="left"/>
    </xf>
    <xf numFmtId="0" fontId="9" fillId="15" borderId="15" xfId="0" applyFont="1" applyFill="1" applyBorder="1" applyAlignment="1">
      <alignment horizontal="left"/>
    </xf>
    <xf numFmtId="0" fontId="9" fillId="15" borderId="21" xfId="0" applyFont="1" applyFill="1" applyBorder="1"/>
    <xf numFmtId="14" fontId="9" fillId="15" borderId="21" xfId="0" applyNumberFormat="1" applyFont="1" applyFill="1" applyBorder="1"/>
    <xf numFmtId="0" fontId="9" fillId="15" borderId="21" xfId="0" applyFont="1" applyFill="1" applyBorder="1" applyAlignment="1" applyProtection="1">
      <alignment horizontal="right"/>
      <protection locked="0"/>
    </xf>
    <xf numFmtId="0" fontId="9" fillId="15" borderId="22" xfId="0" applyFont="1" applyFill="1" applyBorder="1" applyAlignment="1" applyProtection="1">
      <alignment horizontal="center" vertical="center"/>
      <protection locked="0"/>
    </xf>
    <xf numFmtId="0" fontId="9" fillId="15" borderId="24" xfId="0" applyFont="1" applyFill="1" applyBorder="1"/>
    <xf numFmtId="14" fontId="9" fillId="15" borderId="24" xfId="0" applyNumberFormat="1" applyFont="1" applyFill="1" applyBorder="1"/>
    <xf numFmtId="20" fontId="9" fillId="15" borderId="24" xfId="0" applyNumberFormat="1" applyFont="1" applyFill="1" applyBorder="1"/>
    <xf numFmtId="0" fontId="9" fillId="15" borderId="25" xfId="0" applyFont="1" applyFill="1" applyBorder="1"/>
    <xf numFmtId="0" fontId="9" fillId="15" borderId="24" xfId="0" applyFont="1" applyFill="1" applyBorder="1" applyAlignment="1" applyProtection="1">
      <alignment horizontal="right"/>
      <protection locked="0"/>
    </xf>
    <xf numFmtId="0" fontId="9" fillId="15" borderId="0" xfId="0" applyFont="1" applyFill="1" applyBorder="1" applyAlignment="1" applyProtection="1">
      <alignment horizontal="right"/>
      <protection locked="0"/>
    </xf>
    <xf numFmtId="0" fontId="9" fillId="15" borderId="23" xfId="0" applyFont="1" applyFill="1" applyBorder="1"/>
    <xf numFmtId="0" fontId="9" fillId="15" borderId="0" xfId="0" applyFont="1" applyFill="1" applyBorder="1" applyAlignment="1" applyProtection="1">
      <alignment horizontal="left"/>
      <protection locked="0"/>
    </xf>
    <xf numFmtId="0" fontId="9" fillId="15" borderId="24" xfId="0" applyFont="1" applyFill="1" applyBorder="1" applyAlignment="1" applyProtection="1">
      <alignment horizontal="left"/>
      <protection locked="0"/>
    </xf>
    <xf numFmtId="0" fontId="9" fillId="8" borderId="22" xfId="0" applyFont="1" applyFill="1" applyBorder="1" applyAlignment="1" applyProtection="1">
      <alignment horizontal="center"/>
      <protection locked="0"/>
    </xf>
    <xf numFmtId="0" fontId="9" fillId="8" borderId="17" xfId="0" applyFont="1" applyFill="1" applyBorder="1" applyAlignment="1" applyProtection="1">
      <alignment horizontal="center"/>
      <protection locked="0"/>
    </xf>
    <xf numFmtId="0" fontId="8" fillId="3" borderId="14" xfId="0" applyFont="1" applyFill="1" applyBorder="1" applyAlignment="1"/>
    <xf numFmtId="0" fontId="10" fillId="15" borderId="17" xfId="0" applyFont="1" applyFill="1" applyBorder="1" applyAlignment="1">
      <alignment horizontal="centerContinuous"/>
    </xf>
    <xf numFmtId="0" fontId="10" fillId="15" borderId="46" xfId="0" applyFont="1" applyFill="1" applyBorder="1" applyAlignment="1"/>
    <xf numFmtId="0" fontId="10" fillId="15" borderId="46" xfId="0" applyFont="1" applyFill="1" applyBorder="1" applyAlignment="1">
      <alignment horizontal="center"/>
    </xf>
    <xf numFmtId="0" fontId="10" fillId="15" borderId="16" xfId="0" applyFont="1" applyFill="1" applyBorder="1" applyAlignment="1">
      <alignment horizontal="centerContinuous"/>
    </xf>
    <xf numFmtId="0" fontId="10" fillId="16" borderId="16" xfId="0" applyFont="1" applyFill="1" applyBorder="1" applyAlignment="1">
      <alignment horizontal="centerContinuous"/>
    </xf>
    <xf numFmtId="0" fontId="23" fillId="2" borderId="45" xfId="0" applyFont="1" applyFill="1" applyBorder="1"/>
    <xf numFmtId="0" fontId="24" fillId="2" borderId="45" xfId="0" applyFont="1" applyFill="1" applyBorder="1"/>
    <xf numFmtId="0" fontId="23" fillId="2" borderId="47" xfId="0" applyFont="1" applyFill="1" applyBorder="1"/>
    <xf numFmtId="0" fontId="23" fillId="2" borderId="48" xfId="0" applyFont="1" applyFill="1" applyBorder="1"/>
    <xf numFmtId="0" fontId="9" fillId="15" borderId="21" xfId="0" applyFont="1" applyFill="1" applyBorder="1" applyProtection="1">
      <protection locked="0"/>
    </xf>
    <xf numFmtId="0" fontId="9" fillId="15" borderId="24" xfId="0" applyFont="1" applyFill="1" applyBorder="1" applyProtection="1">
      <protection locked="0"/>
    </xf>
    <xf numFmtId="0" fontId="9" fillId="15" borderId="0" xfId="0" applyFont="1" applyFill="1" applyBorder="1" applyProtection="1">
      <protection locked="0"/>
    </xf>
    <xf numFmtId="0" fontId="0" fillId="5" borderId="27" xfId="0" applyFill="1" applyBorder="1" applyAlignment="1"/>
    <xf numFmtId="0" fontId="0" fillId="5" borderId="49" xfId="0" applyFill="1" applyBorder="1" applyAlignment="1"/>
    <xf numFmtId="0" fontId="1" fillId="4" borderId="40" xfId="0" applyFont="1" applyFill="1" applyBorder="1" applyAlignment="1">
      <alignment horizontal="center"/>
    </xf>
    <xf numFmtId="0" fontId="0" fillId="0" borderId="30" xfId="0" applyBorder="1"/>
    <xf numFmtId="0" fontId="0" fillId="0" borderId="31" xfId="0" applyBorder="1"/>
    <xf numFmtId="0" fontId="0" fillId="0" borderId="32" xfId="0" applyBorder="1"/>
    <xf numFmtId="0" fontId="0" fillId="0" borderId="33" xfId="0" applyBorder="1"/>
    <xf numFmtId="0" fontId="10" fillId="15" borderId="0" xfId="0" applyFont="1" applyFill="1" applyBorder="1" applyAlignment="1">
      <alignment horizontal="centerContinuous"/>
    </xf>
    <xf numFmtId="0" fontId="11" fillId="3" borderId="0" xfId="0" applyFont="1" applyFill="1" applyAlignment="1">
      <alignment horizontal="center"/>
    </xf>
    <xf numFmtId="0" fontId="5" fillId="3" borderId="0" xfId="0" applyFont="1" applyFill="1" applyAlignment="1">
      <alignment horizontal="center" wrapText="1"/>
    </xf>
    <xf numFmtId="0" fontId="5" fillId="3" borderId="0" xfId="0" applyFont="1" applyFill="1" applyBorder="1" applyAlignment="1">
      <alignment horizontal="center"/>
    </xf>
    <xf numFmtId="0" fontId="5" fillId="3" borderId="14" xfId="0" applyFont="1" applyFill="1" applyBorder="1" applyAlignment="1">
      <alignment horizontal="center"/>
    </xf>
    <xf numFmtId="0" fontId="5" fillId="3" borderId="0" xfId="0" applyFont="1" applyFill="1" applyAlignment="1">
      <alignment horizontal="center"/>
    </xf>
    <xf numFmtId="0" fontId="5" fillId="3" borderId="18" xfId="0" applyFont="1" applyFill="1" applyBorder="1" applyAlignment="1">
      <alignment horizontal="center"/>
    </xf>
    <xf numFmtId="0" fontId="5" fillId="3" borderId="19" xfId="0" applyFont="1" applyFill="1" applyBorder="1" applyAlignment="1">
      <alignment horizontal="center"/>
    </xf>
    <xf numFmtId="0" fontId="5" fillId="3" borderId="15" xfId="0" applyFont="1" applyFill="1" applyBorder="1" applyAlignment="1">
      <alignment horizontal="center"/>
    </xf>
    <xf numFmtId="0" fontId="0" fillId="2" borderId="0" xfId="0" applyFill="1" applyAlignment="1">
      <alignment horizontal="center"/>
    </xf>
    <xf numFmtId="0" fontId="25" fillId="3" borderId="0" xfId="0" applyFont="1" applyFill="1" applyBorder="1" applyAlignment="1">
      <alignment horizontal="center" vertical="center"/>
    </xf>
    <xf numFmtId="0" fontId="0" fillId="15" borderId="0" xfId="0" applyFill="1"/>
    <xf numFmtId="0" fontId="13" fillId="15" borderId="0" xfId="0" applyFont="1" applyFill="1"/>
    <xf numFmtId="0" fontId="0" fillId="15" borderId="19" xfId="0" applyFill="1" applyBorder="1"/>
    <xf numFmtId="0" fontId="13" fillId="15" borderId="0" xfId="0" applyFont="1" applyFill="1" applyProtection="1">
      <protection locked="0"/>
    </xf>
    <xf numFmtId="0" fontId="0" fillId="3" borderId="0" xfId="0" applyFill="1"/>
    <xf numFmtId="0" fontId="0" fillId="3" borderId="0" xfId="0" applyFill="1" applyAlignment="1">
      <alignment horizontal="center"/>
    </xf>
    <xf numFmtId="0" fontId="9" fillId="3" borderId="0" xfId="0" applyFont="1" applyFill="1"/>
    <xf numFmtId="0" fontId="5" fillId="3" borderId="38" xfId="0" applyFont="1" applyFill="1" applyBorder="1" applyAlignment="1">
      <alignment horizontal="centerContinuous" wrapText="1"/>
    </xf>
    <xf numFmtId="0" fontId="5" fillId="3" borderId="36" xfId="0" applyFont="1" applyFill="1" applyBorder="1" applyAlignment="1">
      <alignment horizontal="centerContinuous" wrapText="1"/>
    </xf>
    <xf numFmtId="0" fontId="5" fillId="3" borderId="37" xfId="0" applyFont="1" applyFill="1" applyBorder="1" applyAlignment="1">
      <alignment horizontal="center" wrapText="1"/>
    </xf>
    <xf numFmtId="0" fontId="5" fillId="3" borderId="52" xfId="0" applyFont="1" applyFill="1" applyBorder="1" applyAlignment="1">
      <alignment horizontal="centerContinuous" wrapText="1"/>
    </xf>
    <xf numFmtId="0" fontId="5" fillId="3" borderId="0" xfId="0" applyFont="1" applyFill="1" applyBorder="1" applyAlignment="1">
      <alignment horizontal="centerContinuous" wrapText="1"/>
    </xf>
    <xf numFmtId="0" fontId="5" fillId="3" borderId="53" xfId="0" applyFont="1" applyFill="1" applyBorder="1" applyAlignment="1">
      <alignment horizontal="center" wrapText="1"/>
    </xf>
    <xf numFmtId="0" fontId="5" fillId="3" borderId="52" xfId="0" applyFont="1" applyFill="1" applyBorder="1"/>
    <xf numFmtId="0" fontId="5" fillId="3" borderId="53" xfId="0" applyFont="1" applyFill="1" applyBorder="1" applyAlignment="1">
      <alignment horizontal="center"/>
    </xf>
    <xf numFmtId="0" fontId="5" fillId="3" borderId="50" xfId="0" applyFont="1" applyFill="1" applyBorder="1"/>
    <xf numFmtId="0" fontId="5" fillId="3" borderId="2" xfId="0" applyFont="1" applyFill="1" applyBorder="1"/>
    <xf numFmtId="0" fontId="5" fillId="3" borderId="51" xfId="0" applyFont="1" applyFill="1" applyBorder="1" applyAlignment="1">
      <alignment horizontal="center"/>
    </xf>
    <xf numFmtId="0" fontId="29" fillId="0" borderId="43" xfId="0" applyFont="1" applyFill="1" applyBorder="1" applyProtection="1">
      <protection hidden="1"/>
    </xf>
    <xf numFmtId="3" fontId="30" fillId="0" borderId="10" xfId="0" applyNumberFormat="1" applyFont="1" applyFill="1" applyBorder="1"/>
    <xf numFmtId="0" fontId="0" fillId="0" borderId="0" xfId="0" applyFont="1" applyFill="1" applyBorder="1"/>
    <xf numFmtId="0" fontId="0" fillId="0" borderId="0" xfId="0" applyAlignment="1">
      <alignment horizontal="center" vertical="center"/>
    </xf>
    <xf numFmtId="0" fontId="0" fillId="0" borderId="0" xfId="0" applyAlignment="1">
      <alignment horizontal="left" indent="1"/>
    </xf>
    <xf numFmtId="0" fontId="0" fillId="0" borderId="0" xfId="0" applyAlignment="1">
      <alignment horizontal="left" vertical="center" indent="1"/>
    </xf>
    <xf numFmtId="0" fontId="0" fillId="0" borderId="0" xfId="0" applyFont="1" applyFill="1"/>
    <xf numFmtId="0" fontId="0" fillId="0" borderId="0" xfId="0" applyNumberFormat="1" applyFont="1" applyFill="1"/>
    <xf numFmtId="0" fontId="0" fillId="0" borderId="0" xfId="0" applyFont="1" applyFill="1" applyAlignment="1">
      <alignment horizontal="left"/>
    </xf>
    <xf numFmtId="0" fontId="0" fillId="0" borderId="0" xfId="0" applyNumberFormat="1" applyFont="1" applyFill="1" applyAlignment="1">
      <alignment horizontal="center"/>
    </xf>
    <xf numFmtId="0" fontId="0" fillId="0" borderId="0" xfId="0" applyNumberFormat="1" applyFont="1" applyFill="1" applyBorder="1"/>
    <xf numFmtId="0" fontId="0" fillId="0" borderId="0" xfId="0" applyNumberFormat="1" applyAlignment="1">
      <alignment horizontal="left" indent="1"/>
    </xf>
    <xf numFmtId="0" fontId="0" fillId="0" borderId="0" xfId="0" applyNumberFormat="1" applyAlignment="1">
      <alignment horizontal="center"/>
    </xf>
    <xf numFmtId="0" fontId="0" fillId="0" borderId="0" xfId="0" applyAlignment="1">
      <alignment horizontal="left" vertical="center"/>
    </xf>
    <xf numFmtId="0" fontId="0" fillId="3" borderId="44" xfId="0" applyFill="1" applyBorder="1"/>
    <xf numFmtId="0" fontId="0" fillId="0" borderId="0" xfId="0"/>
    <xf numFmtId="0" fontId="0" fillId="3" borderId="44" xfId="0" applyFill="1" applyBorder="1"/>
    <xf numFmtId="0" fontId="0" fillId="0" borderId="44" xfId="0" applyBorder="1" applyAlignment="1">
      <alignment horizontal="center"/>
    </xf>
    <xf numFmtId="0" fontId="0" fillId="0" borderId="0" xfId="0" applyAlignment="1">
      <alignment horizontal="center"/>
    </xf>
    <xf numFmtId="0" fontId="9" fillId="0" borderId="0" xfId="0" applyFont="1" applyAlignment="1">
      <alignment horizontal="center"/>
    </xf>
    <xf numFmtId="0" fontId="31" fillId="0" borderId="0" xfId="0" applyFont="1" applyFill="1"/>
    <xf numFmtId="0" fontId="31" fillId="0" borderId="0" xfId="0" applyNumberFormat="1" applyFont="1" applyFill="1"/>
    <xf numFmtId="0" fontId="26" fillId="3" borderId="0" xfId="0" applyFont="1" applyFill="1" applyBorder="1" applyAlignment="1">
      <alignment horizontal="center"/>
    </xf>
    <xf numFmtId="0" fontId="27" fillId="3" borderId="0" xfId="0" applyFont="1" applyFill="1" applyBorder="1" applyAlignment="1">
      <alignment horizontal="center" vertical="center" wrapText="1"/>
    </xf>
    <xf numFmtId="0" fontId="28" fillId="9" borderId="38" xfId="0" applyFont="1" applyFill="1" applyBorder="1" applyAlignment="1">
      <alignment horizontal="center" vertical="center" wrapText="1"/>
    </xf>
    <xf numFmtId="0" fontId="28" fillId="9" borderId="36" xfId="0" applyFont="1" applyFill="1" applyBorder="1" applyAlignment="1">
      <alignment horizontal="center" vertical="center" wrapText="1"/>
    </xf>
    <xf numFmtId="0" fontId="28" fillId="9" borderId="37" xfId="0" applyFont="1" applyFill="1" applyBorder="1" applyAlignment="1">
      <alignment horizontal="center" vertical="center" wrapText="1"/>
    </xf>
    <xf numFmtId="0" fontId="28" fillId="9" borderId="52" xfId="0" applyFont="1" applyFill="1" applyBorder="1" applyAlignment="1">
      <alignment horizontal="center" vertical="center" wrapText="1"/>
    </xf>
    <xf numFmtId="0" fontId="28" fillId="9" borderId="0" xfId="0" applyFont="1" applyFill="1" applyBorder="1" applyAlignment="1">
      <alignment horizontal="center" vertical="center" wrapText="1"/>
    </xf>
    <xf numFmtId="0" fontId="28" fillId="9" borderId="53" xfId="0" applyFont="1" applyFill="1" applyBorder="1" applyAlignment="1">
      <alignment horizontal="center" vertical="center" wrapText="1"/>
    </xf>
    <xf numFmtId="0" fontId="28" fillId="9" borderId="50" xfId="0" applyFont="1" applyFill="1" applyBorder="1" applyAlignment="1">
      <alignment horizontal="center" vertical="center" wrapText="1"/>
    </xf>
    <xf numFmtId="0" fontId="28" fillId="9" borderId="2" xfId="0" applyFont="1" applyFill="1" applyBorder="1" applyAlignment="1">
      <alignment horizontal="center" vertical="center" wrapText="1"/>
    </xf>
    <xf numFmtId="0" fontId="28" fillId="9" borderId="51" xfId="0" applyFont="1" applyFill="1" applyBorder="1" applyAlignment="1">
      <alignment horizontal="center" vertical="center" wrapText="1"/>
    </xf>
    <xf numFmtId="0" fontId="14" fillId="10" borderId="38" xfId="0" applyFont="1" applyFill="1" applyBorder="1" applyAlignment="1">
      <alignment horizontal="center"/>
    </xf>
    <xf numFmtId="0" fontId="14" fillId="10" borderId="36" xfId="0" applyFont="1" applyFill="1" applyBorder="1" applyAlignment="1">
      <alignment horizontal="center"/>
    </xf>
    <xf numFmtId="0" fontId="14" fillId="10" borderId="37" xfId="0" applyFont="1" applyFill="1" applyBorder="1" applyAlignment="1">
      <alignment horizontal="center"/>
    </xf>
    <xf numFmtId="0" fontId="14" fillId="11" borderId="38" xfId="0" applyFont="1" applyFill="1" applyBorder="1" applyAlignment="1">
      <alignment horizontal="center"/>
    </xf>
    <xf numFmtId="0" fontId="14" fillId="11" borderId="36" xfId="0" applyFont="1" applyFill="1" applyBorder="1" applyAlignment="1">
      <alignment horizontal="center"/>
    </xf>
    <xf numFmtId="0" fontId="14" fillId="11" borderId="37" xfId="0" applyFont="1" applyFill="1" applyBorder="1" applyAlignment="1">
      <alignment horizontal="center"/>
    </xf>
    <xf numFmtId="0" fontId="22" fillId="0" borderId="0" xfId="0" applyFont="1" applyAlignment="1">
      <alignment horizontal="center"/>
    </xf>
    <xf numFmtId="0" fontId="0" fillId="0" borderId="0" xfId="0" applyAlignment="1">
      <alignment horizontal="center" vertical="center" wrapText="1"/>
    </xf>
    <xf numFmtId="0" fontId="9" fillId="17" borderId="26" xfId="0" applyFont="1" applyFill="1" applyBorder="1" applyAlignment="1" applyProtection="1">
      <alignment horizontal="left"/>
      <protection locked="0"/>
    </xf>
    <xf numFmtId="0" fontId="9" fillId="17" borderId="24" xfId="0" applyFont="1" applyFill="1" applyBorder="1" applyAlignment="1" applyProtection="1">
      <alignment horizontal="left"/>
      <protection locked="0"/>
    </xf>
  </cellXfs>
  <cellStyles count="3">
    <cellStyle name="Hipervínculo" xfId="1" builtinId="8" hidden="1"/>
    <cellStyle name="Hipervínculo visitado" xfId="2" builtinId="9" hidden="1"/>
    <cellStyle name="Normal" xfId="0" builtinId="0"/>
  </cellStyles>
  <dxfs count="75">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numFmt numFmtId="0" formatCode="General"/>
      <fill>
        <patternFill patternType="none">
          <fgColor indexed="64"/>
          <bgColor auto="1"/>
        </patternFill>
      </fill>
    </dxf>
    <dxf>
      <font>
        <strike val="0"/>
        <outline val="0"/>
        <shadow val="0"/>
        <u val="none"/>
        <vertAlign val="baseline"/>
        <sz val="11"/>
        <color theme="1"/>
        <name val="Calibri"/>
        <scheme val="minor"/>
      </font>
      <numFmt numFmtId="0" formatCode="General"/>
      <fill>
        <patternFill patternType="none">
          <fgColor indexed="64"/>
          <bgColor auto="1"/>
        </patternFill>
      </fill>
    </dxf>
    <dxf>
      <font>
        <strike val="0"/>
        <outline val="0"/>
        <shadow val="0"/>
        <u val="none"/>
        <vertAlign val="baseline"/>
        <sz val="11"/>
        <color theme="1"/>
        <name val="Calibri"/>
        <scheme val="minor"/>
      </font>
      <numFmt numFmtId="0" formatCode="General"/>
      <fill>
        <patternFill patternType="none">
          <fgColor indexed="64"/>
          <bgColor indexed="65"/>
        </patternFill>
      </fill>
    </dxf>
    <dxf>
      <font>
        <strike val="0"/>
        <outline val="0"/>
        <shadow val="0"/>
        <u val="none"/>
        <vertAlign val="baseline"/>
        <sz val="11"/>
        <color theme="1"/>
        <name val="Calibri"/>
        <scheme val="minor"/>
      </font>
      <numFmt numFmtId="0" formatCode="General"/>
      <fill>
        <patternFill patternType="none">
          <fgColor indexed="64"/>
          <bgColor indexed="65"/>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numFmt numFmtId="0" formatCode="General"/>
      <alignment horizontal="center" vertical="bottom" textRotation="0" wrapText="0" indent="0" justifyLastLine="0" shrinkToFit="0" readingOrder="0"/>
    </dxf>
    <dxf>
      <numFmt numFmtId="0" formatCode="General"/>
      <alignment horizontal="left" vertical="bottom" textRotation="0" wrapText="0" indent="1"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dxf>
    <dxf>
      <alignment horizontal="center" vertical="center" textRotation="0" wrapText="0" indent="0" justifyLastLine="0" shrinkToFit="0" readingOrder="0"/>
    </dxf>
    <dxf>
      <alignment horizontal="left" vertical="center" textRotation="0" wrapText="0" relativeIndent="1" justifyLastLine="0" shrinkToFit="0" readingOrder="0"/>
    </dxf>
    <dxf>
      <alignment horizontal="general" vertical="center" textRotation="0" wrapText="0" indent="0" justifyLastLine="0" shrinkToFit="0" readingOrder="0"/>
    </dxf>
    <dxf>
      <fill>
        <patternFill patternType="none">
          <fgColor indexed="64"/>
          <bgColor auto="1"/>
        </patternFill>
      </fill>
      <alignment horizontal="left" vertical="bottom" textRotation="0" wrapText="0" indent="1" justifyLastLine="0" shrinkToFit="0" readingOrder="0"/>
    </dxf>
    <dxf>
      <fill>
        <patternFill patternType="none">
          <fgColor indexed="64"/>
          <bgColor auto="1"/>
        </patternFill>
      </fill>
      <alignment horizontal="left" vertical="bottom" textRotation="0" wrapText="0" indent="1"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vertical="bottom" textRotation="0" wrapText="0" indent="1" justifyLastLine="0" shrinkToFit="0" readingOrder="0"/>
    </dxf>
    <dxf>
      <font>
        <b val="0"/>
        <i val="0"/>
        <strike val="0"/>
        <condense val="0"/>
        <extend val="0"/>
        <outline val="0"/>
        <shadow val="0"/>
        <u val="none"/>
        <vertAlign val="baseline"/>
        <sz val="10"/>
        <color theme="1"/>
        <name val="Calibri"/>
        <scheme val="minor"/>
      </font>
      <numFmt numFmtId="3" formatCode="#,##0"/>
      <fill>
        <patternFill patternType="none">
          <fgColor indexed="64"/>
          <bgColor auto="1"/>
        </patternFill>
      </fill>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8"/>
        <color theme="1"/>
        <name val="Calibri"/>
        <scheme val="minor"/>
      </font>
      <fill>
        <patternFill patternType="none">
          <fgColor indexed="64"/>
          <bgColor auto="1"/>
        </patternFill>
      </fill>
      <border diagonalUp="0" diagonalDown="0" outline="0">
        <left/>
        <right style="thin">
          <color auto="1"/>
        </right>
        <top style="thin">
          <color auto="1"/>
        </top>
        <bottom style="thin">
          <color auto="1"/>
        </bottom>
      </border>
      <protection locked="1" hidden="1"/>
    </dxf>
    <dxf>
      <border outline="0">
        <top style="thin">
          <color auto="1"/>
        </top>
      </border>
    </dxf>
    <dxf>
      <border outline="0">
        <left style="thin">
          <color auto="1"/>
        </left>
        <right style="thin">
          <color auto="1"/>
        </right>
        <top style="thin">
          <color auto="1"/>
        </top>
        <bottom style="thin">
          <color auto="1"/>
        </bottom>
      </border>
    </dxf>
    <dxf>
      <fill>
        <patternFill patternType="none">
          <fgColor indexed="64"/>
          <bgColor auto="1"/>
        </patternFill>
      </fill>
    </dxf>
    <dxf>
      <border outline="0">
        <bottom style="thin">
          <color auto="1"/>
        </bottom>
      </border>
    </dxf>
    <dxf>
      <fill>
        <patternFill patternType="none">
          <fgColor indexed="64"/>
          <bgColor auto="1"/>
        </patternFill>
      </fill>
    </dxf>
    <dxf>
      <font>
        <color rgb="FFFF0000"/>
      </font>
      <border>
        <left style="thin">
          <color auto="1"/>
        </left>
        <right style="thin">
          <color auto="1"/>
        </right>
        <top style="thin">
          <color auto="1"/>
        </top>
        <bottom style="thin">
          <color auto="1"/>
        </bottom>
        <vertical/>
        <horizontal/>
      </border>
    </dxf>
    <dxf>
      <fill>
        <patternFill>
          <bgColor theme="6" tint="-0.24994659260841701"/>
        </patternFill>
      </fill>
    </dxf>
    <dxf>
      <font>
        <color rgb="FFFF0000"/>
      </font>
      <border>
        <left style="thin">
          <color auto="1"/>
        </left>
        <right style="thin">
          <color auto="1"/>
        </right>
        <top style="thin">
          <color auto="1"/>
        </top>
        <bottom style="thin">
          <color auto="1"/>
        </bottom>
        <vertical/>
        <horizontal/>
      </border>
    </dxf>
    <dxf>
      <fill>
        <patternFill>
          <bgColor rgb="FFFFC000"/>
        </patternFill>
      </fill>
      <border>
        <bottom style="thin">
          <color rgb="FF002060"/>
        </bottom>
        <vertical/>
        <horizontal/>
      </border>
    </dxf>
    <dxf>
      <fill>
        <patternFill>
          <bgColor rgb="FFFFC000"/>
        </patternFill>
      </fill>
      <border>
        <bottom style="thin">
          <color rgb="FF002060"/>
        </bottom>
        <vertical/>
        <horizontal/>
      </border>
    </dxf>
    <dxf>
      <fill>
        <patternFill>
          <bgColor rgb="FFFFC000"/>
        </patternFill>
      </fill>
      <border>
        <bottom style="thin">
          <color rgb="FF002060"/>
        </bottom>
        <vertical/>
        <horizontal/>
      </border>
    </dxf>
    <dxf>
      <fill>
        <patternFill>
          <bgColor rgb="FFFFC000"/>
        </patternFill>
      </fill>
      <border>
        <bottom style="thin">
          <color rgb="FF002060"/>
        </bottom>
        <vertical/>
        <horizontal/>
      </border>
    </dxf>
    <dxf>
      <fill>
        <patternFill>
          <bgColor rgb="FFFFC000"/>
        </patternFill>
      </fill>
      <border>
        <bottom style="thin">
          <color rgb="FF002060"/>
        </bottom>
      </border>
    </dxf>
    <dxf>
      <fill>
        <patternFill>
          <bgColor rgb="FFFFC000"/>
        </patternFill>
      </fill>
      <border>
        <bottom style="thin">
          <color rgb="FF002060"/>
        </bottom>
        <vertical/>
        <horizontal/>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2060"/>
      </font>
      <fill>
        <patternFill>
          <bgColor rgb="FFFFC000"/>
        </patternFill>
      </fill>
      <border>
        <left/>
        <right/>
        <top style="thin">
          <color theme="0"/>
        </top>
        <bottom style="thin">
          <color rgb="FF002060"/>
        </bottom>
      </border>
    </dxf>
    <dxf>
      <font>
        <color rgb="FF002060"/>
      </font>
      <fill>
        <patternFill>
          <bgColor rgb="FFFFC000"/>
        </patternFill>
      </fill>
      <border>
        <left/>
        <right/>
        <top style="thin">
          <color theme="0"/>
        </top>
        <bottom style="thin">
          <color rgb="FF002060"/>
        </bottom>
      </border>
    </dxf>
    <dxf>
      <font>
        <color rgb="FF002060"/>
      </font>
      <fill>
        <patternFill>
          <bgColor rgb="FFFFC000"/>
        </patternFill>
      </fill>
      <border>
        <left/>
        <right/>
        <top style="thin">
          <color theme="0"/>
        </top>
        <bottom style="thin">
          <color rgb="FF002060"/>
        </bottom>
      </border>
    </dxf>
    <dxf>
      <font>
        <color rgb="FF002060"/>
      </font>
      <fill>
        <patternFill>
          <bgColor rgb="FFFFC000"/>
        </patternFill>
      </fill>
      <border>
        <left/>
        <right/>
        <top style="thin">
          <color theme="0"/>
        </top>
        <bottom style="thin">
          <color rgb="FF002060"/>
        </bottom>
      </border>
    </dxf>
    <dxf>
      <font>
        <color rgb="FF002060"/>
      </font>
      <fill>
        <patternFill>
          <bgColor rgb="FFFFC000"/>
        </patternFill>
      </fill>
      <border>
        <left style="thin">
          <color theme="0" tint="-0.14996795556505021"/>
        </left>
        <right style="thin">
          <color theme="0" tint="-0.14996795556505021"/>
        </right>
        <top style="thin">
          <color theme="0"/>
        </top>
        <bottom style="thin">
          <color rgb="FF002060"/>
        </bottom>
      </border>
    </dxf>
    <dxf>
      <font>
        <color rgb="FF002060"/>
      </font>
      <fill>
        <patternFill>
          <bgColor rgb="FFFFC000"/>
        </patternFill>
      </fill>
      <border>
        <left/>
        <right/>
        <top style="thin">
          <color theme="0"/>
        </top>
        <bottom style="thin">
          <color rgb="FF002060"/>
        </bottom>
      </border>
    </dxf>
    <dxf>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numFmt numFmtId="25" formatCode="h:mm"/>
    </dxf>
    <dxf>
      <numFmt numFmtId="19" formatCode="dd/mm/yyyy"/>
    </dxf>
    <dxf>
      <numFmt numFmtId="19" formatCode="dd/mm/yyyy"/>
    </dxf>
  </dxfs>
  <tableStyles count="0" defaultTableStyle="TableStyleMedium9" defaultPivotStyle="PivotStyleLight16"/>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22412</xdr:colOff>
      <xdr:row>51</xdr:row>
      <xdr:rowOff>18342</xdr:rowOff>
    </xdr:from>
    <xdr:to>
      <xdr:col>24</xdr:col>
      <xdr:colOff>212912</xdr:colOff>
      <xdr:row>60</xdr:row>
      <xdr:rowOff>176878</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63118" y="9913136"/>
          <a:ext cx="3092823" cy="1873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Tabla1" displayName="Tabla1" ref="A4:I55" totalsRowShown="0">
  <autoFilter ref="A4:I55"/>
  <sortState ref="B13:I48">
    <sortCondition ref="B12:B48"/>
  </sortState>
  <tableColumns count="9">
    <tableColumn id="9" name="Nº" dataDxfId="74"/>
    <tableColumn id="1" name="Fecha" dataDxfId="73"/>
    <tableColumn id="2" name="Grupo"/>
    <tableColumn id="3" name="Hora" dataDxfId="72"/>
    <tableColumn id="4" name="Estadio"/>
    <tableColumn id="5" name="Equipo 1"/>
    <tableColumn id="6" name="GE1"/>
    <tableColumn id="7" name="Equipo 2"/>
    <tableColumn id="8" name="GE2"/>
  </tableColumns>
  <tableStyleInfo name="TableStyleMedium9" showFirstColumn="0" showLastColumn="0" showRowStripes="1" showColumnStripes="0"/>
</table>
</file>

<file path=xl/tables/table2.xml><?xml version="1.0" encoding="utf-8"?>
<table xmlns="http://schemas.openxmlformats.org/spreadsheetml/2006/main" id="2" name="Tabla2" displayName="Tabla2" ref="BD4:BE11" totalsRowShown="0" headerRowDxfId="27" dataDxfId="25" headerRowBorderDxfId="26" tableBorderDxfId="24" totalsRowBorderDxfId="23">
  <autoFilter ref="BD4:BE11"/>
  <tableColumns count="2">
    <tableColumn id="1" name="TOPIC" dataDxfId="22"/>
    <tableColumn id="2" name="VALUE" dataDxfId="21"/>
  </tableColumns>
  <tableStyleInfo name="TableStyleLight8" showFirstColumn="0" showLastColumn="0" showRowStripes="1" showColumnStripes="0"/>
</table>
</file>

<file path=xl/tables/table3.xml><?xml version="1.0" encoding="utf-8"?>
<table xmlns="http://schemas.openxmlformats.org/spreadsheetml/2006/main" id="3" name="Tabla3" displayName="Tabla3" ref="A1:C55" totalsRowShown="0" headerRowDxfId="20" dataDxfId="19">
  <autoFilter ref="A1:C55"/>
  <tableColumns count="3">
    <tableColumn id="4" name="Clasificada" dataDxfId="18">
      <calculatedColumnFormula>NOT(ISERROR(VLOOKUP(Tabla3[[#This Row],[Selección]],'Porra Eurocopa'!$AC$4:$AC$38,1,FALSE)))</calculatedColumnFormula>
    </tableColumn>
    <tableColumn id="1" name="Selección" dataDxfId="17"/>
    <tableColumn id="2" name="Ranking" dataDxfId="16"/>
  </tableColumns>
  <tableStyleInfo name="TableStyleMedium9" showFirstColumn="0" showLastColumn="0" showRowStripes="1" showColumnStripes="0"/>
</table>
</file>

<file path=xl/tables/table4.xml><?xml version="1.0" encoding="utf-8"?>
<table xmlns="http://schemas.openxmlformats.org/spreadsheetml/2006/main" id="4" name="Tabla4" displayName="Tabla4" ref="L3:M16" totalsRowShown="0" dataDxfId="15">
  <autoFilter ref="L3:M16"/>
  <tableColumns count="2">
    <tableColumn id="1" name="Tipo Acierto" dataDxfId="14"/>
    <tableColumn id="2" name="Valor" dataDxfId="13"/>
  </tableColumns>
  <tableStyleInfo name="TableStyleMedium16" showFirstColumn="0" showLastColumn="0" showRowStripes="1" showColumnStripes="0"/>
</table>
</file>

<file path=xl/tables/table5.xml><?xml version="1.0" encoding="utf-8"?>
<table xmlns="http://schemas.openxmlformats.org/spreadsheetml/2006/main" id="5" name="Tabla5" displayName="Tabla5" ref="J18:M62" totalsRowShown="0">
  <autoFilter ref="J18:M62"/>
  <tableColumns count="4">
    <tableColumn id="4" name="PosReal" dataDxfId="12">
      <calculatedColumnFormula>ROW()-18</calculatedColumnFormula>
    </tableColumn>
    <tableColumn id="1" name="Pos" dataDxfId="11">
      <calculatedColumnFormula>IF(Tabla5[[#This Row],[Puntos]]=M18,".",Tabla5[[#This Row],[PosReal]])</calculatedColumnFormula>
    </tableColumn>
    <tableColumn id="2" name="PORRISTA" dataDxfId="10">
      <calculatedColumnFormula>VLOOKUP(J19,Tabla6[[ORDEN2]:[PUNTOS]],2,FALSE)</calculatedColumnFormula>
    </tableColumn>
    <tableColumn id="3" name="Puntos" dataDxfId="9">
      <calculatedColumnFormula>VLOOKUP(J19,Tabla6[[ORDEN2]:[PUNTOS]],3,FALSE)</calculatedColumnFormula>
    </tableColumn>
  </tableColumns>
  <tableStyleInfo name="TableStyleMedium1" showFirstColumn="0" showLastColumn="0" showRowStripes="1" showColumnStripes="0"/>
</table>
</file>

<file path=xl/tables/table6.xml><?xml version="1.0" encoding="utf-8"?>
<table xmlns="http://schemas.openxmlformats.org/spreadsheetml/2006/main" id="6" name="Tabla6" displayName="Tabla6" ref="A18:G62" totalsRowShown="0" headerRowDxfId="8" dataDxfId="7">
  <autoFilter ref="A18:G62"/>
  <tableColumns count="7">
    <tableColumn id="1" name="PON AQUÍ NOMBRES" dataDxfId="6"/>
    <tableColumn id="9" name="PUNTOS1" dataDxfId="5">
      <calculatedColumnFormula>HLOOKUP(A19,$R$3:$EY$4,2,FALSE)</calculatedColumnFormula>
    </tableColumn>
    <tableColumn id="10" name="PUNTOS2" dataDxfId="4">
      <calculatedColumnFormula>SUM(G19,ROW()/1000)</calculatedColumnFormula>
    </tableColumn>
    <tableColumn id="7" name="ORDEN1" dataDxfId="3">
      <calculatedColumnFormula>RANK(Tabla6[[#This Row],[PUNTOS1]],Tabla6[PUNTOS1],0)</calculatedColumnFormula>
    </tableColumn>
    <tableColumn id="8" name="ORDEN2" dataDxfId="2">
      <calculatedColumnFormula>RANK(Tabla6[[#This Row],[PUNTOS2]],Tabla6[PUNTOS2],0)</calculatedColumnFormula>
    </tableColumn>
    <tableColumn id="2" name="NOMBRE" dataDxfId="1">
      <calculatedColumnFormula>UPPER(A19)</calculatedColumnFormula>
    </tableColumn>
    <tableColumn id="3" name="PUNTOS" dataDxfId="0">
      <calculatedColumnFormula>HLOOKUP(A19,$R$3:$EY$4,2,FALSE)</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2.bin"/><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3:L61"/>
  <sheetViews>
    <sheetView workbookViewId="0">
      <selection activeCell="A3" sqref="A3"/>
    </sheetView>
  </sheetViews>
  <sheetFormatPr baseColWidth="10" defaultRowHeight="15" x14ac:dyDescent="0.25"/>
  <cols>
    <col min="1" max="1" width="5.42578125" customWidth="1"/>
    <col min="3" max="3" width="8.85546875" bestFit="1" customWidth="1"/>
    <col min="4" max="4" width="7.42578125" bestFit="1" customWidth="1"/>
    <col min="6" max="6" width="10.85546875" bestFit="1" customWidth="1"/>
    <col min="7" max="7" width="6.7109375" bestFit="1" customWidth="1"/>
    <col min="8" max="8" width="10.85546875" bestFit="1" customWidth="1"/>
    <col min="9" max="9" width="6.7109375" bestFit="1" customWidth="1"/>
  </cols>
  <sheetData>
    <row r="3" spans="1:9" x14ac:dyDescent="0.25">
      <c r="A3" t="s">
        <v>57</v>
      </c>
    </row>
    <row r="4" spans="1:9" x14ac:dyDescent="0.25">
      <c r="A4" t="s">
        <v>78</v>
      </c>
      <c r="B4" t="s">
        <v>58</v>
      </c>
      <c r="C4" t="s">
        <v>38</v>
      </c>
      <c r="D4" t="s">
        <v>39</v>
      </c>
      <c r="E4" t="s">
        <v>40</v>
      </c>
      <c r="F4" t="s">
        <v>53</v>
      </c>
      <c r="G4" t="s">
        <v>55</v>
      </c>
      <c r="H4" t="s">
        <v>54</v>
      </c>
      <c r="I4" t="s">
        <v>56</v>
      </c>
    </row>
    <row r="5" spans="1:9" x14ac:dyDescent="0.25">
      <c r="A5" s="7">
        <v>1</v>
      </c>
      <c r="B5" s="1">
        <v>42531</v>
      </c>
      <c r="C5" t="s">
        <v>0</v>
      </c>
      <c r="D5" s="2">
        <v>0.875</v>
      </c>
      <c r="E5" t="s">
        <v>50</v>
      </c>
      <c r="F5" t="s">
        <v>6</v>
      </c>
      <c r="H5" t="s">
        <v>7</v>
      </c>
    </row>
    <row r="6" spans="1:9" x14ac:dyDescent="0.25">
      <c r="A6" s="7">
        <v>2</v>
      </c>
      <c r="B6" s="1">
        <v>42532</v>
      </c>
      <c r="C6" t="s">
        <v>0</v>
      </c>
      <c r="D6" s="2">
        <v>0.625</v>
      </c>
      <c r="E6" t="s">
        <v>42</v>
      </c>
      <c r="F6" t="s">
        <v>8</v>
      </c>
      <c r="H6" t="s">
        <v>9</v>
      </c>
    </row>
    <row r="7" spans="1:9" x14ac:dyDescent="0.25">
      <c r="A7" s="7">
        <v>3</v>
      </c>
      <c r="B7" s="1">
        <v>42532</v>
      </c>
      <c r="C7" t="s">
        <v>1</v>
      </c>
      <c r="D7" s="2">
        <v>0.75</v>
      </c>
      <c r="E7" t="s">
        <v>47</v>
      </c>
      <c r="F7" t="s">
        <v>12</v>
      </c>
      <c r="H7" t="s">
        <v>13</v>
      </c>
    </row>
    <row r="8" spans="1:9" x14ac:dyDescent="0.25">
      <c r="A8" s="7">
        <v>4</v>
      </c>
      <c r="B8" s="1">
        <v>42532</v>
      </c>
      <c r="C8" t="s">
        <v>1</v>
      </c>
      <c r="D8" s="2">
        <v>0.875</v>
      </c>
      <c r="E8" t="s">
        <v>44</v>
      </c>
      <c r="F8" t="s">
        <v>10</v>
      </c>
      <c r="H8" t="s">
        <v>11</v>
      </c>
    </row>
    <row r="9" spans="1:9" x14ac:dyDescent="0.25">
      <c r="A9" s="7">
        <v>5</v>
      </c>
      <c r="B9" s="1">
        <v>42533</v>
      </c>
      <c r="C9" t="s">
        <v>2</v>
      </c>
      <c r="D9" s="2">
        <v>0.75</v>
      </c>
      <c r="E9" t="s">
        <v>49</v>
      </c>
      <c r="F9" t="s">
        <v>16</v>
      </c>
      <c r="H9" t="s">
        <v>17</v>
      </c>
    </row>
    <row r="10" spans="1:9" x14ac:dyDescent="0.25">
      <c r="A10" s="7">
        <v>6</v>
      </c>
      <c r="B10" s="1">
        <v>42533</v>
      </c>
      <c r="C10" t="s">
        <v>2</v>
      </c>
      <c r="D10" s="2">
        <v>0.875</v>
      </c>
      <c r="E10" t="s">
        <v>45</v>
      </c>
      <c r="F10" t="s">
        <v>14</v>
      </c>
      <c r="H10" t="s">
        <v>15</v>
      </c>
    </row>
    <row r="11" spans="1:9" x14ac:dyDescent="0.25">
      <c r="A11" s="7">
        <v>7</v>
      </c>
      <c r="B11" s="1">
        <v>42533</v>
      </c>
      <c r="C11" t="s">
        <v>3</v>
      </c>
      <c r="D11" s="2">
        <v>0.625</v>
      </c>
      <c r="E11" t="s">
        <v>43</v>
      </c>
      <c r="F11" t="s">
        <v>24</v>
      </c>
      <c r="H11" t="s">
        <v>27</v>
      </c>
    </row>
    <row r="12" spans="1:9" x14ac:dyDescent="0.25">
      <c r="A12" s="7">
        <v>8</v>
      </c>
      <c r="B12" s="1">
        <v>42534</v>
      </c>
      <c r="C12" t="s">
        <v>3</v>
      </c>
      <c r="D12" s="2">
        <v>0.625</v>
      </c>
      <c r="E12" t="s">
        <v>52</v>
      </c>
      <c r="F12" t="s">
        <v>18</v>
      </c>
      <c r="H12" t="s">
        <v>19</v>
      </c>
    </row>
    <row r="13" spans="1:9" x14ac:dyDescent="0.25">
      <c r="A13" s="7">
        <v>9</v>
      </c>
      <c r="B13" s="1">
        <v>42534</v>
      </c>
      <c r="C13" t="s">
        <v>4</v>
      </c>
      <c r="D13" s="2">
        <v>0.75</v>
      </c>
      <c r="E13" t="s">
        <v>50</v>
      </c>
      <c r="F13" t="s">
        <v>25</v>
      </c>
      <c r="H13" t="s">
        <v>28</v>
      </c>
    </row>
    <row r="14" spans="1:9" x14ac:dyDescent="0.25">
      <c r="A14" s="7">
        <v>10</v>
      </c>
      <c r="B14" s="1">
        <v>42534</v>
      </c>
      <c r="C14" t="s">
        <v>4</v>
      </c>
      <c r="D14" s="2">
        <v>0.875</v>
      </c>
      <c r="E14" t="s">
        <v>48</v>
      </c>
      <c r="F14" t="s">
        <v>20</v>
      </c>
      <c r="H14" t="s">
        <v>21</v>
      </c>
    </row>
    <row r="15" spans="1:9" x14ac:dyDescent="0.25">
      <c r="A15" s="7">
        <v>11</v>
      </c>
      <c r="B15" s="1">
        <v>42535</v>
      </c>
      <c r="C15" t="s">
        <v>5</v>
      </c>
      <c r="D15" s="2">
        <v>0.75</v>
      </c>
      <c r="E15" t="s">
        <v>47</v>
      </c>
      <c r="F15" t="s">
        <v>26</v>
      </c>
      <c r="H15" t="s">
        <v>29</v>
      </c>
    </row>
    <row r="16" spans="1:9" x14ac:dyDescent="0.25">
      <c r="A16" s="7">
        <v>12</v>
      </c>
      <c r="B16" s="1">
        <v>42535</v>
      </c>
      <c r="C16" t="s">
        <v>5</v>
      </c>
      <c r="D16" s="2">
        <v>0.875</v>
      </c>
      <c r="E16" t="s">
        <v>51</v>
      </c>
      <c r="F16" t="s">
        <v>22</v>
      </c>
      <c r="H16" t="s">
        <v>23</v>
      </c>
    </row>
    <row r="17" spans="1:8" x14ac:dyDescent="0.25">
      <c r="A17" s="7">
        <v>13</v>
      </c>
      <c r="B17" s="1">
        <v>42536</v>
      </c>
      <c r="C17" t="s">
        <v>0</v>
      </c>
      <c r="D17" s="2">
        <v>0.75</v>
      </c>
      <c r="E17" t="s">
        <v>43</v>
      </c>
      <c r="F17" t="s">
        <v>7</v>
      </c>
      <c r="H17" t="s">
        <v>9</v>
      </c>
    </row>
    <row r="18" spans="1:8" x14ac:dyDescent="0.25">
      <c r="A18" s="7">
        <v>14</v>
      </c>
      <c r="B18" s="1">
        <v>42536</v>
      </c>
      <c r="C18" t="s">
        <v>0</v>
      </c>
      <c r="D18" s="2">
        <v>0.875</v>
      </c>
      <c r="E18" t="s">
        <v>44</v>
      </c>
      <c r="F18" t="s">
        <v>6</v>
      </c>
      <c r="H18" t="s">
        <v>8</v>
      </c>
    </row>
    <row r="19" spans="1:8" x14ac:dyDescent="0.25">
      <c r="A19" s="7">
        <v>15</v>
      </c>
      <c r="B19" s="1">
        <v>42536</v>
      </c>
      <c r="C19" t="s">
        <v>1</v>
      </c>
      <c r="D19" s="2">
        <v>0.625</v>
      </c>
      <c r="E19" t="s">
        <v>45</v>
      </c>
      <c r="F19" t="s">
        <v>11</v>
      </c>
      <c r="H19" t="s">
        <v>13</v>
      </c>
    </row>
    <row r="20" spans="1:8" x14ac:dyDescent="0.25">
      <c r="A20" s="7">
        <v>16</v>
      </c>
      <c r="B20" s="1">
        <v>42537</v>
      </c>
      <c r="C20" t="s">
        <v>1</v>
      </c>
      <c r="D20" s="2">
        <v>0.625</v>
      </c>
      <c r="E20" t="s">
        <v>42</v>
      </c>
      <c r="F20" t="s">
        <v>10</v>
      </c>
      <c r="H20" t="s">
        <v>12</v>
      </c>
    </row>
    <row r="21" spans="1:8" x14ac:dyDescent="0.25">
      <c r="A21" s="7">
        <v>17</v>
      </c>
      <c r="B21" s="1">
        <v>42537</v>
      </c>
      <c r="C21" t="s">
        <v>2</v>
      </c>
      <c r="D21" s="2">
        <v>0.75</v>
      </c>
      <c r="E21" t="s">
        <v>48</v>
      </c>
      <c r="F21" t="s">
        <v>15</v>
      </c>
      <c r="H21" t="s">
        <v>17</v>
      </c>
    </row>
    <row r="22" spans="1:8" x14ac:dyDescent="0.25">
      <c r="A22" s="7">
        <v>18</v>
      </c>
      <c r="B22" s="1">
        <v>42537</v>
      </c>
      <c r="C22" t="s">
        <v>2</v>
      </c>
      <c r="D22" s="2">
        <v>0.875</v>
      </c>
      <c r="E22" t="s">
        <v>50</v>
      </c>
      <c r="F22" t="s">
        <v>14</v>
      </c>
      <c r="H22" t="s">
        <v>16</v>
      </c>
    </row>
    <row r="23" spans="1:8" x14ac:dyDescent="0.25">
      <c r="A23" s="7">
        <v>19</v>
      </c>
      <c r="B23" s="1">
        <v>42538</v>
      </c>
      <c r="C23" t="s">
        <v>3</v>
      </c>
      <c r="D23" s="2">
        <v>0.75</v>
      </c>
      <c r="E23" t="s">
        <v>51</v>
      </c>
      <c r="F23" t="s">
        <v>19</v>
      </c>
      <c r="H23" t="s">
        <v>27</v>
      </c>
    </row>
    <row r="24" spans="1:8" x14ac:dyDescent="0.25">
      <c r="A24" s="7">
        <v>20</v>
      </c>
      <c r="B24" s="1">
        <v>42538</v>
      </c>
      <c r="C24" t="s">
        <v>3</v>
      </c>
      <c r="D24" s="2">
        <v>0.875</v>
      </c>
      <c r="E24" t="s">
        <v>49</v>
      </c>
      <c r="F24" t="s">
        <v>18</v>
      </c>
      <c r="H24" t="s">
        <v>24</v>
      </c>
    </row>
    <row r="25" spans="1:8" x14ac:dyDescent="0.25">
      <c r="A25" s="7">
        <v>21</v>
      </c>
      <c r="B25" s="1">
        <v>42538</v>
      </c>
      <c r="C25" t="s">
        <v>4</v>
      </c>
      <c r="D25" s="2">
        <v>0.625</v>
      </c>
      <c r="E25" t="s">
        <v>52</v>
      </c>
      <c r="F25" t="s">
        <v>21</v>
      </c>
      <c r="H25" t="s">
        <v>28</v>
      </c>
    </row>
    <row r="26" spans="1:8" x14ac:dyDescent="0.25">
      <c r="A26" s="7">
        <v>22</v>
      </c>
      <c r="B26" s="1">
        <v>42539</v>
      </c>
      <c r="C26" t="s">
        <v>4</v>
      </c>
      <c r="D26" s="2">
        <v>0.625</v>
      </c>
      <c r="E26" t="s">
        <v>47</v>
      </c>
      <c r="F26" t="s">
        <v>20</v>
      </c>
      <c r="H26" t="s">
        <v>25</v>
      </c>
    </row>
    <row r="27" spans="1:8" x14ac:dyDescent="0.25">
      <c r="A27" s="7">
        <v>23</v>
      </c>
      <c r="B27" s="1">
        <v>42539</v>
      </c>
      <c r="C27" t="s">
        <v>5</v>
      </c>
      <c r="D27" s="2">
        <v>0.75</v>
      </c>
      <c r="E27" t="s">
        <v>44</v>
      </c>
      <c r="F27" t="s">
        <v>23</v>
      </c>
      <c r="H27" t="s">
        <v>29</v>
      </c>
    </row>
    <row r="28" spans="1:8" x14ac:dyDescent="0.25">
      <c r="A28" s="7">
        <v>24</v>
      </c>
      <c r="B28" s="1">
        <v>42539</v>
      </c>
      <c r="C28" t="s">
        <v>5</v>
      </c>
      <c r="D28" s="2">
        <v>0.875</v>
      </c>
      <c r="E28" t="s">
        <v>43</v>
      </c>
      <c r="F28" t="s">
        <v>22</v>
      </c>
      <c r="H28" t="s">
        <v>26</v>
      </c>
    </row>
    <row r="29" spans="1:8" x14ac:dyDescent="0.25">
      <c r="A29" s="7">
        <v>25</v>
      </c>
      <c r="B29" s="1">
        <v>42540</v>
      </c>
      <c r="C29" t="s">
        <v>0</v>
      </c>
      <c r="D29" s="2">
        <v>0.875</v>
      </c>
      <c r="E29" t="s">
        <v>48</v>
      </c>
      <c r="F29" t="s">
        <v>7</v>
      </c>
      <c r="H29" t="s">
        <v>8</v>
      </c>
    </row>
    <row r="30" spans="1:8" x14ac:dyDescent="0.25">
      <c r="A30" s="7">
        <v>26</v>
      </c>
      <c r="B30" s="1">
        <v>42540</v>
      </c>
      <c r="C30" t="s">
        <v>0</v>
      </c>
      <c r="D30" s="2">
        <v>0.875</v>
      </c>
      <c r="E30" t="s">
        <v>45</v>
      </c>
      <c r="F30" t="s">
        <v>9</v>
      </c>
      <c r="H30" t="s">
        <v>6</v>
      </c>
    </row>
    <row r="31" spans="1:8" x14ac:dyDescent="0.25">
      <c r="A31" s="7">
        <v>27</v>
      </c>
      <c r="B31" s="1">
        <v>42541</v>
      </c>
      <c r="C31" t="s">
        <v>1</v>
      </c>
      <c r="D31" s="2">
        <v>0.875</v>
      </c>
      <c r="E31" t="s">
        <v>52</v>
      </c>
      <c r="F31" t="s">
        <v>11</v>
      </c>
      <c r="H31" t="s">
        <v>12</v>
      </c>
    </row>
    <row r="32" spans="1:8" x14ac:dyDescent="0.25">
      <c r="A32" s="7">
        <v>28</v>
      </c>
      <c r="B32" s="1">
        <v>42541</v>
      </c>
      <c r="C32" t="s">
        <v>1</v>
      </c>
      <c r="D32" s="2">
        <v>0.875</v>
      </c>
      <c r="E32" t="s">
        <v>51</v>
      </c>
      <c r="F32" t="s">
        <v>13</v>
      </c>
      <c r="H32" t="s">
        <v>10</v>
      </c>
    </row>
    <row r="33" spans="1:9" x14ac:dyDescent="0.25">
      <c r="A33" s="7">
        <v>29</v>
      </c>
      <c r="B33" s="1">
        <v>42542</v>
      </c>
      <c r="C33" t="s">
        <v>2</v>
      </c>
      <c r="D33" s="2">
        <v>0.75</v>
      </c>
      <c r="E33" t="s">
        <v>44</v>
      </c>
      <c r="F33" t="s">
        <v>15</v>
      </c>
      <c r="H33" t="s">
        <v>16</v>
      </c>
    </row>
    <row r="34" spans="1:9" x14ac:dyDescent="0.25">
      <c r="A34" s="7">
        <v>30</v>
      </c>
      <c r="B34" s="1">
        <v>42542</v>
      </c>
      <c r="C34" t="s">
        <v>2</v>
      </c>
      <c r="D34" s="2">
        <v>0.75</v>
      </c>
      <c r="E34" t="s">
        <v>43</v>
      </c>
      <c r="F34" t="s">
        <v>17</v>
      </c>
      <c r="H34" t="s">
        <v>14</v>
      </c>
    </row>
    <row r="35" spans="1:9" x14ac:dyDescent="0.25">
      <c r="A35" s="7">
        <v>31</v>
      </c>
      <c r="B35" s="1">
        <v>42542</v>
      </c>
      <c r="C35" t="s">
        <v>3</v>
      </c>
      <c r="D35" s="2">
        <v>0.875</v>
      </c>
      <c r="E35" t="s">
        <v>42</v>
      </c>
      <c r="F35" t="s">
        <v>19</v>
      </c>
      <c r="H35" t="s">
        <v>24</v>
      </c>
    </row>
    <row r="36" spans="1:9" x14ac:dyDescent="0.25">
      <c r="A36" s="7">
        <v>32</v>
      </c>
      <c r="B36" s="1">
        <v>42542</v>
      </c>
      <c r="C36" t="s">
        <v>3</v>
      </c>
      <c r="D36" s="2">
        <v>0.875</v>
      </c>
      <c r="E36" t="s">
        <v>47</v>
      </c>
      <c r="F36" t="s">
        <v>27</v>
      </c>
      <c r="H36" t="s">
        <v>18</v>
      </c>
    </row>
    <row r="37" spans="1:9" x14ac:dyDescent="0.25">
      <c r="A37" s="7">
        <v>33</v>
      </c>
      <c r="B37" s="1">
        <v>42543</v>
      </c>
      <c r="C37" t="s">
        <v>4</v>
      </c>
      <c r="D37" s="2">
        <v>0.875</v>
      </c>
      <c r="E37" t="s">
        <v>45</v>
      </c>
      <c r="F37" t="s">
        <v>21</v>
      </c>
      <c r="H37" t="s">
        <v>25</v>
      </c>
    </row>
    <row r="38" spans="1:9" x14ac:dyDescent="0.25">
      <c r="A38" s="7">
        <v>34</v>
      </c>
      <c r="B38" s="1">
        <v>42543</v>
      </c>
      <c r="C38" t="s">
        <v>4</v>
      </c>
      <c r="D38" s="2">
        <v>0.875</v>
      </c>
      <c r="E38" t="s">
        <v>49</v>
      </c>
      <c r="F38" t="s">
        <v>28</v>
      </c>
      <c r="H38" t="s">
        <v>20</v>
      </c>
    </row>
    <row r="39" spans="1:9" x14ac:dyDescent="0.25">
      <c r="A39" s="7">
        <v>35</v>
      </c>
      <c r="B39" s="1">
        <v>42543</v>
      </c>
      <c r="C39" t="s">
        <v>5</v>
      </c>
      <c r="D39" s="2">
        <v>0.75</v>
      </c>
      <c r="E39" t="s">
        <v>50</v>
      </c>
      <c r="F39" t="s">
        <v>23</v>
      </c>
      <c r="H39" t="s">
        <v>26</v>
      </c>
    </row>
    <row r="40" spans="1:9" x14ac:dyDescent="0.25">
      <c r="A40" s="7">
        <v>36</v>
      </c>
      <c r="B40" s="1">
        <v>42543</v>
      </c>
      <c r="C40" t="s">
        <v>5</v>
      </c>
      <c r="D40" s="2">
        <v>0.75</v>
      </c>
      <c r="E40" t="s">
        <v>48</v>
      </c>
      <c r="F40" t="s">
        <v>29</v>
      </c>
      <c r="H40" t="s">
        <v>22</v>
      </c>
    </row>
    <row r="41" spans="1:9" x14ac:dyDescent="0.25">
      <c r="A41" s="7">
        <v>37</v>
      </c>
      <c r="B41" s="4">
        <v>42546</v>
      </c>
      <c r="C41" s="5"/>
      <c r="D41" s="2">
        <v>0.625</v>
      </c>
      <c r="E41" t="s">
        <v>51</v>
      </c>
      <c r="F41" s="5" t="s">
        <v>62</v>
      </c>
      <c r="G41" s="5"/>
      <c r="H41" s="5" t="s">
        <v>63</v>
      </c>
      <c r="I41" s="5"/>
    </row>
    <row r="42" spans="1:9" x14ac:dyDescent="0.25">
      <c r="A42" s="7">
        <v>38</v>
      </c>
      <c r="B42" s="4">
        <v>42546</v>
      </c>
      <c r="C42" s="5"/>
      <c r="D42" s="2">
        <v>0.75</v>
      </c>
      <c r="E42" t="s">
        <v>43</v>
      </c>
      <c r="F42" s="5" t="s">
        <v>64</v>
      </c>
      <c r="G42" s="5"/>
      <c r="H42" s="5" t="s">
        <v>65</v>
      </c>
      <c r="I42" s="5"/>
    </row>
    <row r="43" spans="1:9" x14ac:dyDescent="0.25">
      <c r="A43" s="7">
        <v>39</v>
      </c>
      <c r="B43" s="4">
        <v>42546</v>
      </c>
      <c r="C43" s="5"/>
      <c r="D43" s="2">
        <v>0.875</v>
      </c>
      <c r="E43" t="s">
        <v>42</v>
      </c>
      <c r="F43" s="5" t="s">
        <v>66</v>
      </c>
      <c r="G43" s="5"/>
      <c r="H43" s="5" t="s">
        <v>67</v>
      </c>
      <c r="I43" s="5"/>
    </row>
    <row r="44" spans="1:9" x14ac:dyDescent="0.25">
      <c r="A44" s="7">
        <v>40</v>
      </c>
      <c r="B44" s="4">
        <v>42547</v>
      </c>
      <c r="C44" s="5"/>
      <c r="D44" s="2">
        <v>0.625</v>
      </c>
      <c r="E44" t="s">
        <v>48</v>
      </c>
      <c r="F44" s="5" t="s">
        <v>68</v>
      </c>
      <c r="G44" s="5"/>
      <c r="H44" s="5" t="s">
        <v>69</v>
      </c>
      <c r="I44" s="5"/>
    </row>
    <row r="45" spans="1:9" x14ac:dyDescent="0.25">
      <c r="A45" s="7">
        <v>41</v>
      </c>
      <c r="B45" s="4">
        <v>42547</v>
      </c>
      <c r="C45" s="5"/>
      <c r="D45" s="2">
        <v>0.75</v>
      </c>
      <c r="E45" t="s">
        <v>45</v>
      </c>
      <c r="F45" s="5" t="s">
        <v>70</v>
      </c>
      <c r="G45" s="5"/>
      <c r="H45" s="5" t="s">
        <v>71</v>
      </c>
      <c r="I45" s="5"/>
    </row>
    <row r="46" spans="1:9" x14ac:dyDescent="0.25">
      <c r="A46" s="7">
        <v>42</v>
      </c>
      <c r="B46" s="4">
        <v>42547</v>
      </c>
      <c r="C46" s="5"/>
      <c r="D46" s="2">
        <v>0.875</v>
      </c>
      <c r="E46" t="s">
        <v>52</v>
      </c>
      <c r="F46" s="5" t="s">
        <v>72</v>
      </c>
      <c r="G46" s="5"/>
      <c r="H46" s="5" t="s">
        <v>73</v>
      </c>
      <c r="I46" s="5"/>
    </row>
    <row r="47" spans="1:9" x14ac:dyDescent="0.25">
      <c r="A47" s="7">
        <v>43</v>
      </c>
      <c r="B47" s="4">
        <v>42548</v>
      </c>
      <c r="C47" s="5"/>
      <c r="D47" s="2">
        <v>0.75</v>
      </c>
      <c r="E47" t="s">
        <v>50</v>
      </c>
      <c r="F47" s="5" t="s">
        <v>74</v>
      </c>
      <c r="G47" s="5"/>
      <c r="H47" s="5" t="s">
        <v>75</v>
      </c>
      <c r="I47" s="5"/>
    </row>
    <row r="48" spans="1:9" x14ac:dyDescent="0.25">
      <c r="A48" s="7">
        <v>44</v>
      </c>
      <c r="B48" s="4">
        <v>42548</v>
      </c>
      <c r="C48" s="5"/>
      <c r="D48" s="2">
        <v>0.875</v>
      </c>
      <c r="E48" t="s">
        <v>49</v>
      </c>
      <c r="F48" s="5" t="s">
        <v>76</v>
      </c>
      <c r="G48" s="5"/>
      <c r="H48" s="5" t="s">
        <v>77</v>
      </c>
      <c r="I48" s="5"/>
    </row>
    <row r="49" spans="1:12" x14ac:dyDescent="0.25">
      <c r="A49" s="7">
        <v>45</v>
      </c>
      <c r="B49" s="4">
        <v>42551</v>
      </c>
      <c r="C49" s="5"/>
      <c r="D49" s="6">
        <v>0.875</v>
      </c>
      <c r="E49" t="s">
        <v>44</v>
      </c>
      <c r="F49" s="5" t="s">
        <v>79</v>
      </c>
      <c r="G49" s="5"/>
      <c r="H49" s="5" t="s">
        <v>80</v>
      </c>
      <c r="I49" s="5"/>
    </row>
    <row r="50" spans="1:12" x14ac:dyDescent="0.25">
      <c r="A50" s="7">
        <v>46</v>
      </c>
      <c r="B50" s="4">
        <v>42552</v>
      </c>
      <c r="D50" s="2">
        <v>0.875</v>
      </c>
      <c r="E50" t="s">
        <v>45</v>
      </c>
      <c r="F50" t="s">
        <v>81</v>
      </c>
      <c r="H50" t="s">
        <v>82</v>
      </c>
    </row>
    <row r="51" spans="1:12" x14ac:dyDescent="0.25">
      <c r="A51" s="7">
        <v>47</v>
      </c>
      <c r="B51" s="4">
        <v>42553</v>
      </c>
      <c r="D51" s="6">
        <v>0.875</v>
      </c>
      <c r="E51" t="s">
        <v>47</v>
      </c>
      <c r="F51" t="s">
        <v>83</v>
      </c>
      <c r="H51" t="s">
        <v>84</v>
      </c>
      <c r="L51" t="s">
        <v>46</v>
      </c>
    </row>
    <row r="52" spans="1:12" x14ac:dyDescent="0.25">
      <c r="A52" s="7">
        <v>48</v>
      </c>
      <c r="B52" s="4">
        <v>42554</v>
      </c>
      <c r="D52" s="2">
        <v>0.875</v>
      </c>
      <c r="E52" t="s">
        <v>50</v>
      </c>
      <c r="F52" t="s">
        <v>85</v>
      </c>
      <c r="H52" t="s">
        <v>86</v>
      </c>
      <c r="K52">
        <v>1</v>
      </c>
      <c r="L52" t="s">
        <v>42</v>
      </c>
    </row>
    <row r="53" spans="1:12" x14ac:dyDescent="0.25">
      <c r="A53" s="7">
        <v>49</v>
      </c>
      <c r="B53" s="4">
        <v>42557</v>
      </c>
      <c r="C53" s="5"/>
      <c r="D53" s="2">
        <v>0.875</v>
      </c>
      <c r="E53" t="s">
        <v>48</v>
      </c>
      <c r="F53" s="5" t="s">
        <v>128</v>
      </c>
      <c r="G53" s="5"/>
      <c r="H53" s="5" t="s">
        <v>129</v>
      </c>
      <c r="I53" s="5"/>
      <c r="K53">
        <v>2</v>
      </c>
      <c r="L53" t="s">
        <v>43</v>
      </c>
    </row>
    <row r="54" spans="1:12" x14ac:dyDescent="0.25">
      <c r="A54" s="7">
        <v>50</v>
      </c>
      <c r="B54" s="4">
        <v>42558</v>
      </c>
      <c r="C54" s="5"/>
      <c r="D54" s="2">
        <v>0.875</v>
      </c>
      <c r="E54" t="s">
        <v>44</v>
      </c>
      <c r="F54" s="5" t="s">
        <v>130</v>
      </c>
      <c r="G54" s="5"/>
      <c r="H54" s="5" t="s">
        <v>131</v>
      </c>
      <c r="I54" s="5"/>
      <c r="K54">
        <v>3</v>
      </c>
      <c r="L54" t="s">
        <v>44</v>
      </c>
    </row>
    <row r="55" spans="1:12" x14ac:dyDescent="0.25">
      <c r="A55" s="7">
        <v>51</v>
      </c>
      <c r="B55" s="4">
        <v>42561</v>
      </c>
      <c r="C55" s="5"/>
      <c r="D55" s="2">
        <v>0.875</v>
      </c>
      <c r="E55" t="s">
        <v>50</v>
      </c>
      <c r="F55" s="5" t="s">
        <v>132</v>
      </c>
      <c r="G55" s="5"/>
      <c r="H55" s="5" t="s">
        <v>133</v>
      </c>
      <c r="I55" s="5"/>
      <c r="K55">
        <v>4</v>
      </c>
      <c r="L55" t="s">
        <v>48</v>
      </c>
    </row>
    <row r="56" spans="1:12" x14ac:dyDescent="0.25">
      <c r="K56">
        <v>5</v>
      </c>
      <c r="L56" t="s">
        <v>45</v>
      </c>
    </row>
    <row r="57" spans="1:12" x14ac:dyDescent="0.25">
      <c r="K57">
        <v>6</v>
      </c>
      <c r="L57" t="s">
        <v>47</v>
      </c>
    </row>
    <row r="58" spans="1:12" x14ac:dyDescent="0.25">
      <c r="K58">
        <v>7</v>
      </c>
      <c r="L58" t="s">
        <v>49</v>
      </c>
    </row>
    <row r="59" spans="1:12" x14ac:dyDescent="0.25">
      <c r="K59" s="3">
        <v>8</v>
      </c>
      <c r="L59" t="s">
        <v>50</v>
      </c>
    </row>
    <row r="60" spans="1:12" x14ac:dyDescent="0.25">
      <c r="K60">
        <v>9</v>
      </c>
      <c r="L60" t="s">
        <v>51</v>
      </c>
    </row>
    <row r="61" spans="1:12" x14ac:dyDescent="0.25">
      <c r="K61">
        <v>10</v>
      </c>
      <c r="L61" t="s">
        <v>52</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MAR100"/>
  <sheetViews>
    <sheetView tabSelected="1" topLeftCell="B1" zoomScale="85" zoomScaleNormal="85" workbookViewId="0">
      <selection activeCell="Z1" sqref="Z1:BU1048576"/>
    </sheetView>
  </sheetViews>
  <sheetFormatPr baseColWidth="10" defaultRowHeight="15" x14ac:dyDescent="0.25"/>
  <cols>
    <col min="1" max="1" width="3.5703125" style="28" bestFit="1" customWidth="1"/>
    <col min="2" max="2" width="12" style="28" bestFit="1" customWidth="1"/>
    <col min="3" max="3" width="2.28515625" style="28" bestFit="1" customWidth="1"/>
    <col min="4" max="4" width="6.42578125" style="28" bestFit="1" customWidth="1"/>
    <col min="5" max="5" width="35.85546875" style="28" customWidth="1"/>
    <col min="6" max="6" width="11.42578125" style="28" bestFit="1" customWidth="1"/>
    <col min="7" max="7" width="3.85546875" style="28" customWidth="1"/>
    <col min="8" max="9" width="5.28515625" style="28" customWidth="1"/>
    <col min="10" max="10" width="4.7109375" style="28" customWidth="1"/>
    <col min="11" max="11" width="12.140625" style="28" bestFit="1" customWidth="1"/>
    <col min="12" max="12" width="2.42578125" style="28" customWidth="1"/>
    <col min="13" max="13" width="3.28515625" style="28" customWidth="1"/>
    <col min="14" max="14" width="3.42578125" style="28" customWidth="1"/>
    <col min="15" max="15" width="4.28515625" style="28" bestFit="1" customWidth="1"/>
    <col min="16" max="16" width="11.28515625" style="28" customWidth="1"/>
    <col min="17" max="17" width="7.28515625" style="28" bestFit="1" customWidth="1"/>
    <col min="18" max="21" width="2.42578125" style="28" bestFit="1" customWidth="1"/>
    <col min="22" max="22" width="3.42578125" style="28" bestFit="1" customWidth="1"/>
    <col min="23" max="23" width="3.7109375" style="28" bestFit="1" customWidth="1"/>
    <col min="24" max="24" width="4.140625" style="28" bestFit="1" customWidth="1"/>
    <col min="25" max="25" width="3.5703125" style="162" customWidth="1"/>
    <col min="26" max="26" width="11.28515625" style="28" hidden="1" customWidth="1"/>
    <col min="27" max="27" width="4.140625" style="28" hidden="1" customWidth="1"/>
    <col min="28" max="28" width="7.28515625" style="28" hidden="1" customWidth="1"/>
    <col min="29" max="29" width="11.5703125" style="28" hidden="1" customWidth="1"/>
    <col min="30" max="30" width="5" style="28" hidden="1" customWidth="1"/>
    <col min="31" max="34" width="2.42578125" style="28" hidden="1" customWidth="1"/>
    <col min="35" max="35" width="3.42578125" style="28" hidden="1" customWidth="1"/>
    <col min="36" max="36" width="3.7109375" style="28" hidden="1" customWidth="1"/>
    <col min="37" max="37" width="4.140625" style="28" hidden="1" customWidth="1"/>
    <col min="38" max="38" width="10.42578125" style="28" hidden="1" customWidth="1"/>
    <col min="39" max="39" width="8.7109375" style="28" hidden="1" customWidth="1"/>
    <col min="40" max="40" width="11.42578125" style="28" hidden="1" customWidth="1"/>
    <col min="41" max="41" width="14.140625" style="28" hidden="1" customWidth="1"/>
    <col min="42" max="42" width="9.140625" style="28" hidden="1" customWidth="1"/>
    <col min="43" max="43" width="7.140625" style="28" hidden="1" customWidth="1"/>
    <col min="44" max="44" width="4.85546875" style="28" hidden="1" customWidth="1"/>
    <col min="45" max="48" width="3.28515625" style="28" hidden="1" customWidth="1"/>
    <col min="49" max="51" width="3.42578125" style="28" hidden="1" customWidth="1"/>
    <col min="52" max="52" width="11.28515625" style="28" hidden="1" customWidth="1"/>
    <col min="53" max="53" width="7.140625" style="28" hidden="1" customWidth="1"/>
    <col min="54" max="54" width="3.140625" style="28" hidden="1" customWidth="1"/>
    <col min="55" max="55" width="3.28515625" style="28" hidden="1" customWidth="1"/>
    <col min="56" max="56" width="15.140625" style="28" hidden="1" customWidth="1"/>
    <col min="57" max="57" width="15.7109375" style="28" hidden="1" customWidth="1"/>
    <col min="58" max="59" width="11.42578125" style="28" hidden="1" customWidth="1"/>
    <col min="60" max="62" width="9.42578125" style="28" hidden="1" customWidth="1"/>
    <col min="63" max="63" width="8.5703125" style="28" hidden="1" customWidth="1"/>
    <col min="64" max="67" width="7.140625" style="28" hidden="1" customWidth="1"/>
    <col min="68" max="69" width="8.5703125" style="28" hidden="1" customWidth="1"/>
    <col min="70" max="73" width="7.140625" style="28" hidden="1" customWidth="1"/>
    <col min="74" max="74" width="11.42578125" style="168" customWidth="1"/>
    <col min="75" max="16384" width="11.42578125" style="168"/>
  </cols>
  <sheetData>
    <row r="1" spans="1:73" x14ac:dyDescent="0.25">
      <c r="A1" s="47" t="s">
        <v>139</v>
      </c>
      <c r="B1" s="47"/>
      <c r="C1" s="47"/>
      <c r="D1" s="47"/>
      <c r="E1" s="47"/>
      <c r="F1" s="153" t="s">
        <v>161</v>
      </c>
      <c r="G1" s="153"/>
      <c r="H1" s="153"/>
      <c r="I1" s="153"/>
      <c r="J1" s="153"/>
      <c r="K1" s="153"/>
      <c r="L1" s="9"/>
      <c r="M1" s="9"/>
      <c r="N1" s="9"/>
      <c r="O1" s="9"/>
      <c r="P1" s="9"/>
      <c r="Q1" s="9"/>
      <c r="R1" s="9"/>
      <c r="S1" s="9"/>
      <c r="T1" s="9"/>
      <c r="U1" s="9"/>
      <c r="V1" s="9"/>
      <c r="W1" s="9"/>
      <c r="X1" s="9"/>
      <c r="Y1" s="156"/>
      <c r="Z1" s="9"/>
      <c r="AB1" s="27" t="s">
        <v>165</v>
      </c>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5"/>
    </row>
    <row r="2" spans="1:73" ht="15.75" thickBot="1" x14ac:dyDescent="0.3">
      <c r="A2" s="31" t="s">
        <v>138</v>
      </c>
      <c r="B2" s="31" t="s">
        <v>58</v>
      </c>
      <c r="C2" s="31" t="s">
        <v>32</v>
      </c>
      <c r="D2" s="31" t="s">
        <v>39</v>
      </c>
      <c r="E2" s="31" t="s">
        <v>40</v>
      </c>
      <c r="F2" s="31" t="s">
        <v>162</v>
      </c>
      <c r="G2" s="31"/>
      <c r="H2" s="32" t="s">
        <v>164</v>
      </c>
      <c r="I2" s="32" t="s">
        <v>164</v>
      </c>
      <c r="J2" s="31"/>
      <c r="K2" s="31" t="s">
        <v>163</v>
      </c>
      <c r="L2" s="31"/>
      <c r="M2" s="31"/>
      <c r="N2" s="31"/>
      <c r="O2" s="9"/>
      <c r="P2" s="9"/>
      <c r="Q2" s="9"/>
      <c r="R2" s="9"/>
      <c r="S2" s="9"/>
      <c r="T2" s="9"/>
      <c r="U2" s="9"/>
      <c r="V2" s="9"/>
      <c r="W2" s="9"/>
      <c r="X2" s="9"/>
      <c r="Y2" s="32"/>
      <c r="Z2" s="31"/>
    </row>
    <row r="3" spans="1:73" ht="15.75" thickBot="1" x14ac:dyDescent="0.3">
      <c r="A3" s="99">
        <v>1</v>
      </c>
      <c r="B3" s="100">
        <v>44358</v>
      </c>
      <c r="C3" s="99" t="s">
        <v>0</v>
      </c>
      <c r="D3" s="101">
        <v>0.875</v>
      </c>
      <c r="E3" s="102" t="s">
        <v>411</v>
      </c>
      <c r="F3" s="103" t="s">
        <v>426</v>
      </c>
      <c r="G3" s="104"/>
      <c r="H3" s="132">
        <v>1</v>
      </c>
      <c r="I3" s="132">
        <v>0</v>
      </c>
      <c r="J3" s="104"/>
      <c r="K3" s="115" t="s">
        <v>110</v>
      </c>
      <c r="L3" s="35">
        <f>IF(NOT(OR(ISBLANK(H3),ISBLANK(I3))),1,0)</f>
        <v>1</v>
      </c>
      <c r="M3" s="35"/>
      <c r="N3" s="35"/>
      <c r="O3" s="134" t="s">
        <v>143</v>
      </c>
      <c r="P3" s="134"/>
      <c r="Q3" s="134"/>
      <c r="R3" s="134"/>
      <c r="S3" s="134"/>
      <c r="T3" s="134"/>
      <c r="U3" s="134"/>
      <c r="V3" s="134"/>
      <c r="W3" s="134"/>
      <c r="X3" s="134"/>
      <c r="Y3" s="154"/>
      <c r="Z3" s="30"/>
      <c r="AB3" s="15" t="s">
        <v>149</v>
      </c>
      <c r="AC3" s="13"/>
      <c r="AD3" s="13"/>
      <c r="AE3" s="13"/>
      <c r="AF3" s="13"/>
      <c r="AG3" s="13"/>
      <c r="AH3" s="13"/>
      <c r="AI3" s="13"/>
      <c r="AJ3" s="13"/>
      <c r="AK3" s="13"/>
      <c r="AL3" s="13"/>
      <c r="AM3" s="16"/>
      <c r="AN3" s="34"/>
      <c r="AO3" s="22" t="s">
        <v>155</v>
      </c>
      <c r="AP3" s="23"/>
      <c r="AQ3" s="23"/>
      <c r="AR3" s="23"/>
      <c r="AS3" s="23"/>
      <c r="AT3" s="23"/>
      <c r="AU3" s="23"/>
      <c r="AV3" s="23"/>
      <c r="AW3" s="23"/>
      <c r="AX3" s="23"/>
      <c r="AY3" s="23"/>
      <c r="AZ3" s="23"/>
      <c r="BA3" s="24"/>
      <c r="BB3" s="34"/>
      <c r="BC3" s="34"/>
      <c r="BD3" s="34"/>
      <c r="BG3" s="80" t="str">
        <f>CONCATENATE(O3," - GOLAVERAGE")</f>
        <v>Grupo A - GOLAVERAGE</v>
      </c>
      <c r="BH3" s="81"/>
      <c r="BI3" s="81"/>
      <c r="BJ3" s="215" t="s">
        <v>174</v>
      </c>
      <c r="BK3" s="216"/>
      <c r="BL3" s="216"/>
      <c r="BM3" s="216"/>
      <c r="BN3" s="216"/>
      <c r="BO3" s="217"/>
      <c r="BP3" s="218" t="s">
        <v>173</v>
      </c>
      <c r="BQ3" s="219"/>
      <c r="BR3" s="219"/>
      <c r="BS3" s="219"/>
      <c r="BT3" s="219"/>
      <c r="BU3" s="220"/>
    </row>
    <row r="4" spans="1:73" x14ac:dyDescent="0.25">
      <c r="A4" s="99">
        <v>2</v>
      </c>
      <c r="B4" s="100">
        <v>44359</v>
      </c>
      <c r="C4" s="99" t="s">
        <v>0</v>
      </c>
      <c r="D4" s="101">
        <v>0.625</v>
      </c>
      <c r="E4" s="102" t="s">
        <v>412</v>
      </c>
      <c r="F4" s="103" t="s">
        <v>124</v>
      </c>
      <c r="G4" s="104"/>
      <c r="H4" s="132">
        <v>1</v>
      </c>
      <c r="I4" s="132">
        <v>0</v>
      </c>
      <c r="J4" s="104"/>
      <c r="K4" s="115" t="s">
        <v>112</v>
      </c>
      <c r="L4" s="35">
        <f t="shared" ref="L4:L38" si="0">IF(NOT(OR(ISBLANK(H4),ISBLANK(I4))),1,0)</f>
        <v>1</v>
      </c>
      <c r="M4" s="35"/>
      <c r="N4" s="35"/>
      <c r="O4" s="135" t="s">
        <v>141</v>
      </c>
      <c r="P4" s="135" t="s">
        <v>30</v>
      </c>
      <c r="Q4" s="135" t="s">
        <v>36</v>
      </c>
      <c r="R4" s="135" t="s">
        <v>31</v>
      </c>
      <c r="S4" s="135" t="s">
        <v>32</v>
      </c>
      <c r="T4" s="135" t="s">
        <v>4</v>
      </c>
      <c r="U4" s="135" t="s">
        <v>33</v>
      </c>
      <c r="V4" s="135" t="s">
        <v>34</v>
      </c>
      <c r="W4" s="135" t="s">
        <v>35</v>
      </c>
      <c r="X4" s="135" t="s">
        <v>41</v>
      </c>
      <c r="Y4" s="154"/>
      <c r="Z4" s="30"/>
      <c r="AA4" s="29"/>
      <c r="AB4" s="72" t="s">
        <v>59</v>
      </c>
      <c r="AC4" s="12" t="s">
        <v>30</v>
      </c>
      <c r="AD4" s="12" t="s">
        <v>60</v>
      </c>
      <c r="AE4" s="12" t="s">
        <v>31</v>
      </c>
      <c r="AF4" s="12" t="s">
        <v>32</v>
      </c>
      <c r="AG4" s="12" t="s">
        <v>4</v>
      </c>
      <c r="AH4" s="12" t="s">
        <v>33</v>
      </c>
      <c r="AI4" s="12" t="s">
        <v>34</v>
      </c>
      <c r="AJ4" s="12" t="s">
        <v>35</v>
      </c>
      <c r="AK4" s="12" t="s">
        <v>41</v>
      </c>
      <c r="AL4" s="12" t="s">
        <v>61</v>
      </c>
      <c r="AM4" s="148" t="s">
        <v>59</v>
      </c>
      <c r="AN4" s="34"/>
      <c r="AO4" s="72" t="s">
        <v>59</v>
      </c>
      <c r="AP4" s="12"/>
      <c r="AQ4" s="12" t="s">
        <v>30</v>
      </c>
      <c r="AR4" s="12" t="s">
        <v>60</v>
      </c>
      <c r="AS4" s="12" t="s">
        <v>31</v>
      </c>
      <c r="AT4" s="12" t="s">
        <v>32</v>
      </c>
      <c r="AU4" s="12" t="s">
        <v>4</v>
      </c>
      <c r="AV4" s="12" t="s">
        <v>33</v>
      </c>
      <c r="AW4" s="12" t="s">
        <v>34</v>
      </c>
      <c r="AX4" s="12" t="s">
        <v>35</v>
      </c>
      <c r="AY4" s="12" t="s">
        <v>41</v>
      </c>
      <c r="AZ4" s="12" t="s">
        <v>61</v>
      </c>
      <c r="BA4" s="148" t="s">
        <v>59</v>
      </c>
      <c r="BB4" s="34"/>
      <c r="BC4" s="34"/>
      <c r="BD4" s="82" t="s">
        <v>169</v>
      </c>
      <c r="BE4" s="83" t="s">
        <v>170</v>
      </c>
      <c r="BG4" s="72" t="s">
        <v>30</v>
      </c>
      <c r="BH4" s="70" t="s">
        <v>175</v>
      </c>
      <c r="BI4" s="73" t="s">
        <v>178</v>
      </c>
      <c r="BJ4" s="71" t="s">
        <v>177</v>
      </c>
      <c r="BK4" s="70" t="s">
        <v>171</v>
      </c>
      <c r="BL4" s="74" t="str">
        <f>BG5</f>
        <v>Turquía</v>
      </c>
      <c r="BM4" s="75" t="str">
        <f>BG6</f>
        <v>Italia</v>
      </c>
      <c r="BN4" s="75" t="str">
        <f>BG7</f>
        <v>Gales</v>
      </c>
      <c r="BO4" s="76" t="str">
        <f>BG8</f>
        <v>Suiza</v>
      </c>
      <c r="BP4" s="70" t="s">
        <v>177</v>
      </c>
      <c r="BQ4" s="70" t="s">
        <v>171</v>
      </c>
      <c r="BR4" s="74" t="str">
        <f>BL4</f>
        <v>Turquía</v>
      </c>
      <c r="BS4" s="75" t="str">
        <f t="shared" ref="BS4:BU4" si="1">BM4</f>
        <v>Italia</v>
      </c>
      <c r="BT4" s="75" t="str">
        <f t="shared" si="1"/>
        <v>Gales</v>
      </c>
      <c r="BU4" s="76" t="str">
        <f t="shared" si="1"/>
        <v>Suiza</v>
      </c>
    </row>
    <row r="5" spans="1:73" x14ac:dyDescent="0.25">
      <c r="A5" s="99">
        <v>13</v>
      </c>
      <c r="B5" s="100">
        <v>44363</v>
      </c>
      <c r="C5" s="99" t="s">
        <v>0</v>
      </c>
      <c r="D5" s="101">
        <v>0.75</v>
      </c>
      <c r="E5" s="102" t="s">
        <v>412</v>
      </c>
      <c r="F5" s="103" t="s">
        <v>426</v>
      </c>
      <c r="G5" s="104"/>
      <c r="H5" s="132">
        <v>1</v>
      </c>
      <c r="I5" s="132">
        <v>0</v>
      </c>
      <c r="J5" s="104"/>
      <c r="K5" s="115" t="s">
        <v>124</v>
      </c>
      <c r="L5" s="35">
        <f t="shared" si="0"/>
        <v>1</v>
      </c>
      <c r="M5" s="35"/>
      <c r="N5" s="35"/>
      <c r="O5" s="139">
        <f ca="1">VLOOKUP(P5,$AC5:$AM8,11,FALSE)</f>
        <v>1</v>
      </c>
      <c r="P5" s="139" t="str">
        <f ca="1">OFFSET(AC$5,MATCH(SMALL(AB$5:AB$8,ROW()-ROW(AB$5)+1),AB$5:AB$8,0)-1,0)</f>
        <v>Turquía</v>
      </c>
      <c r="Q5" s="140">
        <f ca="1">VLOOKUP(P5,$AC$5:$AL$8,2,FALSE)</f>
        <v>6</v>
      </c>
      <c r="R5" s="139">
        <f ca="1">VLOOKUP($P5,$AC$5:$AL$8,3,FALSE)</f>
        <v>3</v>
      </c>
      <c r="S5" s="139">
        <f ca="1">VLOOKUP($P5,$AC$5:$AL$8,4,FALSE)</f>
        <v>2</v>
      </c>
      <c r="T5" s="139">
        <f ca="1">VLOOKUP($P5,$AC$5:$AL$8,5,FALSE)</f>
        <v>0</v>
      </c>
      <c r="U5" s="139">
        <f ca="1">VLOOKUP($P5,$AC$5:$AL$8,6,FALSE)</f>
        <v>1</v>
      </c>
      <c r="V5" s="139">
        <f ca="1">VLOOKUP($P5,$AC$5:$AL$8,7,FALSE)</f>
        <v>2</v>
      </c>
      <c r="W5" s="139">
        <f ca="1">VLOOKUP($P5,$AC$5:$AL$8,8,FALSE)</f>
        <v>1</v>
      </c>
      <c r="X5" s="141">
        <f ca="1">VLOOKUP($P5,$AC$5:$AL$8,9,FALSE)</f>
        <v>1</v>
      </c>
      <c r="Y5" s="154">
        <f ca="1">IF(R5=3,MIN(ABS(Z4-Z5),ABS(Z5-Z6)),100)</f>
        <v>201999993</v>
      </c>
      <c r="Z5" s="30">
        <f ca="1">VLOOKUP($P5,$AC$5:$AL$8,10,FALSE)</f>
        <v>6000305000989</v>
      </c>
      <c r="AB5" s="149">
        <f>RANK(AL5,$AL$5:$AL$8)</f>
        <v>1</v>
      </c>
      <c r="AC5" s="10" t="s">
        <v>426</v>
      </c>
      <c r="AD5" s="10">
        <f>AF5*3+AG5*1+AH5*0</f>
        <v>6</v>
      </c>
      <c r="AE5" s="10">
        <f>COUNTIFS($F$3:$F$8,AC5,$H$3:$H$8,"&lt;&gt;")+COUNTIFS($K$3:$K$8,AC5,$I$3:$I$8,"&lt;&gt;")</f>
        <v>3</v>
      </c>
      <c r="AF5" s="10">
        <f t="array" ref="AF5">SUM((F$3:F$8=AC5)*(H$3:H$8&lt;&gt;"")*(I$3:I$8&lt;&gt;"")*(H$3:H$8&gt;I$3:I$8),(K$3:K$8=AC5)*(H$3:H$8&lt;&gt;"")*(I$3:I$8&lt;&gt;"")*(H$3:H$8&lt;I$3:I$8))</f>
        <v>2</v>
      </c>
      <c r="AG5" s="10">
        <f t="array" ref="AG5">SUM((F$3:F$8=AC5)*(H$3:H$8&lt;&gt;"")*(H$3:H$8=I$3:I$8),(K$3:K$8=AC5)*(I$3:I$8&lt;&gt;"")*(H$3:H$8=I$3:I$8))</f>
        <v>0</v>
      </c>
      <c r="AH5" s="10">
        <f t="array" ref="AH5">SUM((F$3:F$8=AC5)*(I$3:I$8&lt;&gt;"")*(H$3:H$8&lt;&gt;"")*(H$3:H$8&lt;I$3:I$8),(H$3:H$8&lt;&gt;"")*(K$3:K$8=AC5)*(I$3:I$8&lt;&gt;"")*(H$3:H$8&gt;I$3:I$8))</f>
        <v>1</v>
      </c>
      <c r="AI5" s="10">
        <f t="array" ref="AI5">SUMIFS($H$3:$H$8,$F$3:$F$8,AC5)+SUMIFS($I$3:$I$8,$K$3:$K$8,AC5)</f>
        <v>2</v>
      </c>
      <c r="AJ5" s="10">
        <f t="array" ref="AJ5">SUMIFS($H$3:$H$8,$K$3:$K$8,AC5)+SUMIFS($I$3:$I$8,$F$3:$F$8,AC5)</f>
        <v>1</v>
      </c>
      <c r="AK5" s="10">
        <f>AI5-AJ5</f>
        <v>1</v>
      </c>
      <c r="AL5" s="10">
        <f>IF(AE5=0,-($BE$11*VLOOKUP(AC5,Tabla3[[Selección]:[Ranking]],2,FALSE)),(AD5*$BE$6)+BI5+(AI5*$BE$9)+((AI5-AJ5)*$BE$10)-($BE$11*VLOOKUP(AC5,Tabla3[[Selección]:[Ranking]],2,FALSE)))</f>
        <v>6000305000989</v>
      </c>
      <c r="AM5" s="150">
        <f>AB5</f>
        <v>1</v>
      </c>
      <c r="AN5" s="34"/>
      <c r="AO5" s="149">
        <f t="shared" ref="AO5:AO10" si="2">IFERROR(RANK(AZ5,$AZ$5:$AZ$10),"pos")</f>
        <v>3</v>
      </c>
      <c r="AP5" s="10" t="s">
        <v>0</v>
      </c>
      <c r="AQ5" s="10" t="str">
        <f>IF(SUM(AE5:AE8)=12,VLOOKUP(3,$AB$5:$AL$8,2,FALSE),"3A")</f>
        <v>Gales</v>
      </c>
      <c r="AR5" s="10">
        <f>IF(SUM($AE$5:$AE$8)=12,VLOOKUP(3,$AB$5:$AL$8,3,FALSE),"3A")</f>
        <v>3</v>
      </c>
      <c r="AS5" s="10">
        <f>IF(SUM($AE$5:$AE$8)=12,VLOOKUP(3,$AB$5:$AL$8,4,FALSE),"3A")</f>
        <v>3</v>
      </c>
      <c r="AT5" s="10">
        <f>IF(SUM($AE$5:$AE$8)=12,VLOOKUP(3,$AB$5:$AL$8,5,FALSE),"3A")</f>
        <v>1</v>
      </c>
      <c r="AU5" s="10">
        <f>IF(SUM($AE$5:$AE$8)=12,VLOOKUP(3,$AB$5:$AL$8,6,FALSE),"3A")</f>
        <v>0</v>
      </c>
      <c r="AV5" s="10">
        <f>IF(SUM($AE$5:$AE$8)=12,VLOOKUP(3,$AB$5:$AL$8,7,FALSE),"3A")</f>
        <v>2</v>
      </c>
      <c r="AW5" s="10">
        <f>IF(SUM($AE$5:$AE$8)=12,VLOOKUP(3,$AB$5:$AL$8,8,FALSE),"3A")</f>
        <v>1</v>
      </c>
      <c r="AX5" s="10">
        <f>IF(SUM($AE$5:$AE$8)=12,VLOOKUP(3,$AB$5:$AL$8,9,FALSE),"3A")</f>
        <v>2</v>
      </c>
      <c r="AY5" s="10">
        <f>IF(SUM($AE$5:$AE$8)=12,VLOOKUP(3,$AB$5:$AL$8,10,FALSE),"3A")</f>
        <v>-1</v>
      </c>
      <c r="AZ5" s="10">
        <f>IFERROR(IF(AS5=0,-($BE$11*VLOOKUP(AQ5,Tabla3[[Selección]:[Ranking]],2,FALSE)),(AR5*$BE$6)+(AY5*$BE$7)+((AW5-AX5)*$BE$10)+(AW5*$BE$9)-($BE$11*VLOOKUP(AQ5,Tabla3[[Selección]:[Ranking]],2,FALSE))),"RANK-3A")</f>
        <v>2990000998949</v>
      </c>
      <c r="BA5" s="150">
        <f t="shared" ref="BA5:BA10" si="3">IFERROR(RANK(AZ5,$AZ$5:$AZ$10),"pos")</f>
        <v>3</v>
      </c>
      <c r="BB5" s="34"/>
      <c r="BC5" s="34"/>
      <c r="BD5" s="84" t="s">
        <v>176</v>
      </c>
      <c r="BE5" s="85">
        <f>BE6*2</f>
        <v>2000000000000</v>
      </c>
      <c r="BG5" s="77" t="str">
        <f>AC5</f>
        <v>Turquía</v>
      </c>
      <c r="BH5" s="10">
        <f>COUNTIF(AD5:AD8,AD5)</f>
        <v>2</v>
      </c>
      <c r="BI5" s="56">
        <f>(BJ5*$BE$9)+(BP5*$BE$8)</f>
        <v>303000000</v>
      </c>
      <c r="BJ5" s="62">
        <f>RANK(BK5,BK5:BK8,1)</f>
        <v>3</v>
      </c>
      <c r="BK5" s="62">
        <f>SUM(IF(AD5=AD6,BM5,0),IF(AD5=AD7,BN5,0),IF(AD5=AD8,BO5,0))</f>
        <v>1</v>
      </c>
      <c r="BL5" s="67">
        <v>0</v>
      </c>
      <c r="BM5" s="58">
        <f>H3</f>
        <v>1</v>
      </c>
      <c r="BN5" s="58">
        <f>H6</f>
        <v>1</v>
      </c>
      <c r="BO5" s="59">
        <f>I8</f>
        <v>0</v>
      </c>
      <c r="BP5" s="62">
        <f>RANK(BQ5,BQ5:BQ8,1)</f>
        <v>3</v>
      </c>
      <c r="BQ5" s="62">
        <f>SUM(IF(AD5=AD6,BS5,0),IF(AD5=AD7,BT5,0),IF(AD5=AD8,BU5,0))</f>
        <v>1</v>
      </c>
      <c r="BR5" s="64">
        <v>0</v>
      </c>
      <c r="BS5" s="58">
        <f>BM5-BL6</f>
        <v>1</v>
      </c>
      <c r="BT5" s="58">
        <f>BN5-BL7</f>
        <v>1</v>
      </c>
      <c r="BU5" s="59">
        <f>BO5-BL8</f>
        <v>-1</v>
      </c>
    </row>
    <row r="6" spans="1:73" x14ac:dyDescent="0.25">
      <c r="A6" s="99">
        <v>14</v>
      </c>
      <c r="B6" s="100">
        <v>44363</v>
      </c>
      <c r="C6" s="99" t="s">
        <v>0</v>
      </c>
      <c r="D6" s="101">
        <v>0.875</v>
      </c>
      <c r="E6" s="102" t="s">
        <v>411</v>
      </c>
      <c r="F6" s="103" t="s">
        <v>110</v>
      </c>
      <c r="G6" s="104"/>
      <c r="H6" s="132">
        <v>1</v>
      </c>
      <c r="I6" s="132">
        <v>0</v>
      </c>
      <c r="J6" s="104"/>
      <c r="K6" s="115" t="s">
        <v>112</v>
      </c>
      <c r="L6" s="35">
        <f t="shared" si="0"/>
        <v>1</v>
      </c>
      <c r="M6" s="35"/>
      <c r="N6" s="35"/>
      <c r="O6" s="139">
        <f ca="1">VLOOKUP(P6,$AC$5:$AM$8,11,FALSE)</f>
        <v>2</v>
      </c>
      <c r="P6" s="139" t="str">
        <f ca="1">OFFSET(AC$5,MATCH(SMALL(AB$5:AB$8,ROW()-ROW(AB$5)+1),AB$5:AB$8,0)-1,0)</f>
        <v>Italia</v>
      </c>
      <c r="Q6" s="140">
        <f ca="1">VLOOKUP(P6,$AC$5:$AL$8,2,FALSE)</f>
        <v>6</v>
      </c>
      <c r="R6" s="139">
        <f ca="1">VLOOKUP($P6,$AC$5:$AL$8,3,FALSE)</f>
        <v>3</v>
      </c>
      <c r="S6" s="139">
        <f ca="1">VLOOKUP($P6,$AC$5:$AL$8,4,FALSE)</f>
        <v>2</v>
      </c>
      <c r="T6" s="139">
        <f ca="1">VLOOKUP($P6,$AC$5:$AL$8,5,FALSE)</f>
        <v>0</v>
      </c>
      <c r="U6" s="139">
        <f ca="1">VLOOKUP($P6,$AC$5:$AL$8,6,FALSE)</f>
        <v>1</v>
      </c>
      <c r="V6" s="139">
        <f ca="1">VLOOKUP($P6,$AC$5:$AL$8,7,FALSE)</f>
        <v>2</v>
      </c>
      <c r="W6" s="139">
        <f ca="1">VLOOKUP($P6,$AC$5:$AL$8,8,FALSE)</f>
        <v>1</v>
      </c>
      <c r="X6" s="141">
        <f ca="1">VLOOKUP($P6,$AC$5:$AL$8,9,FALSE)</f>
        <v>1</v>
      </c>
      <c r="Y6" s="154">
        <f t="shared" ref="Y6:Y8" ca="1" si="4">IF(R6=3,MIN(ABS(Z5-Z6),ABS(Z6-Z7)),100)</f>
        <v>201999993</v>
      </c>
      <c r="Z6" s="30">
        <f t="shared" ref="Z6:Z8" ca="1" si="5">VLOOKUP($P6,$AC$5:$AL$8,10,FALSE)</f>
        <v>6000103000996</v>
      </c>
      <c r="AB6" s="149">
        <f>RANK(AL6,$AL$5:$AL$8)</f>
        <v>2</v>
      </c>
      <c r="AC6" s="10" t="s">
        <v>110</v>
      </c>
      <c r="AD6" s="10">
        <f>AF6*3+AG6*1+AH6*0</f>
        <v>6</v>
      </c>
      <c r="AE6" s="10">
        <f>COUNTIFS($F$3:$F$8,AC6,$H$3:$H$8,"&lt;&gt;")+COUNTIFS($K$3:$K$8,AC6,$I$3:$I$8,"&lt;&gt;")</f>
        <v>3</v>
      </c>
      <c r="AF6" s="10">
        <f t="array" ref="AF6">SUM((F$3:F$8=AC6)*(H$3:H$8&lt;&gt;"")*(I$3:I$8&lt;&gt;"")*(H$3:H$8&gt;I$3:I$8),(K$3:K$8=AC6)*(H$3:H$8&lt;&gt;"")*(I$3:I$8&lt;&gt;"")*(H$3:H$8&lt;I$3:I$8))</f>
        <v>2</v>
      </c>
      <c r="AG6" s="10">
        <f t="array" ref="AG6">SUM((F$3:F$8=AC6)*(H$3:H$8&lt;&gt;"")*(H$3:H$8=I$3:I$8),(K$3:K$8=AC6)*(I$3:I$8&lt;&gt;"")*(H$3:H$8=I$3:I$8))</f>
        <v>0</v>
      </c>
      <c r="AH6" s="10">
        <f t="array" ref="AH6">SUM((F$3:F$8=AC6)*(I$3:I$8&lt;&gt;"")*(H$3:H$8&lt;&gt;"")*(H$3:H$8&lt;I$3:I$8),(H$3:H$8&lt;&gt;"")*(K$3:K$8=AC6)*(I$3:I$8&lt;&gt;"")*(H$3:H$8&gt;I$3:I$8))</f>
        <v>1</v>
      </c>
      <c r="AI6" s="10">
        <f t="array" ref="AI6">SUMIFS($H$3:$H$8,$F$3:$F$8,AC6)+SUMIFS($I$3:$I$8,$K$3:$K$8,AC6)</f>
        <v>2</v>
      </c>
      <c r="AJ6" s="10">
        <f t="array" ref="AJ6">SUMIFS($H$3:$H$8,$K$3:$K$8,AC6)+SUMIFS($I$3:$I$8,$F$3:$F$8,AC6)</f>
        <v>1</v>
      </c>
      <c r="AK6" s="10">
        <f>AI6-AJ6</f>
        <v>1</v>
      </c>
      <c r="AL6" s="10">
        <f>IF(AE6=0,-($BE$11*VLOOKUP(AC6,Tabla3[[Selección]:[Ranking]],2,FALSE)),(AD6*$BE$6)+BI6+(AI6*$BE$9)+((AI6-AJ6)*$BE$10)-($BE$11*VLOOKUP(AC6,Tabla3[[Selección]:[Ranking]],2,FALSE)))</f>
        <v>6000103000996</v>
      </c>
      <c r="AM6" s="150">
        <f>AB6</f>
        <v>2</v>
      </c>
      <c r="AN6" s="34"/>
      <c r="AO6" s="149">
        <f t="shared" si="2"/>
        <v>4</v>
      </c>
      <c r="AP6" s="10" t="s">
        <v>1</v>
      </c>
      <c r="AQ6" s="10" t="str">
        <f>IF(SUM(AE11:AE14)=12,VLOOKUP(3,$AB$11:$AL$14,2,FALSE),"3B")</f>
        <v>Bélgica</v>
      </c>
      <c r="AR6" s="10">
        <f>IF(SUM($AE$11:$AE$14)=12,VLOOKUP(3,$AB$11:$AL$14,3,FALSE),"3B")</f>
        <v>3</v>
      </c>
      <c r="AS6" s="10">
        <f>IF(SUM($AE$11:$AE$14)=12,VLOOKUP(3,$AB$11:$AL$14,4,FALSE),"3B")</f>
        <v>3</v>
      </c>
      <c r="AT6" s="10">
        <f>IF(SUM($AE$11:$AE$14)=12,VLOOKUP(3,$AB$11:$AL$14,5,FALSE),"3B")</f>
        <v>1</v>
      </c>
      <c r="AU6" s="10">
        <f>IF(SUM($AE$11:$AE$14)=12,VLOOKUP(3,$AB$11:$AL$14,6,FALSE),"3B")</f>
        <v>0</v>
      </c>
      <c r="AV6" s="10">
        <f>IF(SUM($AE$11:$AE$14)=12,VLOOKUP(3,$AB$11:$AL$14,7,FALSE),"3B")</f>
        <v>2</v>
      </c>
      <c r="AW6" s="10">
        <f>IF(SUM($AE$11:$AE$14)=12,VLOOKUP(3,$AB$11:$AL$14,8,FALSE),"3B")</f>
        <v>2</v>
      </c>
      <c r="AX6" s="10">
        <f>IF(SUM($AE$11:$AE$14)=12,VLOOKUP(3,$AB$11:$AL$14,9,FALSE),"3B")</f>
        <v>4</v>
      </c>
      <c r="AY6" s="10">
        <f>IF(SUM($AE$11:$AE$14)=12,VLOOKUP(3,$AB$11:$AL$14,10,FALSE),"3B")</f>
        <v>-2</v>
      </c>
      <c r="AZ6" s="10">
        <f>IFERROR(IF(AS6=0,-($BE$11*VLOOKUP(AQ6,Tabla3[[Selección]:[Ranking]],2,FALSE)),(AR6*$BE$6)+(AY6*$BE$7)+((AW6-AX6)*$BE$10)+(AW6*$BE$9)-($BE$11*VLOOKUP(AQ6,Tabla3[[Selección]:[Ranking]],2,FALSE))),"RANK-3A")</f>
        <v>2980001997991</v>
      </c>
      <c r="BA6" s="150">
        <f t="shared" si="3"/>
        <v>4</v>
      </c>
      <c r="BB6" s="34"/>
      <c r="BC6" s="34"/>
      <c r="BD6" s="84" t="s">
        <v>180</v>
      </c>
      <c r="BE6" s="85">
        <f>BE7*100</f>
        <v>1000000000000</v>
      </c>
      <c r="BG6" s="77" t="str">
        <f t="shared" ref="BG6:BG8" si="6">AC6</f>
        <v>Italia</v>
      </c>
      <c r="BH6" s="10">
        <f>COUNTIF(AD5:AD8,AD6)</f>
        <v>2</v>
      </c>
      <c r="BI6" s="56">
        <f>(BJ6*$BE$9)+(BP6*$BE$8)</f>
        <v>101000000</v>
      </c>
      <c r="BJ6" s="62">
        <f>RANK(BK6,BK5:BK8,1)</f>
        <v>1</v>
      </c>
      <c r="BK6" s="62">
        <f>SUM(IF(AD6=AD5,BL6,0),IF(AD6=AD7,BN6,0),IF(AD6=AD8,BO6,0))</f>
        <v>0</v>
      </c>
      <c r="BL6" s="57">
        <f>I3</f>
        <v>0</v>
      </c>
      <c r="BM6" s="68">
        <v>0</v>
      </c>
      <c r="BN6" s="58">
        <f>H7</f>
        <v>1</v>
      </c>
      <c r="BO6" s="59">
        <f>H5</f>
        <v>1</v>
      </c>
      <c r="BP6" s="62">
        <f>RANK(BQ6,BQ5:BQ8,1)</f>
        <v>1</v>
      </c>
      <c r="BQ6" s="62">
        <f>SUM(IF(AD6=AD5,BR6,0),IF(AD6=AD7,BT6,0),IF(AD6=AD8,BU6,0))</f>
        <v>-1</v>
      </c>
      <c r="BR6" s="57">
        <f>BL6-BM5</f>
        <v>-1</v>
      </c>
      <c r="BS6" s="65">
        <v>0</v>
      </c>
      <c r="BT6" s="58">
        <f>BN6-BM7</f>
        <v>1</v>
      </c>
      <c r="BU6" s="59">
        <f>BO6-BM8</f>
        <v>1</v>
      </c>
    </row>
    <row r="7" spans="1:73" x14ac:dyDescent="0.25">
      <c r="A7" s="99">
        <v>25</v>
      </c>
      <c r="B7" s="100">
        <v>44367</v>
      </c>
      <c r="C7" s="99" t="s">
        <v>0</v>
      </c>
      <c r="D7" s="101">
        <v>0.875</v>
      </c>
      <c r="E7" s="102" t="s">
        <v>412</v>
      </c>
      <c r="F7" s="103" t="s">
        <v>112</v>
      </c>
      <c r="G7" s="104"/>
      <c r="H7" s="132">
        <v>1</v>
      </c>
      <c r="I7" s="132">
        <v>0</v>
      </c>
      <c r="J7" s="104"/>
      <c r="K7" s="115" t="s">
        <v>426</v>
      </c>
      <c r="L7" s="35">
        <f t="shared" si="0"/>
        <v>1</v>
      </c>
      <c r="M7" s="35"/>
      <c r="N7" s="35"/>
      <c r="O7" s="139">
        <f ca="1">VLOOKUP(P7,$AC$5:$AM$8,11,FALSE)</f>
        <v>3</v>
      </c>
      <c r="P7" s="139" t="str">
        <f ca="1">OFFSET(AC$5,MATCH(SMALL(AB$5:AB$8,ROW()-ROW(AB$5)+1),AB$5:AB$8,0)-1,0)</f>
        <v>Gales</v>
      </c>
      <c r="Q7" s="140">
        <f ca="1">VLOOKUP(P7,$AC$5:$AL$8,2,FALSE)</f>
        <v>3</v>
      </c>
      <c r="R7" s="139">
        <f ca="1">VLOOKUP($P7,$AC$5:$AL$8,3,FALSE)</f>
        <v>3</v>
      </c>
      <c r="S7" s="139">
        <f ca="1">VLOOKUP($P7,$AC$5:$AL$8,4,FALSE)</f>
        <v>1</v>
      </c>
      <c r="T7" s="139">
        <f ca="1">VLOOKUP($P7,$AC$5:$AL$8,5,FALSE)</f>
        <v>0</v>
      </c>
      <c r="U7" s="139">
        <f ca="1">VLOOKUP($P7,$AC$5:$AL$8,6,FALSE)</f>
        <v>2</v>
      </c>
      <c r="V7" s="139">
        <f ca="1">VLOOKUP($P7,$AC$5:$AL$8,7,FALSE)</f>
        <v>1</v>
      </c>
      <c r="W7" s="139">
        <f ca="1">VLOOKUP($P7,$AC$5:$AL$8,8,FALSE)</f>
        <v>2</v>
      </c>
      <c r="X7" s="141">
        <f ca="1">VLOOKUP($P7,$AC$5:$AL$8,9,FALSE)</f>
        <v>-1</v>
      </c>
      <c r="Y7" s="154">
        <f t="shared" ca="1" si="4"/>
        <v>201999961</v>
      </c>
      <c r="Z7" s="30">
        <f t="shared" ca="1" si="5"/>
        <v>3000303998949</v>
      </c>
      <c r="AB7" s="149">
        <f>RANK(AL7,$AL$5:$AL$8)</f>
        <v>3</v>
      </c>
      <c r="AC7" s="10" t="s">
        <v>124</v>
      </c>
      <c r="AD7" s="10">
        <f>AF7*3+AG7*1+AH7*0</f>
        <v>3</v>
      </c>
      <c r="AE7" s="10">
        <f>COUNTIFS($F$3:$F$8,AC7,$H$3:$H$8,"&lt;&gt;")+COUNTIFS($K$3:$K$8,AC7,$I$3:$I$8,"&lt;&gt;")</f>
        <v>3</v>
      </c>
      <c r="AF7" s="10">
        <f t="array" ref="AF7">SUM((F$3:F$8=AC7)*(H$3:H$8&lt;&gt;"")*(I$3:I$8&lt;&gt;"")*(H$3:H$8&gt;I$3:I$8),(K$3:K$8=AC7)*(H$3:H$8&lt;&gt;"")*(I$3:I$8&lt;&gt;"")*(H$3:H$8&lt;I$3:I$8))</f>
        <v>1</v>
      </c>
      <c r="AG7" s="10">
        <f t="array" ref="AG7">SUM((F$3:F$8=AC7)*(H$3:H$8&lt;&gt;"")*(H$3:H$8=I$3:I$8),(K$3:K$8=AC7)*(I$3:I$8&lt;&gt;"")*(H$3:H$8=I$3:I$8))</f>
        <v>0</v>
      </c>
      <c r="AH7" s="10">
        <f t="array" ref="AH7">SUM((F$3:F$8=AC7)*(I$3:I$8&lt;&gt;"")*(H$3:H$8&lt;&gt;"")*(H$3:H$8&lt;I$3:I$8),(H$3:H$8&lt;&gt;"")*(K$3:K$8=AC7)*(I$3:I$8&lt;&gt;"")*(H$3:H$8&gt;I$3:I$8))</f>
        <v>2</v>
      </c>
      <c r="AI7" s="10">
        <f t="array" ref="AI7">SUMIFS($H$3:$H$8,$F$3:$F$8,AC7)+SUMIFS($I$3:$I$8,$K$3:$K$8,AC7)</f>
        <v>1</v>
      </c>
      <c r="AJ7" s="10">
        <f t="array" ref="AJ7">SUMIFS($H$3:$H$8,$K$3:$K$8,AC7)+SUMIFS($I$3:$I$8,$F$3:$F$8,AC7)</f>
        <v>2</v>
      </c>
      <c r="AK7" s="10">
        <f>AI7-AJ7</f>
        <v>-1</v>
      </c>
      <c r="AL7" s="10">
        <f>IF(AE7=0,-($BE$11*VLOOKUP(AC7,Tabla3[[Selección]:[Ranking]],2,FALSE)),(AD7*$BE$6)+BI7+(AI7*$BE$9)+((AI7-AJ7)*$BE$10)-($BE$11*VLOOKUP(AC7,Tabla3[[Selección]:[Ranking]],2,FALSE)))</f>
        <v>3000303998949</v>
      </c>
      <c r="AM7" s="150">
        <f>AB7</f>
        <v>3</v>
      </c>
      <c r="AN7" s="34"/>
      <c r="AO7" s="149">
        <f t="shared" si="2"/>
        <v>1</v>
      </c>
      <c r="AP7" s="10" t="s">
        <v>2</v>
      </c>
      <c r="AQ7" s="10" t="str">
        <f>IF(SUM(AE17:AE20)=12,VLOOKUP(3,$AB$17:$AL$20,2,FALSE),"3C")</f>
        <v>Macedonia N</v>
      </c>
      <c r="AR7" s="10">
        <f>IF(SUM($AE$17:$AE$20)=12,VLOOKUP(3,$AB$17:$AL$20,3,FALSE),"3C")</f>
        <v>4</v>
      </c>
      <c r="AS7" s="10">
        <f>IF(SUM($AE$17:$AE$20)=12,VLOOKUP(3,$AB$17:$AL$20,4,FALSE),"3C")</f>
        <v>3</v>
      </c>
      <c r="AT7" s="10">
        <f>IF(SUM($AE$17:$AE$20)=12,VLOOKUP(3,$AB$17:$AL$20,5,FALSE),"3C")</f>
        <v>1</v>
      </c>
      <c r="AU7" s="10">
        <f>IF(SUM($AE$17:$AE$20)=12,VLOOKUP(3,$AB$17:$AL$20,6,FALSE),"3C")</f>
        <v>1</v>
      </c>
      <c r="AV7" s="10">
        <f>IF(SUM($AE$17:$AE$20)=12,VLOOKUP(3,$AB$17:$AL$20,7,FALSE),"3C")</f>
        <v>1</v>
      </c>
      <c r="AW7" s="10">
        <f>IF(SUM($AE$17:$AE$20)=12,VLOOKUP(3,$AB$17:$AL$20,8,FALSE),"3C")</f>
        <v>8</v>
      </c>
      <c r="AX7" s="10">
        <f>IF(SUM($AE$17:$AE$20)=12,VLOOKUP(3,$AB$17:$AL$20,9,FALSE),"3C")</f>
        <v>7</v>
      </c>
      <c r="AY7" s="10">
        <f>IF(SUM($AE$17:$AE$20)=12,VLOOKUP(3,$AB$17:$AL$20,10,FALSE),"3C")</f>
        <v>1</v>
      </c>
      <c r="AZ7" s="10">
        <f>IFERROR(IF(AS7=0,-($BE$11*VLOOKUP(AQ7,Tabla3[[Selección]:[Ranking]],2,FALSE)),(AR7*$BE$6)+(AY7*$BE$7)+((AW7-AX7)*$BE$10)+(AW7*$BE$9)-($BE$11*VLOOKUP(AQ7,Tabla3[[Selección]:[Ranking]],2,FALSE))),"RANK-3A")</f>
        <v>4010008000960</v>
      </c>
      <c r="BA7" s="150">
        <f t="shared" si="3"/>
        <v>1</v>
      </c>
      <c r="BB7" s="34"/>
      <c r="BC7" s="34"/>
      <c r="BD7" s="84" t="s">
        <v>166</v>
      </c>
      <c r="BE7" s="85">
        <f>BE8*100</f>
        <v>10000000000</v>
      </c>
      <c r="BG7" s="77" t="str">
        <f t="shared" si="6"/>
        <v>Gales</v>
      </c>
      <c r="BH7" s="10">
        <f>COUNTIF(AD5:AD8,AD7)</f>
        <v>2</v>
      </c>
      <c r="BI7" s="56">
        <f>(BJ7*$BE$9)+(BP7*$BE$8)</f>
        <v>303000000</v>
      </c>
      <c r="BJ7" s="62">
        <f>RANK(BK7,BK5:BK8,1)</f>
        <v>3</v>
      </c>
      <c r="BK7" s="62">
        <f>SUM(IF(AD7=AD5,BL7,0),IF(AD7=AD6,BM7,0),IF(AD7=AD8,BO7,0))</f>
        <v>1</v>
      </c>
      <c r="BL7" s="57">
        <f>I6</f>
        <v>0</v>
      </c>
      <c r="BM7" s="58">
        <f>I7</f>
        <v>0</v>
      </c>
      <c r="BN7" s="68">
        <v>0</v>
      </c>
      <c r="BO7" s="59">
        <f>H4</f>
        <v>1</v>
      </c>
      <c r="BP7" s="62">
        <f>RANK(BQ7,BQ5:BQ8,1)</f>
        <v>3</v>
      </c>
      <c r="BQ7" s="62">
        <f>SUM(IF(AD7=AD5,BR7,0),IF(AD7=AD6,BS7,0),IF(AD7=AD8,BU7,0))</f>
        <v>1</v>
      </c>
      <c r="BR7" s="57">
        <f>BL7-BN5</f>
        <v>-1</v>
      </c>
      <c r="BS7" s="58">
        <f>BM7-BN6</f>
        <v>-1</v>
      </c>
      <c r="BT7" s="65">
        <v>0</v>
      </c>
      <c r="BU7" s="59">
        <f>BO7-BN8</f>
        <v>1</v>
      </c>
    </row>
    <row r="8" spans="1:73" ht="15.75" thickBot="1" x14ac:dyDescent="0.3">
      <c r="A8" s="105">
        <v>26</v>
      </c>
      <c r="B8" s="106">
        <v>44367</v>
      </c>
      <c r="C8" s="105" t="s">
        <v>0</v>
      </c>
      <c r="D8" s="107">
        <v>0.875</v>
      </c>
      <c r="E8" s="108" t="s">
        <v>411</v>
      </c>
      <c r="F8" s="109" t="s">
        <v>110</v>
      </c>
      <c r="G8" s="110"/>
      <c r="H8" s="132">
        <v>1</v>
      </c>
      <c r="I8" s="132">
        <v>0</v>
      </c>
      <c r="J8" s="110"/>
      <c r="K8" s="116" t="s">
        <v>124</v>
      </c>
      <c r="L8" s="35">
        <f t="shared" si="0"/>
        <v>1</v>
      </c>
      <c r="M8" s="36"/>
      <c r="N8" s="36"/>
      <c r="O8" s="139">
        <f ca="1">VLOOKUP(P8,$AC$5:$AM$8,11,FALSE)</f>
        <v>4</v>
      </c>
      <c r="P8" s="139" t="str">
        <f ca="1">OFFSET(AC$5,MATCH(SMALL(AB$5:AB$8,ROW()-ROW(AB$5)+1),AB$5:AB$8,0)-1,0)</f>
        <v>Suiza</v>
      </c>
      <c r="Q8" s="140">
        <f ca="1">VLOOKUP(P8,$AC$5:$AL$8,2,FALSE)</f>
        <v>3</v>
      </c>
      <c r="R8" s="139">
        <f ca="1">VLOOKUP($P8,$AC$5:$AL$8,3,FALSE)</f>
        <v>3</v>
      </c>
      <c r="S8" s="139">
        <f ca="1">VLOOKUP($P8,$AC$5:$AL$8,4,FALSE)</f>
        <v>1</v>
      </c>
      <c r="T8" s="139">
        <f ca="1">VLOOKUP($P8,$AC$5:$AL$8,5,FALSE)</f>
        <v>0</v>
      </c>
      <c r="U8" s="139">
        <f ca="1">VLOOKUP($P8,$AC$5:$AL$8,6,FALSE)</f>
        <v>2</v>
      </c>
      <c r="V8" s="139">
        <f ca="1">VLOOKUP($P8,$AC$5:$AL$8,7,FALSE)</f>
        <v>1</v>
      </c>
      <c r="W8" s="139">
        <f ca="1">VLOOKUP($P8,$AC$5:$AL$8,8,FALSE)</f>
        <v>2</v>
      </c>
      <c r="X8" s="141">
        <f ca="1">VLOOKUP($P8,$AC$5:$AL$8,9,FALSE)</f>
        <v>-1</v>
      </c>
      <c r="Y8" s="154">
        <f t="shared" ca="1" si="4"/>
        <v>201999961</v>
      </c>
      <c r="Z8" s="30">
        <f t="shared" ca="1" si="5"/>
        <v>3000101998988</v>
      </c>
      <c r="AB8" s="151">
        <f>RANK(AL8,$AL$5:$AL$8)</f>
        <v>4</v>
      </c>
      <c r="AC8" s="11" t="s">
        <v>112</v>
      </c>
      <c r="AD8" s="11">
        <f>AF8*3+AG8*1+AH8*0</f>
        <v>3</v>
      </c>
      <c r="AE8" s="11">
        <f>COUNTIFS($F$3:$F$8,AC8,$H$3:$H$8,"&lt;&gt;")+COUNTIFS($K$3:$K$8,AC8,$I$3:$I$8,"&lt;&gt;")</f>
        <v>3</v>
      </c>
      <c r="AF8" s="11">
        <f t="array" ref="AF8">SUM((F$3:F$8=AC8)*(H$3:H$8&lt;&gt;"")*(I$3:I$8&lt;&gt;"")*(H$3:H$8&gt;I$3:I$8),(K$3:K$8=AC8)*(H$3:H$8&lt;&gt;"")*(I$3:I$8&lt;&gt;"")*(H$3:H$8&lt;I$3:I$8))</f>
        <v>1</v>
      </c>
      <c r="AG8" s="11">
        <f t="array" ref="AG8">SUM((F$3:F$8=AC8)*(H$3:H$8&lt;&gt;"")*(H$3:H$8=I$3:I$8),(K$3:K$8=AC8)*(I$3:I$8&lt;&gt;"")*(H$3:H$8=I$3:I$8))</f>
        <v>0</v>
      </c>
      <c r="AH8" s="11">
        <f t="array" ref="AH8">SUM((F$3:F$8=AC8)*(I$3:I$8&lt;&gt;"")*(H$3:H$8&lt;&gt;"")*(H$3:H$8&lt;I$3:I$8),(H$3:H$8&lt;&gt;"")*(K$3:K$8=AC8)*(I$3:I$8&lt;&gt;"")*(H$3:H$8&gt;I$3:I$8))</f>
        <v>2</v>
      </c>
      <c r="AI8" s="11">
        <f t="array" ref="AI8">SUMIFS($H$3:$H$8,$F$3:$F$8,AC8)+SUMIFS($I$3:$I$8,$K$3:$K$8,AC8)</f>
        <v>1</v>
      </c>
      <c r="AJ8" s="11">
        <f t="array" ref="AJ8">SUMIFS($H$3:$H$8,$K$3:$K$8,AC8)+SUMIFS($I$3:$I$8,$F$3:$F$8,AC8)</f>
        <v>2</v>
      </c>
      <c r="AK8" s="11">
        <f>AI8-AJ8</f>
        <v>-1</v>
      </c>
      <c r="AL8" s="11">
        <f>IF(AE8=0,-($BE$11*VLOOKUP(AC8,Tabla3[[Selección]:[Ranking]],2,FALSE)),(AD8*$BE$6)+BI8+(AI8*$BE$9)+((AI8-AJ8)*$BE$10)-($BE$11*VLOOKUP(AC8,Tabla3[[Selección]:[Ranking]],2,FALSE)))</f>
        <v>3000101998988</v>
      </c>
      <c r="AM8" s="152">
        <f>AB8</f>
        <v>4</v>
      </c>
      <c r="AN8" s="34"/>
      <c r="AO8" s="149">
        <f t="shared" si="2"/>
        <v>5</v>
      </c>
      <c r="AP8" s="10" t="s">
        <v>3</v>
      </c>
      <c r="AQ8" s="10" t="str">
        <f>IF(SUM(AE23:AE26)=12,VLOOKUP(3,$AB$23:$AL$26,2,FALSE),"3D")</f>
        <v>Croacia</v>
      </c>
      <c r="AR8" s="10">
        <f>IF(SUM($AE$23:$AE$26)=12,VLOOKUP(3,$AB$23:$AL$26,3,FALSE),"3D")</f>
        <v>3</v>
      </c>
      <c r="AS8" s="10">
        <f>IF(SUM($AE$23:$AE$26)=12,VLOOKUP(3,$AB$23:$AL$26,4,FALSE),"3D")</f>
        <v>3</v>
      </c>
      <c r="AT8" s="10">
        <f>IF(SUM($AE$23:$AE$26)=12,VLOOKUP(3,$AB$23:$AL$26,5,FALSE),"3D")</f>
        <v>1</v>
      </c>
      <c r="AU8" s="10">
        <f>IF(SUM($AE$23:$AE$26)=12,VLOOKUP(3,$AB$23:$AL$26,6,FALSE),"3D")</f>
        <v>0</v>
      </c>
      <c r="AV8" s="10">
        <f>IF(SUM($AE$23:$AE$26)=12,VLOOKUP(3,$AB$23:$AL$26,7,FALSE),"3D")</f>
        <v>2</v>
      </c>
      <c r="AW8" s="10">
        <f>IF(SUM($AE$23:$AE$26)=12,VLOOKUP(3,$AB$23:$AL$26,8,FALSE),"3D")</f>
        <v>15</v>
      </c>
      <c r="AX8" s="10">
        <f>IF(SUM($AE$23:$AE$26)=12,VLOOKUP(3,$AB$23:$AL$26,9,FALSE),"3D")</f>
        <v>32</v>
      </c>
      <c r="AY8" s="10">
        <f>IF(SUM($AE$23:$AE$26)=12,VLOOKUP(3,$AB$23:$AL$26,10,FALSE),"3D")</f>
        <v>-17</v>
      </c>
      <c r="AZ8" s="10">
        <f>IFERROR(IF(AS8=0,-($BE$11*VLOOKUP(AQ8,Tabla3[[Selección]:[Ranking]],2,FALSE)),(AR8*$BE$6)+(AY8*$BE$7)+((AW8-AX8)*$BE$10)+(AW8*$BE$9)-($BE$11*VLOOKUP(AQ8,Tabla3[[Selección]:[Ranking]],2,FALSE))),"RANK-3A")</f>
        <v>2830014982983</v>
      </c>
      <c r="BA8" s="150">
        <f t="shared" si="3"/>
        <v>5</v>
      </c>
      <c r="BB8" s="34"/>
      <c r="BC8" s="34"/>
      <c r="BD8" s="84" t="s">
        <v>167</v>
      </c>
      <c r="BE8" s="85">
        <f>BE9*100</f>
        <v>100000000</v>
      </c>
      <c r="BG8" s="78" t="str">
        <f t="shared" si="6"/>
        <v>Suiza</v>
      </c>
      <c r="BH8" s="11">
        <f>COUNTIF(AD5:AD8,AD8)</f>
        <v>2</v>
      </c>
      <c r="BI8" s="79">
        <f>(BJ8*$BE$9)+(BP8*$BE$8)</f>
        <v>101000000</v>
      </c>
      <c r="BJ8" s="63">
        <f>RANK(BK8,BK5:BK8,1)</f>
        <v>1</v>
      </c>
      <c r="BK8" s="63">
        <f>SUM(IF(AD8=AD5,BL8,0),IF(AD8=AD6,BM8,0),IF(AD8=AD7,BN8,0))</f>
        <v>0</v>
      </c>
      <c r="BL8" s="60">
        <f>H8</f>
        <v>1</v>
      </c>
      <c r="BM8" s="61">
        <f>I5</f>
        <v>0</v>
      </c>
      <c r="BN8" s="61">
        <f>I4</f>
        <v>0</v>
      </c>
      <c r="BO8" s="69">
        <v>0</v>
      </c>
      <c r="BP8" s="63">
        <f>RANK(BQ8,BQ5:BQ8,1)</f>
        <v>1</v>
      </c>
      <c r="BQ8" s="63">
        <f>SUM(IF(AD8=AD5,BR8,0),IF(AD8=AD6,BS8,0),IF(AD8=AD7,BT8,0))</f>
        <v>-1</v>
      </c>
      <c r="BR8" s="60">
        <f>BL8-BO5</f>
        <v>1</v>
      </c>
      <c r="BS8" s="61">
        <f>BM8-BO6</f>
        <v>-1</v>
      </c>
      <c r="BT8" s="61">
        <f>BN8-BO7</f>
        <v>-1</v>
      </c>
      <c r="BU8" s="66">
        <v>0</v>
      </c>
    </row>
    <row r="9" spans="1:73" ht="15.75" thickBot="1" x14ac:dyDescent="0.3">
      <c r="A9" s="99">
        <v>3</v>
      </c>
      <c r="B9" s="100">
        <v>44359</v>
      </c>
      <c r="C9" s="99" t="s">
        <v>1</v>
      </c>
      <c r="D9" s="101">
        <v>0.75</v>
      </c>
      <c r="E9" s="102" t="s">
        <v>413</v>
      </c>
      <c r="F9" s="103" t="s">
        <v>182</v>
      </c>
      <c r="G9" s="104"/>
      <c r="H9" s="132">
        <v>2</v>
      </c>
      <c r="I9" s="132">
        <v>0</v>
      </c>
      <c r="J9" s="104"/>
      <c r="K9" s="115" t="s">
        <v>188</v>
      </c>
      <c r="L9" s="35">
        <f t="shared" si="0"/>
        <v>1</v>
      </c>
      <c r="M9" s="37"/>
      <c r="N9" s="37"/>
      <c r="O9" s="137" t="s">
        <v>148</v>
      </c>
      <c r="P9" s="137"/>
      <c r="Q9" s="137"/>
      <c r="R9" s="137"/>
      <c r="S9" s="137"/>
      <c r="T9" s="137"/>
      <c r="U9" s="137"/>
      <c r="V9" s="137"/>
      <c r="W9" s="137"/>
      <c r="X9" s="137"/>
      <c r="Y9" s="154"/>
      <c r="Z9" s="30"/>
      <c r="AB9" s="15" t="s">
        <v>154</v>
      </c>
      <c r="AC9" s="13"/>
      <c r="AD9" s="13"/>
      <c r="AE9" s="13"/>
      <c r="AF9" s="13"/>
      <c r="AG9" s="13"/>
      <c r="AH9" s="13"/>
      <c r="AI9" s="13"/>
      <c r="AJ9" s="13"/>
      <c r="AK9" s="13"/>
      <c r="AL9" s="13"/>
      <c r="AM9" s="16"/>
      <c r="AN9" s="34"/>
      <c r="AO9" s="149">
        <f t="shared" si="2"/>
        <v>2</v>
      </c>
      <c r="AP9" s="10" t="s">
        <v>4</v>
      </c>
      <c r="AQ9" s="10" t="str">
        <f>IF(SUM(AE29:AE32)=12,VLOOKUP(3,$AB$29:$AL$32,2,FALSE),"3E")</f>
        <v>Suecia</v>
      </c>
      <c r="AR9" s="10">
        <f>IF(SUM($AE$29:$AE$32)=12,VLOOKUP(3,$AB$29:$AL$32,3,FALSE),"3E")</f>
        <v>3</v>
      </c>
      <c r="AS9" s="10">
        <f>IF(SUM($AE$29:$AE$32)=12,VLOOKUP(3,$AB$29:$AL$32,4,FALSE),"3E")</f>
        <v>3</v>
      </c>
      <c r="AT9" s="10">
        <f>IF(SUM($AE$29:$AE$32)=12,VLOOKUP(3,$AB$29:$AL$32,5,FALSE),"3E")</f>
        <v>0</v>
      </c>
      <c r="AU9" s="10">
        <f>IF(SUM($AE$29:$AE$32)=12,VLOOKUP(3,$AB$29:$AL$32,6,FALSE),"3E")</f>
        <v>3</v>
      </c>
      <c r="AV9" s="10">
        <f>IF(SUM($AE$29:$AE$32)=12,VLOOKUP(3,$AB$29:$AL$32,7,FALSE),"3E")</f>
        <v>0</v>
      </c>
      <c r="AW9" s="10">
        <f>IF(SUM($AE$29:$AE$32)=12,VLOOKUP(3,$AB$29:$AL$32,8,FALSE),"3E")</f>
        <v>0</v>
      </c>
      <c r="AX9" s="10">
        <f>IF(SUM($AE$29:$AE$32)=12,VLOOKUP(3,$AB$29:$AL$32,9,FALSE),"3E")</f>
        <v>0</v>
      </c>
      <c r="AY9" s="10">
        <f>IF(SUM($AE$29:$AE$32)=12,VLOOKUP(3,$AB$29:$AL$32,10,FALSE),"3E")</f>
        <v>0</v>
      </c>
      <c r="AZ9" s="10">
        <f>IFERROR(IF(AS9=0,-($BE$11*VLOOKUP(AQ9,Tabla3[[Selección]:[Ranking]],2,FALSE)),(AR9*$BE$6)+(AY9*$BE$7)+((AW9-AX9)*$BE$10)+(AW9*$BE$9)-($BE$11*VLOOKUP(AQ9,Tabla3[[Selección]:[Ranking]],2,FALSE))),"RANK-3A")</f>
        <v>2999999999979</v>
      </c>
      <c r="BA9" s="150">
        <f t="shared" si="3"/>
        <v>2</v>
      </c>
      <c r="BB9" s="34"/>
      <c r="BC9" s="34"/>
      <c r="BD9" s="84" t="s">
        <v>179</v>
      </c>
      <c r="BE9" s="85">
        <f>BE10*1000</f>
        <v>1000000</v>
      </c>
      <c r="BG9" s="80" t="str">
        <f>CONCATENATE(O9," - GOLAVERAGE")</f>
        <v>Grupo B - GOLAVERAGE</v>
      </c>
      <c r="BH9" s="81"/>
      <c r="BI9" s="81"/>
      <c r="BJ9" s="215" t="s">
        <v>174</v>
      </c>
      <c r="BK9" s="216"/>
      <c r="BL9" s="216"/>
      <c r="BM9" s="216"/>
      <c r="BN9" s="216"/>
      <c r="BO9" s="217"/>
      <c r="BP9" s="218" t="s">
        <v>173</v>
      </c>
      <c r="BQ9" s="219"/>
      <c r="BR9" s="219"/>
      <c r="BS9" s="219"/>
      <c r="BT9" s="219"/>
      <c r="BU9" s="220"/>
    </row>
    <row r="10" spans="1:73" ht="15.75" thickBot="1" x14ac:dyDescent="0.3">
      <c r="A10" s="99">
        <v>4</v>
      </c>
      <c r="B10" s="100">
        <v>44359</v>
      </c>
      <c r="C10" s="99" t="s">
        <v>1</v>
      </c>
      <c r="D10" s="101">
        <v>0.875</v>
      </c>
      <c r="E10" s="102" t="s">
        <v>414</v>
      </c>
      <c r="F10" s="103" t="s">
        <v>415</v>
      </c>
      <c r="G10" s="104"/>
      <c r="H10" s="132">
        <v>2</v>
      </c>
      <c r="I10" s="132">
        <v>0</v>
      </c>
      <c r="J10" s="104"/>
      <c r="K10" s="115" t="s">
        <v>111</v>
      </c>
      <c r="L10" s="35">
        <f t="shared" si="0"/>
        <v>1</v>
      </c>
      <c r="M10" s="37"/>
      <c r="N10" s="37"/>
      <c r="O10" s="136" t="s">
        <v>141</v>
      </c>
      <c r="P10" s="136" t="s">
        <v>30</v>
      </c>
      <c r="Q10" s="136" t="s">
        <v>36</v>
      </c>
      <c r="R10" s="136" t="s">
        <v>31</v>
      </c>
      <c r="S10" s="136" t="s">
        <v>32</v>
      </c>
      <c r="T10" s="136" t="s">
        <v>4</v>
      </c>
      <c r="U10" s="136" t="s">
        <v>33</v>
      </c>
      <c r="V10" s="136" t="s">
        <v>34</v>
      </c>
      <c r="W10" s="136" t="s">
        <v>35</v>
      </c>
      <c r="X10" s="136" t="s">
        <v>41</v>
      </c>
      <c r="Y10" s="154"/>
      <c r="Z10" s="30"/>
      <c r="AA10" s="29"/>
      <c r="AB10" s="72" t="s">
        <v>59</v>
      </c>
      <c r="AC10" s="12" t="s">
        <v>30</v>
      </c>
      <c r="AD10" s="12" t="s">
        <v>60</v>
      </c>
      <c r="AE10" s="12" t="s">
        <v>31</v>
      </c>
      <c r="AF10" s="12" t="s">
        <v>32</v>
      </c>
      <c r="AG10" s="12" t="s">
        <v>4</v>
      </c>
      <c r="AH10" s="12" t="s">
        <v>33</v>
      </c>
      <c r="AI10" s="12" t="s">
        <v>34</v>
      </c>
      <c r="AJ10" s="12" t="s">
        <v>35</v>
      </c>
      <c r="AK10" s="12" t="s">
        <v>41</v>
      </c>
      <c r="AL10" s="12" t="s">
        <v>61</v>
      </c>
      <c r="AM10" s="148" t="s">
        <v>59</v>
      </c>
      <c r="AN10" s="34"/>
      <c r="AO10" s="151">
        <f t="shared" si="2"/>
        <v>6</v>
      </c>
      <c r="AP10" s="11" t="s">
        <v>5</v>
      </c>
      <c r="AQ10" s="11" t="str">
        <f>IF(SUM(AE35:AE38)=12,VLOOKUP(3,$AB$35:$AL$38,2,FALSE),"3F")</f>
        <v>Francia</v>
      </c>
      <c r="AR10" s="11">
        <f>IF(SUM($AE$35:$AE$38)=12,VLOOKUP(3,$AB$35:$AL$38,3,FALSE),"3F")</f>
        <v>2</v>
      </c>
      <c r="AS10" s="11">
        <f>IF(SUM($AE$35:$AE$38)=12,VLOOKUP(3,$AB$35:$AL$38,4,FALSE),"3F")</f>
        <v>3</v>
      </c>
      <c r="AT10" s="11">
        <f>IF(SUM($AE$35:$AE$38)=12,VLOOKUP(3,$AB$35:$AL$38,5,FALSE),"3F")</f>
        <v>0</v>
      </c>
      <c r="AU10" s="11">
        <f>IF(SUM($AE$35:$AE$38)=12,VLOOKUP(3,$AB$35:$AL$38,6,FALSE),"3F")</f>
        <v>2</v>
      </c>
      <c r="AV10" s="11">
        <f>IF(SUM($AE$35:$AE$38)=12,VLOOKUP(3,$AB$35:$AL$38,7,FALSE),"3F")</f>
        <v>1</v>
      </c>
      <c r="AW10" s="11">
        <f>IF(SUM($AE$35:$AE$38)=12,VLOOKUP(3,$AB$35:$AL$38,8,FALSE),"3F")</f>
        <v>3</v>
      </c>
      <c r="AX10" s="11">
        <f>IF(SUM($AE$35:$AE$38)=12,VLOOKUP(3,$AB$35:$AL$38,9,FALSE),"3F")</f>
        <v>25</v>
      </c>
      <c r="AY10" s="11">
        <f>IF(SUM($AE$35:$AE$38)=12,VLOOKUP(3,$AB$35:$AL$38,10,FALSE),"3F")</f>
        <v>-22</v>
      </c>
      <c r="AZ10" s="11">
        <f>IFERROR(IF(AS10=0,-($BE$11*VLOOKUP(AQ10,Tabla3[[Selección]:[Ranking]],2,FALSE)),(AR10*$BE$6)+(AY10*$BE$7)+((AW10-AX10)*$BE$10)+(AW10*$BE$9)-($BE$11*VLOOKUP(AQ10,Tabla3[[Selección]:[Ranking]],2,FALSE))),"RANK-3A")</f>
        <v>1780002977994</v>
      </c>
      <c r="BA10" s="152">
        <f t="shared" si="3"/>
        <v>6</v>
      </c>
      <c r="BB10" s="34"/>
      <c r="BC10" s="34"/>
      <c r="BD10" s="84" t="s">
        <v>318</v>
      </c>
      <c r="BE10" s="85">
        <f>BE11*1000</f>
        <v>1000</v>
      </c>
      <c r="BG10" s="72" t="s">
        <v>30</v>
      </c>
      <c r="BH10" s="70" t="s">
        <v>175</v>
      </c>
      <c r="BI10" s="73" t="s">
        <v>178</v>
      </c>
      <c r="BJ10" s="71" t="s">
        <v>177</v>
      </c>
      <c r="BK10" s="70" t="s">
        <v>171</v>
      </c>
      <c r="BL10" s="74" t="str">
        <f>BG11</f>
        <v>Dinamarca</v>
      </c>
      <c r="BM10" s="75" t="str">
        <f>BG12</f>
        <v>Finlandia</v>
      </c>
      <c r="BN10" s="75" t="str">
        <f>BG13</f>
        <v>Bélgica</v>
      </c>
      <c r="BO10" s="76" t="str">
        <f>BG14</f>
        <v>Rusia</v>
      </c>
      <c r="BP10" s="70" t="s">
        <v>177</v>
      </c>
      <c r="BQ10" s="70" t="s">
        <v>171</v>
      </c>
      <c r="BR10" s="74" t="str">
        <f>BL10</f>
        <v>Dinamarca</v>
      </c>
      <c r="BS10" s="75" t="str">
        <f t="shared" ref="BS10" si="7">BM10</f>
        <v>Finlandia</v>
      </c>
      <c r="BT10" s="75" t="str">
        <f t="shared" ref="BT10" si="8">BN10</f>
        <v>Bélgica</v>
      </c>
      <c r="BU10" s="76" t="str">
        <f t="shared" ref="BU10" si="9">BO10</f>
        <v>Rusia</v>
      </c>
    </row>
    <row r="11" spans="1:73" x14ac:dyDescent="0.25">
      <c r="A11" s="99">
        <v>15</v>
      </c>
      <c r="B11" s="100">
        <v>44363</v>
      </c>
      <c r="C11" s="99" t="s">
        <v>1</v>
      </c>
      <c r="D11" s="101">
        <v>0.625</v>
      </c>
      <c r="E11" s="102" t="s">
        <v>414</v>
      </c>
      <c r="F11" s="103" t="s">
        <v>188</v>
      </c>
      <c r="G11" s="104"/>
      <c r="H11" s="132">
        <v>2</v>
      </c>
      <c r="I11" s="132">
        <v>0</v>
      </c>
      <c r="J11" s="104"/>
      <c r="K11" s="115" t="s">
        <v>111</v>
      </c>
      <c r="L11" s="35">
        <f t="shared" si="0"/>
        <v>1</v>
      </c>
      <c r="M11" s="37"/>
      <c r="N11" s="39"/>
      <c r="O11" s="142">
        <f ca="1">VLOOKUP(P11,$AC$11:$AM$14,11,FALSE)</f>
        <v>1</v>
      </c>
      <c r="P11" s="139" t="str">
        <f ca="1">OFFSET(AC11,MATCH(SMALL(AB11:AB14,ROW()-ROW(AB11)+1),AB11:AB14,0)-1,0)</f>
        <v>Dinamarca</v>
      </c>
      <c r="Q11" s="140">
        <f ca="1">VLOOKUP(P11,AC11:AL14,2,FALSE)</f>
        <v>6</v>
      </c>
      <c r="R11" s="139">
        <f ca="1">VLOOKUP(P11,AC11:AL14,3,FALSE)</f>
        <v>3</v>
      </c>
      <c r="S11" s="139">
        <f ca="1">VLOOKUP(P11,AC11:AL14,4,FALSE)</f>
        <v>2</v>
      </c>
      <c r="T11" s="139">
        <f ca="1">VLOOKUP(P11,AC11:AL14,5,FALSE)</f>
        <v>0</v>
      </c>
      <c r="U11" s="139">
        <f ca="1">VLOOKUP(P11,AC11:AL14,6,FALSE)</f>
        <v>1</v>
      </c>
      <c r="V11" s="139">
        <f ca="1">VLOOKUP(P11,AC11:AL14,7,FALSE)</f>
        <v>4</v>
      </c>
      <c r="W11" s="139">
        <f ca="1">VLOOKUP(P11,AC11:AL14,8,FALSE)</f>
        <v>2</v>
      </c>
      <c r="X11" s="141">
        <f ca="1">VLOOKUP(P11,AC11:AL14,9,FALSE)</f>
        <v>2</v>
      </c>
      <c r="Y11" s="154">
        <f t="shared" ref="Y11:Y14" ca="1" si="10">IF(R11=3,MIN(ABS(Z10-Z11),ABS(Z11-Z12)),100)</f>
        <v>202000013</v>
      </c>
      <c r="Z11" s="30">
        <f ca="1">VLOOKUP(P11,$AC$11:$AL$14,10,FALSE)</f>
        <v>6000307001976</v>
      </c>
      <c r="AB11" s="149">
        <f>RANK(AL11,$AL$11:$AL$14)</f>
        <v>1</v>
      </c>
      <c r="AC11" s="10" t="s">
        <v>182</v>
      </c>
      <c r="AD11" s="10">
        <f>AF11*3+AG11*1+AH11*0</f>
        <v>6</v>
      </c>
      <c r="AE11" s="10">
        <f>COUNTIFS($F$9:$F$14,AC11,$H$9:$H$14,"&lt;&gt;")+COUNTIFS($K$9:$K$14,AC11,$I$9:$I$14,"&lt;&gt;")</f>
        <v>3</v>
      </c>
      <c r="AF11" s="10">
        <f t="array" ref="AF11">SUM((F$9:F$14=AC11)*(H$9:H$14&lt;&gt;"")*(I$9:I$14&lt;&gt;"")*(H$9:H$14&gt;I$9:I$14),(K$9:K$14=AC11)*(H$9:H$14&lt;&gt;"")*(I$9:I$14&lt;&gt;"")*(H$9:H$14&lt;I$9:I$14))</f>
        <v>2</v>
      </c>
      <c r="AG11" s="10">
        <f t="array" ref="AG11">SUM((F$9:F$14=AC11)*(H$9:H$14&lt;&gt;"")*(H$9:H$14=I$9:I$14),(K$9:K$14=AC11)*(I$9:I$14&lt;&gt;"")*(H$9:H$14=I$9:I$14))</f>
        <v>0</v>
      </c>
      <c r="AH11" s="10">
        <f t="array" ref="AH11">SUM((F$9:F$14=AC11)*(I$9:I$14&lt;&gt;"")*(H$9:H$14&lt;&gt;"")*(H$9:H$14&lt;I$9:I$14),(H$9:H$14&lt;&gt;"")*(K$9:K$14=AC11)*(I$9:I$14&lt;&gt;"")*(H$9:H$14&gt;I$9:I$14))</f>
        <v>1</v>
      </c>
      <c r="AI11" s="10">
        <f t="array" ref="AI11">SUMIFS($H$9:$H$14,$F$9:$F$14,AC11)+SUMIFS($I$9:$I$14,$K$9:$K$14,AC11)</f>
        <v>4</v>
      </c>
      <c r="AJ11" s="10">
        <f t="array" ref="AJ11">SUMIFS($H$9:$H$14,$K$9:$K$14,AC11)+SUMIFS($I$9:$I$14,$F$9:$F$14,AC11)</f>
        <v>2</v>
      </c>
      <c r="AK11" s="10">
        <f>AI11-AJ11</f>
        <v>2</v>
      </c>
      <c r="AL11" s="10">
        <f>IF(AE11=0,-($BE$11*VLOOKUP(AC11,Tabla3[[Selección]:[Ranking]],2,FALSE)),(AD11*$BE$6)+BI11+(AI11*$BE$9)+((AI11-AJ11)*$BE$10)-($BE$11*VLOOKUP(AC11,Tabla3[[Selección]:[Ranking]],2,FALSE)))</f>
        <v>6000307001976</v>
      </c>
      <c r="AM11" s="150">
        <f>AB11</f>
        <v>1</v>
      </c>
      <c r="AN11" s="34"/>
      <c r="AO11" s="146" t="s">
        <v>87</v>
      </c>
      <c r="AP11" s="147"/>
      <c r="AQ11" s="147"/>
      <c r="AR11" s="147"/>
      <c r="AS11" s="34"/>
      <c r="AT11" s="34"/>
      <c r="AU11" s="34"/>
      <c r="AV11" s="34"/>
      <c r="AW11" s="34"/>
      <c r="AX11" s="34"/>
      <c r="AY11" s="34"/>
      <c r="AZ11" s="34"/>
      <c r="BA11" s="34"/>
      <c r="BB11" s="34"/>
      <c r="BC11" s="34"/>
      <c r="BD11" s="182" t="s">
        <v>168</v>
      </c>
      <c r="BE11" s="183">
        <v>1</v>
      </c>
      <c r="BG11" s="77" t="str">
        <f>AC11</f>
        <v>Dinamarca</v>
      </c>
      <c r="BH11" s="10">
        <f>COUNTIF(AD11:AD14,AD11)</f>
        <v>2</v>
      </c>
      <c r="BI11" s="56">
        <f>(BJ11*$BE$9)+(BP11*$BE$8)</f>
        <v>303000000</v>
      </c>
      <c r="BJ11" s="62">
        <f>RANK(BK11,BK11:BK14,1)</f>
        <v>3</v>
      </c>
      <c r="BK11" s="62">
        <f>SUM(IF(AD11=AD12,BM11,0),IF(AD11=AD13,BN11,0),IF(AD11=AD14,BO11,0))</f>
        <v>2</v>
      </c>
      <c r="BL11" s="67">
        <v>0</v>
      </c>
      <c r="BM11" s="58">
        <f>H10</f>
        <v>2</v>
      </c>
      <c r="BN11" s="58">
        <f>H12</f>
        <v>2</v>
      </c>
      <c r="BO11" s="59">
        <f>I14</f>
        <v>0</v>
      </c>
      <c r="BP11" s="62">
        <f>RANK(BQ11,BQ11:BQ14,1)</f>
        <v>3</v>
      </c>
      <c r="BQ11" s="62">
        <f>SUM(IF(AD11=AD12,BS11,0),IF(AD11=AD13,BT11,0),IF(AD11=AD14,BU11,0))</f>
        <v>2</v>
      </c>
      <c r="BR11" s="64">
        <v>0</v>
      </c>
      <c r="BS11" s="58">
        <f>BM11-BL12</f>
        <v>2</v>
      </c>
      <c r="BT11" s="58">
        <f>BN11-BL13</f>
        <v>2</v>
      </c>
      <c r="BU11" s="59">
        <f>BO11-BL14</f>
        <v>-2</v>
      </c>
    </row>
    <row r="12" spans="1:73" x14ac:dyDescent="0.25">
      <c r="A12" s="99">
        <v>16</v>
      </c>
      <c r="B12" s="100">
        <v>44364</v>
      </c>
      <c r="C12" s="99" t="s">
        <v>1</v>
      </c>
      <c r="D12" s="101">
        <v>0.75</v>
      </c>
      <c r="E12" s="102" t="s">
        <v>413</v>
      </c>
      <c r="F12" s="103" t="s">
        <v>182</v>
      </c>
      <c r="G12" s="104"/>
      <c r="H12" s="132">
        <v>2</v>
      </c>
      <c r="I12" s="132">
        <v>0</v>
      </c>
      <c r="J12" s="104"/>
      <c r="K12" s="115" t="s">
        <v>415</v>
      </c>
      <c r="L12" s="35">
        <f t="shared" si="0"/>
        <v>1</v>
      </c>
      <c r="M12" s="37"/>
      <c r="N12" s="39"/>
      <c r="O12" s="142">
        <f ca="1">VLOOKUP(P12,$AC$11:$AM$14,11,FALSE)</f>
        <v>2</v>
      </c>
      <c r="P12" s="139" t="str">
        <f ca="1">OFFSET(AC11,MATCH(SMALL(AB11:AB14,ROW()-ROW(AB11)+1),AB11:AB14,0)-1,0)</f>
        <v>Finlandia</v>
      </c>
      <c r="Q12" s="140">
        <f ca="1">VLOOKUP(P12,AC11:AL14,2,FALSE)</f>
        <v>6</v>
      </c>
      <c r="R12" s="139">
        <f ca="1">VLOOKUP(P12,AC11:AL14,3,FALSE)</f>
        <v>3</v>
      </c>
      <c r="S12" s="139">
        <f ca="1">VLOOKUP(P12,AC11:AL14,4,FALSE)</f>
        <v>2</v>
      </c>
      <c r="T12" s="139">
        <f ca="1">VLOOKUP(P12,AC11:AL14,5,FALSE)</f>
        <v>0</v>
      </c>
      <c r="U12" s="139">
        <f ca="1">VLOOKUP(P12,AC11:AL14,6,FALSE)</f>
        <v>1</v>
      </c>
      <c r="V12" s="139">
        <f ca="1">VLOOKUP(P12,AC11:AL14,7,FALSE)</f>
        <v>4</v>
      </c>
      <c r="W12" s="139">
        <f ca="1">VLOOKUP(P12,AC11:AL14,8,FALSE)</f>
        <v>2</v>
      </c>
      <c r="X12" s="141">
        <f ca="1">VLOOKUP(P12,AC11:AL14,9,FALSE)</f>
        <v>2</v>
      </c>
      <c r="Y12" s="154">
        <f t="shared" ca="1" si="10"/>
        <v>202000013</v>
      </c>
      <c r="Z12" s="30">
        <f t="shared" ref="Z12:Z14" ca="1" si="11">VLOOKUP(P12,$AC$11:$AL$14,10,FALSE)</f>
        <v>6000105001963</v>
      </c>
      <c r="AB12" s="149">
        <f>RANK(AL12,$AL$11:$AL$14)</f>
        <v>2</v>
      </c>
      <c r="AC12" s="10" t="s">
        <v>188</v>
      </c>
      <c r="AD12" s="10">
        <f>AF12*3+AG12*1+AH12*0</f>
        <v>6</v>
      </c>
      <c r="AE12" s="10">
        <f>COUNTIFS($F$9:$F$14,AC12,$H$9:$H$14,"&lt;&gt;")+COUNTIFS($K$9:$K$14,AC12,$I$9:$I$14,"&lt;&gt;")</f>
        <v>3</v>
      </c>
      <c r="AF12" s="10">
        <f t="array" ref="AF12">SUM((F$9:F$14=AC12)*(H$9:H$14&lt;&gt;"")*(I$9:I$14&lt;&gt;"")*(H$9:H$14&gt;I$9:I$14),(K$9:K$14=AC12)*(H$9:H$14&lt;&gt;"")*(I$9:I$14&lt;&gt;"")*(H$9:H$14&lt;I$9:I$14))</f>
        <v>2</v>
      </c>
      <c r="AG12" s="10">
        <f t="array" ref="AG12">SUM((F$9:F$14=AC12)*(H$9:H$14&lt;&gt;"")*(H$9:H$14=I$9:I$14),(K$9:K$14=AC12)*(I$9:I$14&lt;&gt;"")*(H$9:H$14=I$9:I$14))</f>
        <v>0</v>
      </c>
      <c r="AH12" s="10">
        <f t="array" ref="AH12">SUM((F$9:F$14=AC12)*(I$9:I$14&lt;&gt;"")*(H$9:H$14&lt;&gt;"")*(H$9:H$14&lt;I$9:I$14),(H$9:H$14&lt;&gt;"")*(K$9:K$14=AC12)*(I$9:I$14&lt;&gt;"")*(H$9:H$14&gt;I$9:I$14))</f>
        <v>1</v>
      </c>
      <c r="AI12" s="10">
        <f t="array" ref="AI12">SUMIFS($H$9:$H$14,$F$9:$F$14,AC12)+SUMIFS($I$9:$I$14,$K$9:$K$14,AC12)</f>
        <v>4</v>
      </c>
      <c r="AJ12" s="10">
        <f t="array" ref="AJ12">SUMIFS($H$9:$H$14,$K$9:$K$14,AC12)+SUMIFS($I$9:$I$14,$F$9:$F$14,AC12)</f>
        <v>2</v>
      </c>
      <c r="AK12" s="10">
        <f>AI12-AJ12</f>
        <v>2</v>
      </c>
      <c r="AL12" s="10">
        <f>IF(AE12=0,-($BE$11*VLOOKUP(AC12,Tabla3[[Selección]:[Ranking]],2,FALSE)),(AD12*$BE$6)+BI12+(AI12*$BE$9)+((AI12-AJ12)*$BE$10)-($BE$11*VLOOKUP(AC12,Tabla3[[Selección]:[Ranking]],2,FALSE)))</f>
        <v>6000105001963</v>
      </c>
      <c r="AM12" s="150">
        <f>AB12</f>
        <v>2</v>
      </c>
      <c r="AN12" s="34"/>
      <c r="AO12" s="10">
        <v>1</v>
      </c>
      <c r="AP12" s="10" t="str">
        <f>IFERROR(VLOOKUP(AO12,$AO$5:$AQ$10,3,),"1ºMejor3")</f>
        <v>Macedonia N</v>
      </c>
      <c r="AQ12" s="10" t="str">
        <f>IFERROR(VLOOKUP(AO12,$AO$5:$AQ$10,2,),"Grupo")</f>
        <v>C</v>
      </c>
      <c r="AR12" s="10">
        <f>COUNTIF($AQ$12:$AQ$15,"&lt;="&amp;AQ12)</f>
        <v>3</v>
      </c>
      <c r="AU12" s="34"/>
      <c r="AV12" s="34"/>
      <c r="AW12" s="34"/>
      <c r="AX12" s="34"/>
      <c r="AY12" s="34"/>
      <c r="AZ12" s="34"/>
      <c r="BA12" s="34"/>
      <c r="BB12" s="34"/>
      <c r="BC12" s="34"/>
      <c r="BD12" s="34"/>
      <c r="BG12" s="77" t="str">
        <f t="shared" ref="BG12:BG14" si="12">AC12</f>
        <v>Finlandia</v>
      </c>
      <c r="BH12" s="10">
        <f>COUNTIF(AD11:AD14,AD12)</f>
        <v>2</v>
      </c>
      <c r="BI12" s="56">
        <f>(BJ12*$BE$9)+(BP12*$BE$8)</f>
        <v>101000000</v>
      </c>
      <c r="BJ12" s="62">
        <f>RANK(BK12,BK11:BK14,1)</f>
        <v>1</v>
      </c>
      <c r="BK12" s="62">
        <f>SUM(IF(AD12=AD11,BL12,0),IF(AD12=AD13,BN12,0),IF(AD12=AD14,BO12,0))</f>
        <v>0</v>
      </c>
      <c r="BL12" s="57">
        <f>I10</f>
        <v>0</v>
      </c>
      <c r="BM12" s="68">
        <v>0</v>
      </c>
      <c r="BN12" s="58">
        <f>H13</f>
        <v>2</v>
      </c>
      <c r="BO12" s="59">
        <f>H11</f>
        <v>2</v>
      </c>
      <c r="BP12" s="62">
        <f>RANK(BQ12,BQ11:BQ14,1)</f>
        <v>1</v>
      </c>
      <c r="BQ12" s="62">
        <f>SUM(IF(AD12=AD11,BR12,0),IF(AD12=AD13,BT12,0),IF(AD12=AD14,BU12,0))</f>
        <v>-2</v>
      </c>
      <c r="BR12" s="57">
        <f>BL12-BM11</f>
        <v>-2</v>
      </c>
      <c r="BS12" s="65">
        <v>0</v>
      </c>
      <c r="BT12" s="58">
        <f>BN12-BM13</f>
        <v>2</v>
      </c>
      <c r="BU12" s="59">
        <f>BO12-BM14</f>
        <v>2</v>
      </c>
    </row>
    <row r="13" spans="1:73" x14ac:dyDescent="0.25">
      <c r="A13" s="99">
        <v>27</v>
      </c>
      <c r="B13" s="100">
        <v>44368</v>
      </c>
      <c r="C13" s="99" t="s">
        <v>1</v>
      </c>
      <c r="D13" s="101">
        <v>0.875</v>
      </c>
      <c r="E13" s="102" t="s">
        <v>413</v>
      </c>
      <c r="F13" s="103" t="s">
        <v>111</v>
      </c>
      <c r="G13" s="104"/>
      <c r="H13" s="132">
        <v>2</v>
      </c>
      <c r="I13" s="132">
        <v>0</v>
      </c>
      <c r="J13" s="104"/>
      <c r="K13" s="115" t="s">
        <v>182</v>
      </c>
      <c r="L13" s="35">
        <f t="shared" si="0"/>
        <v>1</v>
      </c>
      <c r="M13" s="37"/>
      <c r="N13" s="39"/>
      <c r="O13" s="142">
        <f ca="1">VLOOKUP(P13,$AC$11:$AM$14,11,FALSE)</f>
        <v>3</v>
      </c>
      <c r="P13" s="139" t="str">
        <f ca="1">OFFSET(AC11,MATCH(SMALL(AB11:AB14,ROW()-ROW(AB11)+1),AB11:AB14,0)-1,0)</f>
        <v>Bélgica</v>
      </c>
      <c r="Q13" s="140">
        <f ca="1">VLOOKUP(P13,AC11:AL14,2,FALSE)</f>
        <v>3</v>
      </c>
      <c r="R13" s="139">
        <f ca="1">VLOOKUP(P13,AC11:AL14,3,FALSE)</f>
        <v>3</v>
      </c>
      <c r="S13" s="139">
        <f ca="1">VLOOKUP(P13,AC11:AL14,4,FALSE)</f>
        <v>1</v>
      </c>
      <c r="T13" s="139">
        <f ca="1">VLOOKUP(P13,AC11:AL14,5,FALSE)</f>
        <v>0</v>
      </c>
      <c r="U13" s="139">
        <f ca="1">VLOOKUP(P13,AC11:AL14,6,FALSE)</f>
        <v>2</v>
      </c>
      <c r="V13" s="139">
        <f ca="1">VLOOKUP(P13,AC11:AL14,7,FALSE)</f>
        <v>2</v>
      </c>
      <c r="W13" s="139">
        <f ca="1">VLOOKUP(P13,AC11:AL14,8,FALSE)</f>
        <v>4</v>
      </c>
      <c r="X13" s="141">
        <f ca="1">VLOOKUP(P13,AC11:AL14,9,FALSE)</f>
        <v>-2</v>
      </c>
      <c r="Y13" s="154">
        <f t="shared" ca="1" si="10"/>
        <v>201999998</v>
      </c>
      <c r="Z13" s="30">
        <f t="shared" ca="1" si="11"/>
        <v>3000304997991</v>
      </c>
      <c r="AB13" s="149">
        <f>RANK(AL13,$AL$11:$AL$14)</f>
        <v>3</v>
      </c>
      <c r="AC13" s="10" t="s">
        <v>415</v>
      </c>
      <c r="AD13" s="10">
        <f>AF13*3+AG13*1+AH13*0</f>
        <v>3</v>
      </c>
      <c r="AE13" s="10">
        <f>COUNTIFS($F$9:$F$14,AC13,$H$9:$H$14,"&lt;&gt;")+COUNTIFS($K$9:$K$14,AC13,$I$9:$I$14,"&lt;&gt;")</f>
        <v>3</v>
      </c>
      <c r="AF13" s="10">
        <f t="array" ref="AF13">SUM((F$9:F$14=AC13)*(H$9:H$14&lt;&gt;"")*(I$9:I$14&lt;&gt;"")*(H$9:H$14&gt;I$9:I$14),(K$9:K$14=AC13)*(H$9:H$14&lt;&gt;"")*(I$9:I$14&lt;&gt;"")*(H$9:H$14&lt;I$9:I$14))</f>
        <v>1</v>
      </c>
      <c r="AG13" s="10">
        <f t="array" ref="AG13">SUM((F$9:F$14=AC13)*(H$9:H$14&lt;&gt;"")*(H$9:H$14=I$9:I$14),(K$9:K$14=AC13)*(I$9:I$14&lt;&gt;"")*(H$9:H$14=I$9:I$14))</f>
        <v>0</v>
      </c>
      <c r="AH13" s="10">
        <f t="array" ref="AH13">SUM((F$9:F$14=AC13)*(I$9:I$14&lt;&gt;"")*(H$9:H$14&lt;&gt;"")*(H$9:H$14&lt;I$9:I$14),(H$9:H$14&lt;&gt;"")*(K$9:K$14=AC13)*(I$9:I$14&lt;&gt;"")*(H$9:H$14&gt;I$9:I$14))</f>
        <v>2</v>
      </c>
      <c r="AI13" s="10">
        <f t="array" ref="AI13">SUMIFS($H$9:$H$14,$F$9:$F$14,AC13)+SUMIFS($I$9:$I$14,$K$9:$K$14,AC13)</f>
        <v>2</v>
      </c>
      <c r="AJ13" s="10">
        <f t="array" ref="AJ13">SUMIFS($H$9:$H$14,$K$9:$K$14,AC13)+SUMIFS($I$9:$I$14,$F$9:$F$14,AC13)</f>
        <v>4</v>
      </c>
      <c r="AK13" s="10">
        <f>AI13-AJ13</f>
        <v>-2</v>
      </c>
      <c r="AL13" s="10">
        <f>IF(AE13=0,-($BE$11*VLOOKUP(AC13,Tabla3[[Selección]:[Ranking]],2,FALSE)),(AD13*$BE$6)+BI13+(AI13*$BE$9)+((AI13-AJ13)*$BE$10)-($BE$11*VLOOKUP(AC13,Tabla3[[Selección]:[Ranking]],2,FALSE)))</f>
        <v>3000304997991</v>
      </c>
      <c r="AM13" s="150">
        <f>AB13</f>
        <v>3</v>
      </c>
      <c r="AN13" s="34"/>
      <c r="AO13" s="10">
        <v>2</v>
      </c>
      <c r="AP13" s="10" t="str">
        <f>IFERROR(VLOOKUP(AO13,$AO$5:$AQ$10,3,),"2ºMejor3")</f>
        <v>Suecia</v>
      </c>
      <c r="AQ13" s="10" t="str">
        <f>IFERROR(VLOOKUP(AO13,$AO$5:$AQ$10,2,),"Grupo")</f>
        <v>E</v>
      </c>
      <c r="AR13" s="10">
        <f>COUNTIF($AQ$12:$AQ$15,"&lt;="&amp;AQ13)</f>
        <v>4</v>
      </c>
      <c r="AU13" s="34"/>
      <c r="AV13" s="34"/>
      <c r="AW13" s="34"/>
      <c r="AX13" s="34"/>
      <c r="AY13" s="34"/>
      <c r="AZ13" s="34"/>
      <c r="BA13" s="34"/>
      <c r="BB13" s="34"/>
      <c r="BC13" s="34"/>
      <c r="BD13" s="34"/>
      <c r="BG13" s="77" t="str">
        <f t="shared" si="12"/>
        <v>Bélgica</v>
      </c>
      <c r="BH13" s="10">
        <f>COUNTIF(AD11:AD14,AD13)</f>
        <v>2</v>
      </c>
      <c r="BI13" s="56">
        <f>(BJ13*$BE$9)+(BP13*$BE$8)</f>
        <v>303000000</v>
      </c>
      <c r="BJ13" s="62">
        <f>RANK(BK13,BK11:BK14,1)</f>
        <v>3</v>
      </c>
      <c r="BK13" s="62">
        <f>SUM(IF(AD13=AD11,BL13,0),IF(AD13=AD12,BM13,0),IF(AD13=AD14,BO13,0))</f>
        <v>2</v>
      </c>
      <c r="BL13" s="57">
        <f>I12</f>
        <v>0</v>
      </c>
      <c r="BM13" s="58">
        <f>I13</f>
        <v>0</v>
      </c>
      <c r="BN13" s="68">
        <v>0</v>
      </c>
      <c r="BO13" s="59">
        <f>H9</f>
        <v>2</v>
      </c>
      <c r="BP13" s="62">
        <f>RANK(BQ13,BQ11:BQ14,1)</f>
        <v>3</v>
      </c>
      <c r="BQ13" s="62">
        <f>SUM(IF(AD13=AD11,BR13,0),IF(AD13=AD12,BS13,0),IF(AD13=AD14,BU13,0))</f>
        <v>2</v>
      </c>
      <c r="BR13" s="57">
        <f>BL13-BN11</f>
        <v>-2</v>
      </c>
      <c r="BS13" s="58">
        <f>BM13-BN12</f>
        <v>-2</v>
      </c>
      <c r="BT13" s="65">
        <v>0</v>
      </c>
      <c r="BU13" s="59">
        <f>BO13-BN14</f>
        <v>2</v>
      </c>
    </row>
    <row r="14" spans="1:73" ht="15.75" thickBot="1" x14ac:dyDescent="0.3">
      <c r="A14" s="105">
        <v>28</v>
      </c>
      <c r="B14" s="106">
        <v>44368</v>
      </c>
      <c r="C14" s="105" t="s">
        <v>1</v>
      </c>
      <c r="D14" s="107">
        <v>0.875</v>
      </c>
      <c r="E14" s="108" t="s">
        <v>414</v>
      </c>
      <c r="F14" s="109" t="s">
        <v>188</v>
      </c>
      <c r="G14" s="110"/>
      <c r="H14" s="132">
        <v>2</v>
      </c>
      <c r="I14" s="132">
        <v>0</v>
      </c>
      <c r="J14" s="110"/>
      <c r="K14" s="116" t="s">
        <v>415</v>
      </c>
      <c r="L14" s="35">
        <f t="shared" si="0"/>
        <v>1</v>
      </c>
      <c r="M14" s="38"/>
      <c r="N14" s="40"/>
      <c r="O14" s="142">
        <f ca="1">VLOOKUP(P14,$AC$11:$AM$14,11,FALSE)</f>
        <v>4</v>
      </c>
      <c r="P14" s="139" t="str">
        <f ca="1">OFFSET(AC11,MATCH(SMALL(AB11:AB14,ROW()-ROW(AB11)+1),AB11:AB14,0)-1,0)</f>
        <v>Rusia</v>
      </c>
      <c r="Q14" s="140">
        <f ca="1">VLOOKUP(P14,AC11:AL14,2,FALSE)</f>
        <v>3</v>
      </c>
      <c r="R14" s="139">
        <f ca="1">VLOOKUP(P14,AC11:AL14,3,FALSE)</f>
        <v>3</v>
      </c>
      <c r="S14" s="139">
        <f ca="1">VLOOKUP(P14,AC11:AL14,4,FALSE)</f>
        <v>1</v>
      </c>
      <c r="T14" s="139">
        <f ca="1">VLOOKUP(P14,AC11:AL14,5,FALSE)</f>
        <v>0</v>
      </c>
      <c r="U14" s="139">
        <f ca="1">VLOOKUP(P14,AC11:AL14,6,FALSE)</f>
        <v>2</v>
      </c>
      <c r="V14" s="139">
        <f ca="1">VLOOKUP(P14,AC11:AL14,7,FALSE)</f>
        <v>2</v>
      </c>
      <c r="W14" s="139">
        <f ca="1">VLOOKUP(P14,AC11:AL14,8,FALSE)</f>
        <v>4</v>
      </c>
      <c r="X14" s="141">
        <f ca="1">VLOOKUP(P14,AC11:AL14,9,FALSE)</f>
        <v>-2</v>
      </c>
      <c r="Y14" s="154">
        <f t="shared" ca="1" si="10"/>
        <v>201999998</v>
      </c>
      <c r="Z14" s="30">
        <f t="shared" ca="1" si="11"/>
        <v>3000102997993</v>
      </c>
      <c r="AB14" s="151">
        <f>RANK(AL14,$AL$11:$AL$14)</f>
        <v>4</v>
      </c>
      <c r="AC14" s="11" t="s">
        <v>111</v>
      </c>
      <c r="AD14" s="11">
        <f>AF14*3+AG14*1+AH14*0</f>
        <v>3</v>
      </c>
      <c r="AE14" s="11">
        <f>COUNTIFS($F$9:$F$14,AC14,$H$9:$H$14,"&lt;&gt;")+COUNTIFS($K$9:$K$14,AC14,$I$9:$I$14,"&lt;&gt;")</f>
        <v>3</v>
      </c>
      <c r="AF14" s="11">
        <f t="array" ref="AF14">SUM((F$9:F$14=AC14)*(H$9:H$14&lt;&gt;"")*(I$9:I$14&lt;&gt;"")*(H$9:H$14&gt;I$9:I$14),(K$9:K$14=AC14)*(H$9:H$14&lt;&gt;"")*(I$9:I$14&lt;&gt;"")*(H$9:H$14&lt;I$9:I$14))</f>
        <v>1</v>
      </c>
      <c r="AG14" s="11">
        <f t="array" ref="AG14">SUM((F$9:F$14=AC14)*(H$9:H$14&lt;&gt;"")*(H$9:H$14=I$9:I$14),(K$9:K$14=AC14)*(I$9:I$14&lt;&gt;"")*(H$9:H$14=I$9:I$14))</f>
        <v>0</v>
      </c>
      <c r="AH14" s="11">
        <f t="array" ref="AH14">SUM((F$9:F$14=AC14)*(I$9:I$14&lt;&gt;"")*(H$9:H$14&lt;&gt;"")*(H$9:H$14&lt;I$9:I$14),(H$9:H$14&lt;&gt;"")*(K$9:K$14=AC14)*(I$9:I$14&lt;&gt;"")*(H$9:H$14&gt;I$9:I$14))</f>
        <v>2</v>
      </c>
      <c r="AI14" s="11">
        <f t="array" ref="AI14">SUMIFS($H$9:$H$14,$F$9:$F$14,AC14)+SUMIFS($I$9:$I$14,$K$9:$K$14,AC14)</f>
        <v>2</v>
      </c>
      <c r="AJ14" s="11">
        <f t="array" ref="AJ14">SUMIFS($H$9:$H$14,$K$9:$K$14,AC14)+SUMIFS($I$9:$I$14,$F$9:$F$14,AC14)</f>
        <v>4</v>
      </c>
      <c r="AK14" s="11">
        <f>AI14-AJ14</f>
        <v>-2</v>
      </c>
      <c r="AL14" s="11">
        <f>IF(AE14=0,-($BE$11*VLOOKUP(AC14,Tabla3[[Selección]:[Ranking]],2,FALSE)),(AD14*$BE$6)+BI14+(AI14*$BE$9)+((AI14-AJ14)*$BE$10)-($BE$11*VLOOKUP(AC14,Tabla3[[Selección]:[Ranking]],2,FALSE)))</f>
        <v>3000102997993</v>
      </c>
      <c r="AM14" s="152">
        <f>AB14</f>
        <v>4</v>
      </c>
      <c r="AN14" s="34"/>
      <c r="AO14" s="10">
        <v>3</v>
      </c>
      <c r="AP14" s="10" t="str">
        <f>IFERROR(VLOOKUP(AO14,$AO$5:$AQ$10,3,),"3ºMejor3")</f>
        <v>Gales</v>
      </c>
      <c r="AQ14" s="10" t="str">
        <f>IFERROR(VLOOKUP(AO14,$AO$5:$AQ$10,2,),"Grupo")</f>
        <v>A</v>
      </c>
      <c r="AR14" s="10">
        <f>COUNTIF($AQ$12:$AQ$15,"&lt;="&amp;AQ14)</f>
        <v>1</v>
      </c>
      <c r="AU14" s="34"/>
      <c r="AV14" s="34"/>
      <c r="AW14" s="34"/>
      <c r="AX14" s="34"/>
      <c r="AY14" s="34"/>
      <c r="AZ14" s="34"/>
      <c r="BA14" s="34"/>
      <c r="BB14" s="34"/>
      <c r="BC14" s="34"/>
      <c r="BD14" s="34"/>
      <c r="BG14" s="78" t="str">
        <f t="shared" si="12"/>
        <v>Rusia</v>
      </c>
      <c r="BH14" s="11">
        <f>COUNTIF(AD11:AD14,AD14)</f>
        <v>2</v>
      </c>
      <c r="BI14" s="79">
        <f>(BJ14*$BE$9)+(BP14*$BE$8)</f>
        <v>101000000</v>
      </c>
      <c r="BJ14" s="63">
        <f>RANK(BK14,BK11:BK14,1)</f>
        <v>1</v>
      </c>
      <c r="BK14" s="63">
        <f>SUM(IF(AD14=AD11,BL14,0),IF(AD14=AD12,BM14,0),IF(AD14=AD13,BN14,0))</f>
        <v>0</v>
      </c>
      <c r="BL14" s="60">
        <f>H14</f>
        <v>2</v>
      </c>
      <c r="BM14" s="61">
        <f>I11</f>
        <v>0</v>
      </c>
      <c r="BN14" s="61">
        <f>I9</f>
        <v>0</v>
      </c>
      <c r="BO14" s="69">
        <v>0</v>
      </c>
      <c r="BP14" s="63">
        <f>RANK(BQ14,BQ11:BQ14,1)</f>
        <v>1</v>
      </c>
      <c r="BQ14" s="63">
        <f>SUM(IF(AD14=AD11,BR14,0),IF(AD14=AD12,BS14,0),IF(AD14=AD13,BT14,0))</f>
        <v>-2</v>
      </c>
      <c r="BR14" s="60">
        <f>BL14-BO11</f>
        <v>2</v>
      </c>
      <c r="BS14" s="61">
        <f>BM14-BO12</f>
        <v>-2</v>
      </c>
      <c r="BT14" s="61">
        <f>BN14-BO13</f>
        <v>-2</v>
      </c>
      <c r="BU14" s="66">
        <v>0</v>
      </c>
    </row>
    <row r="15" spans="1:73" ht="15.75" thickBot="1" x14ac:dyDescent="0.3">
      <c r="A15" s="99">
        <v>5</v>
      </c>
      <c r="B15" s="100">
        <v>44360</v>
      </c>
      <c r="C15" s="99" t="s">
        <v>2</v>
      </c>
      <c r="D15" s="101">
        <v>0.75</v>
      </c>
      <c r="E15" s="102" t="s">
        <v>416</v>
      </c>
      <c r="F15" s="103" t="s">
        <v>113</v>
      </c>
      <c r="G15" s="104"/>
      <c r="H15" s="132">
        <v>3</v>
      </c>
      <c r="I15" s="132">
        <v>2</v>
      </c>
      <c r="J15" s="104"/>
      <c r="K15" s="115" t="s">
        <v>419</v>
      </c>
      <c r="L15" s="35">
        <f t="shared" si="0"/>
        <v>1</v>
      </c>
      <c r="M15" s="35"/>
      <c r="N15" s="35"/>
      <c r="O15" s="138" t="s">
        <v>147</v>
      </c>
      <c r="P15" s="138"/>
      <c r="Q15" s="138"/>
      <c r="R15" s="138"/>
      <c r="S15" s="138"/>
      <c r="T15" s="138"/>
      <c r="U15" s="138"/>
      <c r="V15" s="138"/>
      <c r="W15" s="138"/>
      <c r="X15" s="138"/>
      <c r="Y15" s="154"/>
      <c r="Z15" s="30"/>
      <c r="AB15" s="15" t="s">
        <v>153</v>
      </c>
      <c r="AC15" s="13"/>
      <c r="AD15" s="13"/>
      <c r="AE15" s="13"/>
      <c r="AF15" s="13"/>
      <c r="AG15" s="13"/>
      <c r="AH15" s="13"/>
      <c r="AI15" s="13"/>
      <c r="AJ15" s="13"/>
      <c r="AK15" s="13"/>
      <c r="AL15" s="13"/>
      <c r="AM15" s="16"/>
      <c r="AN15" s="34"/>
      <c r="AO15" s="10">
        <v>4</v>
      </c>
      <c r="AP15" s="10" t="str">
        <f>IFERROR(VLOOKUP(AO15,$AO$5:$AQ$10,3,),"4ºMejor3")</f>
        <v>Bélgica</v>
      </c>
      <c r="AQ15" s="10" t="str">
        <f>IFERROR(VLOOKUP(AO15,$AO$5:$AQ$10,2,),"Grupo")</f>
        <v>B</v>
      </c>
      <c r="AR15" s="10">
        <f>COUNTIF($AQ$12:$AQ$15,"&lt;="&amp;AQ15)</f>
        <v>2</v>
      </c>
      <c r="AU15" s="34"/>
      <c r="AV15" s="34"/>
      <c r="AW15" s="34"/>
      <c r="AX15" s="34"/>
      <c r="AY15" s="34"/>
      <c r="AZ15" s="34"/>
      <c r="BA15" s="34"/>
      <c r="BB15" s="34"/>
      <c r="BC15" s="34"/>
      <c r="BD15" s="34"/>
      <c r="BG15" s="80" t="str">
        <f>CONCATENATE(O15," - GOLAVERAGE")</f>
        <v>Grupo C - GOLAVERAGE</v>
      </c>
      <c r="BH15" s="81"/>
      <c r="BI15" s="81"/>
      <c r="BJ15" s="215" t="s">
        <v>174</v>
      </c>
      <c r="BK15" s="216"/>
      <c r="BL15" s="216"/>
      <c r="BM15" s="216"/>
      <c r="BN15" s="216"/>
      <c r="BO15" s="217"/>
      <c r="BP15" s="218" t="s">
        <v>173</v>
      </c>
      <c r="BQ15" s="219"/>
      <c r="BR15" s="219"/>
      <c r="BS15" s="219"/>
      <c r="BT15" s="219"/>
      <c r="BU15" s="220"/>
    </row>
    <row r="16" spans="1:73" x14ac:dyDescent="0.25">
      <c r="A16" s="99">
        <v>6</v>
      </c>
      <c r="B16" s="100">
        <v>44360</v>
      </c>
      <c r="C16" s="99" t="s">
        <v>2</v>
      </c>
      <c r="D16" s="101">
        <v>0.875</v>
      </c>
      <c r="E16" s="102" t="s">
        <v>417</v>
      </c>
      <c r="F16" s="103" t="s">
        <v>418</v>
      </c>
      <c r="G16" s="104"/>
      <c r="H16" s="132">
        <v>3</v>
      </c>
      <c r="I16" s="132">
        <v>1</v>
      </c>
      <c r="J16" s="104"/>
      <c r="K16" s="115" t="s">
        <v>115</v>
      </c>
      <c r="L16" s="35">
        <f t="shared" si="0"/>
        <v>1</v>
      </c>
      <c r="M16" s="35"/>
      <c r="N16" s="35"/>
      <c r="O16" s="136" t="s">
        <v>141</v>
      </c>
      <c r="P16" s="136" t="s">
        <v>30</v>
      </c>
      <c r="Q16" s="136" t="s">
        <v>36</v>
      </c>
      <c r="R16" s="136" t="s">
        <v>31</v>
      </c>
      <c r="S16" s="136" t="s">
        <v>32</v>
      </c>
      <c r="T16" s="136" t="s">
        <v>4</v>
      </c>
      <c r="U16" s="136" t="s">
        <v>33</v>
      </c>
      <c r="V16" s="136" t="s">
        <v>34</v>
      </c>
      <c r="W16" s="136" t="s">
        <v>35</v>
      </c>
      <c r="X16" s="136" t="s">
        <v>41</v>
      </c>
      <c r="Y16" s="154"/>
      <c r="Z16" s="30"/>
      <c r="AA16" s="29"/>
      <c r="AB16" s="72" t="s">
        <v>59</v>
      </c>
      <c r="AC16" s="12" t="s">
        <v>30</v>
      </c>
      <c r="AD16" s="12" t="s">
        <v>60</v>
      </c>
      <c r="AE16" s="12" t="s">
        <v>31</v>
      </c>
      <c r="AF16" s="12" t="s">
        <v>32</v>
      </c>
      <c r="AG16" s="12" t="s">
        <v>4</v>
      </c>
      <c r="AH16" s="12" t="s">
        <v>33</v>
      </c>
      <c r="AI16" s="12" t="s">
        <v>34</v>
      </c>
      <c r="AJ16" s="12" t="s">
        <v>35</v>
      </c>
      <c r="AK16" s="12" t="s">
        <v>41</v>
      </c>
      <c r="AL16" s="12" t="s">
        <v>61</v>
      </c>
      <c r="AM16" s="148" t="s">
        <v>59</v>
      </c>
      <c r="AN16" s="34"/>
      <c r="AO16" s="18" t="s">
        <v>88</v>
      </c>
      <c r="AP16" s="19"/>
      <c r="AQ16" s="19"/>
      <c r="AR16" s="19"/>
      <c r="AS16" s="34"/>
      <c r="AT16" s="34"/>
      <c r="AU16" s="34"/>
      <c r="AV16" s="34"/>
      <c r="AW16" s="34"/>
      <c r="AX16" s="34"/>
      <c r="AY16" s="34"/>
      <c r="AZ16" s="34"/>
      <c r="BA16" s="34"/>
      <c r="BB16" s="34"/>
      <c r="BC16" s="34"/>
      <c r="BD16" s="34"/>
      <c r="BG16" s="72" t="s">
        <v>30</v>
      </c>
      <c r="BH16" s="70" t="s">
        <v>175</v>
      </c>
      <c r="BI16" s="73" t="s">
        <v>178</v>
      </c>
      <c r="BJ16" s="71" t="s">
        <v>177</v>
      </c>
      <c r="BK16" s="70" t="s">
        <v>171</v>
      </c>
      <c r="BL16" s="74" t="str">
        <f>BG17</f>
        <v>Austria</v>
      </c>
      <c r="BM16" s="75" t="str">
        <f>BG18</f>
        <v>Macedonia N</v>
      </c>
      <c r="BN16" s="75" t="str">
        <f>BG19</f>
        <v>Países Bajos</v>
      </c>
      <c r="BO16" s="76" t="str">
        <f>BG20</f>
        <v>Ucrania</v>
      </c>
      <c r="BP16" s="70" t="s">
        <v>177</v>
      </c>
      <c r="BQ16" s="70" t="s">
        <v>171</v>
      </c>
      <c r="BR16" s="74" t="str">
        <f>BL16</f>
        <v>Austria</v>
      </c>
      <c r="BS16" s="75" t="str">
        <f t="shared" ref="BS16" si="13">BM16</f>
        <v>Macedonia N</v>
      </c>
      <c r="BT16" s="75" t="str">
        <f t="shared" ref="BT16" si="14">BN16</f>
        <v>Países Bajos</v>
      </c>
      <c r="BU16" s="76" t="str">
        <f t="shared" ref="BU16" si="15">BO16</f>
        <v>Ucrania</v>
      </c>
    </row>
    <row r="17" spans="1:338 8832:8832" x14ac:dyDescent="0.25">
      <c r="A17" s="99">
        <v>17</v>
      </c>
      <c r="B17" s="100">
        <v>44364</v>
      </c>
      <c r="C17" s="99" t="s">
        <v>2</v>
      </c>
      <c r="D17" s="101">
        <v>0.625</v>
      </c>
      <c r="E17" s="102" t="s">
        <v>416</v>
      </c>
      <c r="F17" s="103" t="s">
        <v>115</v>
      </c>
      <c r="G17" s="104"/>
      <c r="H17" s="132">
        <v>3</v>
      </c>
      <c r="I17" s="132">
        <v>3</v>
      </c>
      <c r="J17" s="104"/>
      <c r="K17" s="115" t="s">
        <v>419</v>
      </c>
      <c r="L17" s="35">
        <f t="shared" si="0"/>
        <v>1</v>
      </c>
      <c r="M17" s="35"/>
      <c r="N17" s="35"/>
      <c r="O17" s="139">
        <f ca="1">VLOOKUP(P17,$AC$17:$AM$20,11,FALSE)</f>
        <v>1</v>
      </c>
      <c r="P17" s="139" t="str">
        <f ca="1">OFFSET(AC17,MATCH(SMALL(AB17:AB20,ROW()-ROW(AB17)+1),AB17:AB20,0)-1,0)</f>
        <v>Países Bajos</v>
      </c>
      <c r="Q17" s="140">
        <f ca="1">VLOOKUP(P17,AC17:AL20,2,FALSE)</f>
        <v>6</v>
      </c>
      <c r="R17" s="139">
        <f ca="1">VLOOKUP(P17,AC17:AL20,3,FALSE)</f>
        <v>3</v>
      </c>
      <c r="S17" s="139">
        <f ca="1">VLOOKUP(P17,AC17:AL20,4,FALSE)</f>
        <v>2</v>
      </c>
      <c r="T17" s="139">
        <f ca="1">VLOOKUP(P17,AC17:AL20,5,FALSE)</f>
        <v>0</v>
      </c>
      <c r="U17" s="139">
        <f ca="1">VLOOKUP(P17,AC17:AL20,6,FALSE)</f>
        <v>1</v>
      </c>
      <c r="V17" s="139">
        <f ca="1">VLOOKUP(P17,AC17:AL20,7,FALSE)</f>
        <v>7</v>
      </c>
      <c r="W17" s="139">
        <f ca="1">VLOOKUP(P17,AC17:AL20,8,FALSE)</f>
        <v>6</v>
      </c>
      <c r="X17" s="139">
        <f ca="1">VLOOKUP(P17,AC17:AL20,9,FALSE)</f>
        <v>1</v>
      </c>
      <c r="Y17" s="154">
        <f ca="1">IF(R17=3,MIN(ABS(Z16-Z17),ABS(Z17-Z18)),100)</f>
        <v>1999796001006</v>
      </c>
      <c r="Z17" s="30">
        <f ca="1">VLOOKUP(P17,$AC$17:$AL$20,10,FALSE)</f>
        <v>6000208000990</v>
      </c>
      <c r="AB17" s="149">
        <f>RANK(AL17,$AL$17:$AL$20)</f>
        <v>2</v>
      </c>
      <c r="AC17" s="10" t="s">
        <v>113</v>
      </c>
      <c r="AD17" s="10">
        <f>AF17*3+AG17*1+AH17*0</f>
        <v>4</v>
      </c>
      <c r="AE17" s="10">
        <f>COUNTIFS($F$15:$F$20,AC17,$H$15:$H$20,"&lt;&gt;")+COUNTIFS($K$15:$K$20,AC17,$I$15:$I$20,"&lt;&gt;")</f>
        <v>3</v>
      </c>
      <c r="AF17" s="10">
        <f t="array" ref="AF17">SUM((F$15:F$20=AC17)*(H$15:H$20&lt;&gt;"")*(I$15:I$20&lt;&gt;"")*(H$15:H$20&gt;I$15:I$20),(K$15:K$20=AC17)*(H$15:H$20&lt;&gt;"")*(I$15:I$20&lt;&gt;"")*(H$15:H$20&lt;I$15:I$20))</f>
        <v>1</v>
      </c>
      <c r="AG17" s="10">
        <f t="array" ref="AG17">SUM((F$15:F$20=AC17)*(H$15:H$20&lt;&gt;"")*(H$15:H$20=I$15:I$20),(K$15:K$20=AC17)*(I$15:I$20&lt;&gt;"")*(H$15:H$20=I$15:I$20))</f>
        <v>1</v>
      </c>
      <c r="AH17" s="10">
        <f t="array" ref="AH17">SUM((F$15:F$20=AC17)*(I$15:I$20&lt;&gt;"")*(H$15:H$20&lt;&gt;"")*(H$15:H$20&lt;I$15:I$20),(H$15:H$20&lt;&gt;"")*(K$15:K$20=AC17)*(I$15:I$20&lt;&gt;"")*(H$15:H$20&gt;I$15:I$20))</f>
        <v>1</v>
      </c>
      <c r="AI17" s="10">
        <f t="array" ref="AI17">SUMIFS($H$15:$H$20,$F$15:$F$20,AC17)+SUMIFS($I$15:$I$20,$K$15:$K$20,AC17)</f>
        <v>8</v>
      </c>
      <c r="AJ17" s="10">
        <f t="array" ref="AJ17">SUMIFS($H$15:$H$20,$K$15:$K$20,AC17)+SUMIFS($I$15:$I$20,$F$15:$F$20,AC17)</f>
        <v>8</v>
      </c>
      <c r="AK17" s="10">
        <f>AI17-AJ17</f>
        <v>0</v>
      </c>
      <c r="AL17" s="10">
        <f>IF(AE17=0,-($BE$11*VLOOKUP(AC17,Tabla3[[Selección]:[Ranking]],2,FALSE)),(AD17*$BE$6)+BI17+(AI17*$BE$9)+((AI17-AJ17)*$BE$10)-($BE$11*VLOOKUP(AC17,Tabla3[[Selección]:[Ranking]],2,FALSE)))</f>
        <v>4000411999984</v>
      </c>
      <c r="AM17" s="150">
        <f>AB17</f>
        <v>2</v>
      </c>
      <c r="AN17" s="34"/>
      <c r="AO17" s="14">
        <v>1</v>
      </c>
      <c r="AP17" s="14" t="str">
        <f>IFERROR(INDEX($AQ$12:$AQ$15,MATCH(AO17,$AR$12:$AR$15,0)),"Grupo")</f>
        <v>A</v>
      </c>
      <c r="AR17" s="34"/>
      <c r="AS17" s="34"/>
      <c r="AT17" s="34"/>
      <c r="AU17" s="34"/>
      <c r="AV17" s="34"/>
      <c r="AW17" s="34"/>
      <c r="AX17" s="34"/>
      <c r="AY17" s="34"/>
      <c r="AZ17" s="34"/>
      <c r="BA17" s="34"/>
      <c r="BB17" s="34"/>
      <c r="BC17" s="34"/>
      <c r="BD17" s="34"/>
      <c r="BG17" s="77" t="str">
        <f>AC17</f>
        <v>Austria</v>
      </c>
      <c r="BH17" s="10">
        <f>COUNTIF(AD17:AD20,AD17)</f>
        <v>2</v>
      </c>
      <c r="BI17" s="56">
        <f>(BJ17*$BE$9)+(BP17*$BE$8)</f>
        <v>404000000</v>
      </c>
      <c r="BJ17" s="62">
        <f>RANK(BK17,BK17:BK20,1)</f>
        <v>4</v>
      </c>
      <c r="BK17" s="62">
        <f>SUM(IF(AD17=AD18,BM17,0),IF(AD17=AD19,BN17,0),IF(AD17=AD20,BO17,0))</f>
        <v>3</v>
      </c>
      <c r="BL17" s="67">
        <v>0</v>
      </c>
      <c r="BM17" s="58">
        <f>H16</f>
        <v>3</v>
      </c>
      <c r="BN17" s="58">
        <f>H18</f>
        <v>3</v>
      </c>
      <c r="BO17" s="59">
        <f>I20</f>
        <v>3</v>
      </c>
      <c r="BP17" s="62">
        <f>RANK(BQ17,BQ17:BQ20,1)</f>
        <v>4</v>
      </c>
      <c r="BQ17" s="62">
        <f>SUM(IF(AD17=AD18,BS17,0),IF(AD17=AD19,BT17,0),IF(AD17=AD20,BU17,0))</f>
        <v>2</v>
      </c>
      <c r="BR17" s="64">
        <v>0</v>
      </c>
      <c r="BS17" s="58">
        <f>BM17-BL18</f>
        <v>2</v>
      </c>
      <c r="BT17" s="58">
        <f>BN17-BL19</f>
        <v>1</v>
      </c>
      <c r="BU17" s="59">
        <f>BO17-BL20</f>
        <v>0</v>
      </c>
    </row>
    <row r="18" spans="1:338 8832:8832" x14ac:dyDescent="0.25">
      <c r="A18" s="99">
        <v>18</v>
      </c>
      <c r="B18" s="100">
        <v>44364</v>
      </c>
      <c r="C18" s="99" t="s">
        <v>2</v>
      </c>
      <c r="D18" s="101">
        <v>0.875</v>
      </c>
      <c r="E18" s="102" t="s">
        <v>417</v>
      </c>
      <c r="F18" s="103" t="s">
        <v>418</v>
      </c>
      <c r="G18" s="104"/>
      <c r="H18" s="132">
        <v>3</v>
      </c>
      <c r="I18" s="132">
        <v>2</v>
      </c>
      <c r="J18" s="104"/>
      <c r="K18" s="115" t="s">
        <v>113</v>
      </c>
      <c r="L18" s="35">
        <f t="shared" si="0"/>
        <v>1</v>
      </c>
      <c r="M18" s="35"/>
      <c r="N18" s="35"/>
      <c r="O18" s="139">
        <f ca="1">VLOOKUP(P18,$AC$17:$AM$20,11,FALSE)</f>
        <v>2</v>
      </c>
      <c r="P18" s="139" t="str">
        <f ca="1">OFFSET(AC17,MATCH(SMALL(AB17:AB20,ROW()-ROW(AB17)+1),AB17:AB20,0)-1,0)</f>
        <v>Austria</v>
      </c>
      <c r="Q18" s="140">
        <f ca="1">VLOOKUP(P18,AC17:AL20,2,FALSE)</f>
        <v>4</v>
      </c>
      <c r="R18" s="139">
        <f ca="1">VLOOKUP(P18,AC17:AL20,3,FALSE)</f>
        <v>3</v>
      </c>
      <c r="S18" s="139">
        <f ca="1">VLOOKUP(P18,AC17:AL20,4,FALSE)</f>
        <v>1</v>
      </c>
      <c r="T18" s="139">
        <f ca="1">VLOOKUP(P18,AC17:AL20,5,FALSE)</f>
        <v>1</v>
      </c>
      <c r="U18" s="139">
        <f ca="1">VLOOKUP(P18,AC17:AL20,6,FALSE)</f>
        <v>1</v>
      </c>
      <c r="V18" s="139">
        <f ca="1">VLOOKUP(P18,AC17:AL20,7,FALSE)</f>
        <v>8</v>
      </c>
      <c r="W18" s="139">
        <f ca="1">VLOOKUP(P18,AC17:AL20,8,FALSE)</f>
        <v>8</v>
      </c>
      <c r="X18" s="139">
        <f ca="1">VLOOKUP(P18,AC17:AL20,9,FALSE)</f>
        <v>0</v>
      </c>
      <c r="Y18" s="154">
        <f t="shared" ref="Y18:Y20" ca="1" si="16">IF(R18=3,MIN(ABS(Z17-Z18),ABS(Z18-Z19)),100)</f>
        <v>300999024</v>
      </c>
      <c r="Z18" s="30">
        <f t="shared" ref="Z18:Z20" ca="1" si="17">VLOOKUP(P18,$AC$17:$AL$20,10,FALSE)</f>
        <v>4000411999984</v>
      </c>
      <c r="AB18" s="149">
        <f>RANK(AL18,$AL$17:$AL$20)</f>
        <v>3</v>
      </c>
      <c r="AC18" s="10" t="s">
        <v>419</v>
      </c>
      <c r="AD18" s="10">
        <f>AF18*3+AG18*1+AH18*0</f>
        <v>4</v>
      </c>
      <c r="AE18" s="10">
        <f>COUNTIFS($F$15:$F$20,AC18,$H$15:$H$20,"&lt;&gt;")+COUNTIFS($K$15:$K$20,AC18,$I$15:$I$20,"&lt;&gt;")</f>
        <v>3</v>
      </c>
      <c r="AF18" s="10">
        <f t="array" ref="AF18">SUM((F$15:F$20=AC18)*(H$15:H$20&lt;&gt;"")*(I$15:I$20&lt;&gt;"")*(H$15:H$20&gt;I$15:I$20),(K$15:K$20=AC18)*(H$15:H$20&lt;&gt;"")*(I$15:I$20&lt;&gt;"")*(H$15:H$20&lt;I$15:I$20))</f>
        <v>1</v>
      </c>
      <c r="AG18" s="10">
        <f t="array" ref="AG18">SUM((F$15:F$20=AC18)*(H$15:H$20&lt;&gt;"")*(H$15:H$20=I$15:I$20),(K$15:K$20=AC18)*(I$15:I$20&lt;&gt;"")*(H$15:H$20=I$15:I$20))</f>
        <v>1</v>
      </c>
      <c r="AH18" s="10">
        <f t="array" ref="AH18">SUM((F$15:F$20=AC18)*(I$15:I$20&lt;&gt;"")*(H$15:H$20&lt;&gt;"")*(H$15:H$20&lt;I$15:I$20),(H$15:H$20&lt;&gt;"")*(K$15:K$20=AC18)*(I$15:I$20&lt;&gt;"")*(H$15:H$20&gt;I$15:I$20))</f>
        <v>1</v>
      </c>
      <c r="AI18" s="10">
        <f t="array" ref="AI18">SUMIFS($H$15:$H$20,$F$15:$F$20,AC18)+SUMIFS($I$15:$I$20,$K$15:$K$20,AC18)</f>
        <v>8</v>
      </c>
      <c r="AJ18" s="10">
        <f t="array" ref="AJ18">SUMIFS($H$15:$H$20,$K$15:$K$20,AC18)+SUMIFS($I$15:$I$20,$F$15:$F$20,AC18)</f>
        <v>7</v>
      </c>
      <c r="AK18" s="10">
        <f>AI18-AJ18</f>
        <v>1</v>
      </c>
      <c r="AL18" s="10">
        <f>IF(AE18=0,-($BE$11*VLOOKUP(AC18,Tabla3[[Selección]:[Ranking]],2,FALSE)),(AD18*$BE$6)+BI18+(AI18*$BE$9)+((AI18-AJ18)*$BE$10)-($BE$11*VLOOKUP(AC18,Tabla3[[Selección]:[Ranking]],2,FALSE)))</f>
        <v>4000111000960</v>
      </c>
      <c r="AM18" s="150">
        <f>AB18</f>
        <v>3</v>
      </c>
      <c r="AN18" s="34"/>
      <c r="AO18" s="14">
        <v>2</v>
      </c>
      <c r="AP18" s="14" t="str">
        <f>IFERROR(INDEX($AQ$12:$AQ$15,MATCH(AO18,$AR$12:$AR$15,0)),"Grupo")</f>
        <v>B</v>
      </c>
      <c r="AR18" s="34"/>
      <c r="AS18" s="34"/>
      <c r="AT18" s="34"/>
      <c r="AU18" s="34"/>
      <c r="AV18" s="34"/>
      <c r="AW18" s="34"/>
      <c r="AX18" s="34"/>
      <c r="AY18" s="34"/>
      <c r="AZ18" s="34"/>
      <c r="BA18" s="34"/>
      <c r="BB18" s="34"/>
      <c r="BC18" s="34"/>
      <c r="BD18" s="34"/>
      <c r="BG18" s="77" t="str">
        <f t="shared" ref="BG18:BG20" si="18">AC18</f>
        <v>Macedonia N</v>
      </c>
      <c r="BH18" s="10">
        <f>COUNTIF(AD17:AD20,AD18)</f>
        <v>2</v>
      </c>
      <c r="BI18" s="56">
        <f>(BJ18*$BE$9)+(BP18*$BE$8)</f>
        <v>103000000</v>
      </c>
      <c r="BJ18" s="62">
        <f>RANK(BK18,BK17:BK20,1)</f>
        <v>3</v>
      </c>
      <c r="BK18" s="62">
        <f>SUM(IF(AD18=AD17,BL18,0),IF(AD18=AD19,BN18,0),IF(AD18=AD20,BO18,0))</f>
        <v>1</v>
      </c>
      <c r="BL18" s="57">
        <f>I16</f>
        <v>1</v>
      </c>
      <c r="BM18" s="68">
        <v>0</v>
      </c>
      <c r="BN18" s="58">
        <f>H19</f>
        <v>3</v>
      </c>
      <c r="BO18" s="59">
        <f>H17</f>
        <v>3</v>
      </c>
      <c r="BP18" s="62">
        <f>RANK(BQ18,BQ17:BQ20,1)</f>
        <v>1</v>
      </c>
      <c r="BQ18" s="62">
        <f>SUM(IF(AD18=AD17,BR18,0),IF(AD18=AD19,BT18,0),IF(AD18=AD20,BU18,0))</f>
        <v>-2</v>
      </c>
      <c r="BR18" s="57">
        <f>BL18-BM17</f>
        <v>-2</v>
      </c>
      <c r="BS18" s="65">
        <v>0</v>
      </c>
      <c r="BT18" s="58">
        <f>BN18-BM19</f>
        <v>2</v>
      </c>
      <c r="BU18" s="59">
        <f>BO18-BM20</f>
        <v>0</v>
      </c>
    </row>
    <row r="19" spans="1:338 8832:8832" x14ac:dyDescent="0.25">
      <c r="A19" s="99">
        <v>29</v>
      </c>
      <c r="B19" s="100">
        <v>44369</v>
      </c>
      <c r="C19" s="99" t="s">
        <v>2</v>
      </c>
      <c r="D19" s="101">
        <v>0.75</v>
      </c>
      <c r="E19" s="102" t="s">
        <v>417</v>
      </c>
      <c r="F19" s="103" t="s">
        <v>419</v>
      </c>
      <c r="G19" s="104"/>
      <c r="H19" s="132">
        <v>3</v>
      </c>
      <c r="I19" s="132">
        <v>1</v>
      </c>
      <c r="J19" s="104"/>
      <c r="K19" s="115" t="s">
        <v>418</v>
      </c>
      <c r="L19" s="35">
        <f t="shared" si="0"/>
        <v>1</v>
      </c>
      <c r="M19" s="35"/>
      <c r="N19" s="35"/>
      <c r="O19" s="139">
        <f ca="1">VLOOKUP(P19,$AC$17:$AM$20,11,FALSE)</f>
        <v>3</v>
      </c>
      <c r="P19" s="139" t="str">
        <f ca="1">OFFSET(AC17,MATCH(SMALL(AB17:AB20,ROW()-ROW(AB17)+1),AB17:AB20,0)-1,0)</f>
        <v>Macedonia N</v>
      </c>
      <c r="Q19" s="140">
        <f ca="1">VLOOKUP(P19,AC17:AL20,2,FALSE)</f>
        <v>4</v>
      </c>
      <c r="R19" s="139">
        <f ca="1">VLOOKUP(P19,AC17:AL20,3,FALSE)</f>
        <v>3</v>
      </c>
      <c r="S19" s="139">
        <f ca="1">VLOOKUP(P19,AC17:AL20,4,FALSE)</f>
        <v>1</v>
      </c>
      <c r="T19" s="139">
        <f ca="1">VLOOKUP(P19,AC17:AL20,5,FALSE)</f>
        <v>1</v>
      </c>
      <c r="U19" s="139">
        <f ca="1">VLOOKUP(P19,AC17:AL20,6,FALSE)</f>
        <v>1</v>
      </c>
      <c r="V19" s="139">
        <f ca="1">VLOOKUP(P19,AC17:AL20,7,FALSE)</f>
        <v>8</v>
      </c>
      <c r="W19" s="139">
        <f ca="1">VLOOKUP(P19,AC17:AL20,8,FALSE)</f>
        <v>7</v>
      </c>
      <c r="X19" s="139">
        <f ca="1">VLOOKUP(P19,AC17:AL20,9,FALSE)</f>
        <v>1</v>
      </c>
      <c r="Y19" s="154">
        <f t="shared" ca="1" si="16"/>
        <v>300999024</v>
      </c>
      <c r="Z19" s="30">
        <f t="shared" ca="1" si="17"/>
        <v>4000111000960</v>
      </c>
      <c r="AB19" s="149">
        <f>RANK(AL19,$AL$17:$AL$20)</f>
        <v>1</v>
      </c>
      <c r="AC19" s="10" t="s">
        <v>418</v>
      </c>
      <c r="AD19" s="10">
        <f>AF19*3+AG19*1+AH19*0</f>
        <v>6</v>
      </c>
      <c r="AE19" s="10">
        <f>COUNTIFS($F$15:$F$20,AC19,$H$15:$H$20,"&lt;&gt;")+COUNTIFS($K$15:$K$20,AC19,$I$15:$I$20,"&lt;&gt;")</f>
        <v>3</v>
      </c>
      <c r="AF19" s="10">
        <f t="array" ref="AF19">SUM((F$15:F$20=AC19)*(H$15:H$20&lt;&gt;"")*(I$15:I$20&lt;&gt;"")*(H$15:H$20&gt;I$15:I$20),(K$15:K$20=AC19)*(H$15:H$20&lt;&gt;"")*(I$15:I$20&lt;&gt;"")*(H$15:H$20&lt;I$15:I$20))</f>
        <v>2</v>
      </c>
      <c r="AG19" s="10">
        <f t="array" ref="AG19">SUM((F$15:F$20=AC19)*(H$15:H$20&lt;&gt;"")*(H$15:H$20=I$15:I$20),(K$15:K$20=AC19)*(I$15:I$20&lt;&gt;"")*(H$15:H$20=I$15:I$20))</f>
        <v>0</v>
      </c>
      <c r="AH19" s="10">
        <f t="array" ref="AH19">SUM((F$15:F$20=AC19)*(I$15:I$20&lt;&gt;"")*(H$15:H$20&lt;&gt;"")*(H$15:H$20&lt;I$15:I$20),(H$15:H$20&lt;&gt;"")*(K$15:K$20=AC19)*(I$15:I$20&lt;&gt;"")*(H$15:H$20&gt;I$15:I$20))</f>
        <v>1</v>
      </c>
      <c r="AI19" s="10">
        <f t="array" ref="AI19">SUMIFS($H$15:$H$20,$F$15:$F$20,AC19)+SUMIFS($I$15:$I$20,$K$15:$K$20,AC19)</f>
        <v>7</v>
      </c>
      <c r="AJ19" s="10">
        <f t="array" ref="AJ19">SUMIFS($H$15:$H$20,$K$15:$K$20,AC19)+SUMIFS($I$15:$I$20,$F$15:$F$20,AC19)</f>
        <v>6</v>
      </c>
      <c r="AK19" s="10">
        <f>AI19-AJ19</f>
        <v>1</v>
      </c>
      <c r="AL19" s="10">
        <f>IF(AE19=0,-($BE$11*VLOOKUP(AC19,Tabla3[[Selección]:[Ranking]],2,FALSE)),(AD19*$BE$6)+BI19+(AI19*$BE$9)+((AI19-AJ19)*$BE$10)-($BE$11*VLOOKUP(AC19,Tabla3[[Selección]:[Ranking]],2,FALSE)))</f>
        <v>6000208000990</v>
      </c>
      <c r="AM19" s="150">
        <f>AB19</f>
        <v>1</v>
      </c>
      <c r="AN19" s="34"/>
      <c r="AO19" s="14">
        <v>3</v>
      </c>
      <c r="AP19" s="14" t="str">
        <f>IFERROR(INDEX($AQ$12:$AQ$15,MATCH(AO19,$AR$12:$AR$15,0)),"Grupo")</f>
        <v>C</v>
      </c>
      <c r="AR19" s="34"/>
      <c r="AS19" s="34"/>
      <c r="AT19" s="34"/>
      <c r="AU19" s="34"/>
      <c r="AV19" s="34"/>
      <c r="AW19" s="34"/>
      <c r="AX19" s="34"/>
      <c r="AY19" s="34"/>
      <c r="AZ19" s="34"/>
      <c r="BA19" s="34"/>
      <c r="BB19" s="34"/>
      <c r="BC19" s="34"/>
      <c r="BD19" s="34"/>
      <c r="BG19" s="77" t="str">
        <f t="shared" si="18"/>
        <v>Países Bajos</v>
      </c>
      <c r="BH19" s="10">
        <f>COUNTIF(AD17:AD20,AD19)</f>
        <v>1</v>
      </c>
      <c r="BI19" s="56">
        <f>(BJ19*$BE$9)+(BP19*$BE$8)</f>
        <v>201000000</v>
      </c>
      <c r="BJ19" s="62">
        <f>RANK(BK19,BK17:BK20,1)</f>
        <v>1</v>
      </c>
      <c r="BK19" s="62">
        <f>SUM(IF(AD19=AD17,BL19,0),IF(AD19=AD18,BM19,0),IF(AD19=AD20,BO19,0))</f>
        <v>0</v>
      </c>
      <c r="BL19" s="57">
        <f>I18</f>
        <v>2</v>
      </c>
      <c r="BM19" s="58">
        <f>I19</f>
        <v>1</v>
      </c>
      <c r="BN19" s="68">
        <v>0</v>
      </c>
      <c r="BO19" s="59">
        <f>H15</f>
        <v>3</v>
      </c>
      <c r="BP19" s="62">
        <f>RANK(BQ19,BQ17:BQ20,1)</f>
        <v>2</v>
      </c>
      <c r="BQ19" s="62">
        <f>SUM(IF(AD19=AD17,BR19,0),IF(AD19=AD18,BS19,0),IF(AD19=AD20,BU19,0))</f>
        <v>0</v>
      </c>
      <c r="BR19" s="57">
        <f>BL19-BN17</f>
        <v>-1</v>
      </c>
      <c r="BS19" s="58">
        <f>BM19-BN18</f>
        <v>-2</v>
      </c>
      <c r="BT19" s="65">
        <v>0</v>
      </c>
      <c r="BU19" s="59">
        <f>BO19-BN20</f>
        <v>1</v>
      </c>
    </row>
    <row r="20" spans="1:338 8832:8832" ht="15.75" thickBot="1" x14ac:dyDescent="0.3">
      <c r="A20" s="105">
        <v>30</v>
      </c>
      <c r="B20" s="106">
        <v>44369</v>
      </c>
      <c r="C20" s="105" t="s">
        <v>2</v>
      </c>
      <c r="D20" s="111">
        <v>0.75</v>
      </c>
      <c r="E20" s="112" t="s">
        <v>416</v>
      </c>
      <c r="F20" s="113" t="s">
        <v>115</v>
      </c>
      <c r="G20" s="114"/>
      <c r="H20" s="132">
        <v>3</v>
      </c>
      <c r="I20" s="132">
        <v>3</v>
      </c>
      <c r="J20" s="114"/>
      <c r="K20" s="117" t="s">
        <v>113</v>
      </c>
      <c r="L20" s="35">
        <f t="shared" si="0"/>
        <v>1</v>
      </c>
      <c r="M20" s="36"/>
      <c r="N20" s="36"/>
      <c r="O20" s="139">
        <f ca="1">VLOOKUP(P20,$AC$17:$AM$20,11,FALSE)</f>
        <v>4</v>
      </c>
      <c r="P20" s="139" t="str">
        <f ca="1">OFFSET(AC17,MATCH(SMALL(AB17:AB20,ROW()-ROW(AB17)+1),AB17:AB20,0)-1,0)</f>
        <v>Ucrania</v>
      </c>
      <c r="Q20" s="140">
        <f ca="1">VLOOKUP(P20,AC17:AL20,2,FALSE)</f>
        <v>2</v>
      </c>
      <c r="R20" s="139">
        <f ca="1">VLOOKUP(P20,AC17:AL20,3,FALSE)</f>
        <v>3</v>
      </c>
      <c r="S20" s="139">
        <f ca="1">VLOOKUP(P20,AC17:AL20,4,FALSE)</f>
        <v>0</v>
      </c>
      <c r="T20" s="139">
        <f ca="1">VLOOKUP(P20,AC17:AL20,5,FALSE)</f>
        <v>2</v>
      </c>
      <c r="U20" s="139">
        <f ca="1">VLOOKUP(P20,AC17:AL20,6,FALSE)</f>
        <v>1</v>
      </c>
      <c r="V20" s="139">
        <f ca="1">VLOOKUP(P20,AC17:AL20,7,FALSE)</f>
        <v>7</v>
      </c>
      <c r="W20" s="139">
        <f ca="1">VLOOKUP(P20,AC17:AL20,8,FALSE)</f>
        <v>9</v>
      </c>
      <c r="X20" s="139">
        <f ca="1">VLOOKUP(P20,AC17:AL20,9,FALSE)</f>
        <v>-2</v>
      </c>
      <c r="Y20" s="154">
        <f t="shared" ca="1" si="16"/>
        <v>1999903002968</v>
      </c>
      <c r="Z20" s="30">
        <f t="shared" ca="1" si="17"/>
        <v>2000207997992</v>
      </c>
      <c r="AB20" s="151">
        <f>RANK(AL20,$AL$17:$AL$20)</f>
        <v>4</v>
      </c>
      <c r="AC20" s="11" t="s">
        <v>115</v>
      </c>
      <c r="AD20" s="11">
        <f>AF20*3+AG20*1+AH20*0</f>
        <v>2</v>
      </c>
      <c r="AE20" s="11">
        <f>COUNTIFS($F$15:$F$20,AC20,$H$15:$H$20,"&lt;&gt;")+COUNTIFS($K$15:$K$20,AC20,$I$15:$I$20,"&lt;&gt;")</f>
        <v>3</v>
      </c>
      <c r="AF20" s="11">
        <f t="array" ref="AF20">SUM((F$15:F$20=AC20)*(H$15:H$20&lt;&gt;"")*(I$15:I$20&lt;&gt;"")*(H$15:H$20&gt;I$15:I$20),(K$15:K$20=AC20)*(H$15:H$20&lt;&gt;"")*(I$15:I$20&lt;&gt;"")*(H$15:H$20&lt;I$15:I$20))</f>
        <v>0</v>
      </c>
      <c r="AG20" s="11">
        <f t="array" ref="AG20">SUM((F$15:F$20=AC20)*(H$15:H$20&lt;&gt;"")*(H$15:H$20=I$15:I$20),(K$15:K$20=AC20)*(I$15:I$20&lt;&gt;"")*(H$15:H$20=I$15:I$20))</f>
        <v>2</v>
      </c>
      <c r="AH20" s="11">
        <f t="array" ref="AH20">SUM((F$15:F$20=AC20)*(I$15:I$20&lt;&gt;"")*(H$15:H$20&lt;&gt;"")*(H$15:H$20&lt;I$15:I$20),(H$15:H$20&lt;&gt;"")*(K$15:K$20=AC20)*(I$15:I$20&lt;&gt;"")*(H$15:H$20&gt;I$15:I$20))</f>
        <v>1</v>
      </c>
      <c r="AI20" s="11">
        <f t="array" ref="AI20">SUMIFS($H$15:$H$20,$F$15:$F$20,AC20)+SUMIFS($I$15:$I$20,$K$15:$K$20,AC20)</f>
        <v>7</v>
      </c>
      <c r="AJ20" s="11">
        <f t="array" ref="AJ20">SUMIFS($H$15:$H$20,$K$15:$K$20,AC20)+SUMIFS($I$15:$I$20,$F$15:$F$20,AC20)</f>
        <v>9</v>
      </c>
      <c r="AK20" s="11">
        <f>AI20-AJ20</f>
        <v>-2</v>
      </c>
      <c r="AL20" s="11">
        <f>IF(AE20=0,-($BE$11*VLOOKUP(AC20,Tabla3[[Selección]:[Ranking]],2,FALSE)),(AD20*$BE$6)+BI20+(AI20*$BE$9)+((AI20-AJ20)*$BE$10)-($BE$11*VLOOKUP(AC20,Tabla3[[Selección]:[Ranking]],2,FALSE)))</f>
        <v>2000207997992</v>
      </c>
      <c r="AM20" s="152">
        <f>AB20</f>
        <v>4</v>
      </c>
      <c r="AN20" s="34"/>
      <c r="AO20" s="14">
        <v>4</v>
      </c>
      <c r="AP20" s="14" t="str">
        <f>IFERROR(INDEX($AQ$12:$AQ$15,MATCH(AO20,$AR$12:$AR$15,0)),"Grupo")</f>
        <v>E</v>
      </c>
      <c r="AR20" s="34"/>
      <c r="AS20" s="34"/>
      <c r="AT20" s="34"/>
      <c r="AU20" s="34"/>
      <c r="AV20" s="34"/>
      <c r="AW20" s="34"/>
      <c r="AX20" s="34"/>
      <c r="AY20" s="34"/>
      <c r="AZ20" s="45" t="s">
        <v>156</v>
      </c>
      <c r="BA20" s="46"/>
      <c r="BB20" s="46"/>
      <c r="BC20" s="46"/>
      <c r="BD20" s="46"/>
      <c r="BE20" s="46"/>
      <c r="BG20" s="78" t="str">
        <f t="shared" si="18"/>
        <v>Ucrania</v>
      </c>
      <c r="BH20" s="11">
        <f>COUNTIF(AD17:AD20,AD20)</f>
        <v>1</v>
      </c>
      <c r="BI20" s="79">
        <f>(BJ20*$BE$9)+(BP20*$BE$8)</f>
        <v>201000000</v>
      </c>
      <c r="BJ20" s="63">
        <f>RANK(BK20,BK17:BK20,1)</f>
        <v>1</v>
      </c>
      <c r="BK20" s="63">
        <f>SUM(IF(AD20=AD17,BL20,0),IF(AD20=AD18,BM20,0),IF(AD20=AD19,BN20,0))</f>
        <v>0</v>
      </c>
      <c r="BL20" s="60">
        <f>H20</f>
        <v>3</v>
      </c>
      <c r="BM20" s="61">
        <f>I17</f>
        <v>3</v>
      </c>
      <c r="BN20" s="61">
        <f>I15</f>
        <v>2</v>
      </c>
      <c r="BO20" s="69">
        <v>0</v>
      </c>
      <c r="BP20" s="63">
        <f>RANK(BQ20,BQ17:BQ20,1)</f>
        <v>2</v>
      </c>
      <c r="BQ20" s="63">
        <f>SUM(IF(AD20=AD17,BR20,0),IF(AD20=AD18,BS20,0),IF(AD20=AD19,BT20,0))</f>
        <v>0</v>
      </c>
      <c r="BR20" s="60">
        <f>BL20-BO17</f>
        <v>0</v>
      </c>
      <c r="BS20" s="61">
        <f>BM20-BO18</f>
        <v>0</v>
      </c>
      <c r="BT20" s="61">
        <f>BN20-BO19</f>
        <v>-1</v>
      </c>
      <c r="BU20" s="66">
        <v>0</v>
      </c>
    </row>
    <row r="21" spans="1:338 8832:8832" ht="15.75" thickBot="1" x14ac:dyDescent="0.3">
      <c r="A21" s="99">
        <v>7</v>
      </c>
      <c r="B21" s="100">
        <v>44360</v>
      </c>
      <c r="C21" s="99" t="s">
        <v>3</v>
      </c>
      <c r="D21" s="101">
        <v>0.625</v>
      </c>
      <c r="E21" s="102" t="s">
        <v>420</v>
      </c>
      <c r="F21" s="103" t="s">
        <v>108</v>
      </c>
      <c r="G21" s="104"/>
      <c r="H21" s="132">
        <v>4</v>
      </c>
      <c r="I21" s="132">
        <v>7</v>
      </c>
      <c r="J21" s="104"/>
      <c r="K21" s="115" t="s">
        <v>114</v>
      </c>
      <c r="L21" s="35">
        <f t="shared" si="0"/>
        <v>1</v>
      </c>
      <c r="M21" s="35"/>
      <c r="N21" s="35"/>
      <c r="O21" s="137" t="s">
        <v>146</v>
      </c>
      <c r="P21" s="137"/>
      <c r="Q21" s="137"/>
      <c r="R21" s="137"/>
      <c r="S21" s="137"/>
      <c r="T21" s="137"/>
      <c r="U21" s="137"/>
      <c r="V21" s="137"/>
      <c r="W21" s="137"/>
      <c r="X21" s="137"/>
      <c r="Y21" s="154"/>
      <c r="Z21" s="30"/>
      <c r="AB21" s="15" t="s">
        <v>152</v>
      </c>
      <c r="AC21" s="13"/>
      <c r="AD21" s="13"/>
      <c r="AE21" s="13"/>
      <c r="AF21" s="13"/>
      <c r="AG21" s="13"/>
      <c r="AH21" s="13"/>
      <c r="AI21" s="13"/>
      <c r="AJ21" s="13"/>
      <c r="AK21" s="13"/>
      <c r="AL21" s="13"/>
      <c r="AM21" s="16"/>
      <c r="AN21" s="34"/>
      <c r="AO21" s="20" t="s">
        <v>134</v>
      </c>
      <c r="AP21" s="21"/>
      <c r="AQ21" s="21"/>
      <c r="AR21" s="21"/>
      <c r="AS21" s="34"/>
      <c r="AT21" s="34"/>
      <c r="AU21" s="34"/>
      <c r="AV21" s="34"/>
      <c r="AW21" s="34"/>
      <c r="AX21" s="34"/>
      <c r="AY21" s="34"/>
      <c r="AZ21" s="14" t="s">
        <v>157</v>
      </c>
      <c r="BA21" s="14" t="s">
        <v>158</v>
      </c>
      <c r="BB21" s="14" t="s">
        <v>1</v>
      </c>
      <c r="BC21" s="14" t="s">
        <v>3</v>
      </c>
      <c r="BD21" s="14" t="s">
        <v>0</v>
      </c>
      <c r="BE21" s="14" t="s">
        <v>2</v>
      </c>
      <c r="BG21" s="80" t="str">
        <f>CONCATENATE(O21," - GOLAVERAGE")</f>
        <v>Grupo D - GOLAVERAGE</v>
      </c>
      <c r="BH21" s="81"/>
      <c r="BI21" s="81"/>
      <c r="BJ21" s="215" t="s">
        <v>174</v>
      </c>
      <c r="BK21" s="216"/>
      <c r="BL21" s="216"/>
      <c r="BM21" s="216"/>
      <c r="BN21" s="216"/>
      <c r="BO21" s="217"/>
      <c r="BP21" s="218" t="s">
        <v>173</v>
      </c>
      <c r="BQ21" s="219"/>
      <c r="BR21" s="219"/>
      <c r="BS21" s="219"/>
      <c r="BT21" s="219"/>
      <c r="BU21" s="220"/>
    </row>
    <row r="22" spans="1:338 8832:8832" x14ac:dyDescent="0.25">
      <c r="A22" s="99">
        <v>8</v>
      </c>
      <c r="B22" s="100">
        <v>44361</v>
      </c>
      <c r="C22" s="99" t="s">
        <v>3</v>
      </c>
      <c r="D22" s="101">
        <v>0.625</v>
      </c>
      <c r="E22" s="102" t="s">
        <v>421</v>
      </c>
      <c r="F22" s="103" t="s">
        <v>189</v>
      </c>
      <c r="G22" s="104"/>
      <c r="H22" s="132">
        <v>4</v>
      </c>
      <c r="I22" s="132">
        <v>6</v>
      </c>
      <c r="J22" s="104"/>
      <c r="K22" s="115" t="s">
        <v>142</v>
      </c>
      <c r="L22" s="35">
        <f t="shared" si="0"/>
        <v>1</v>
      </c>
      <c r="M22" s="35"/>
      <c r="N22" s="35"/>
      <c r="O22" s="135" t="s">
        <v>141</v>
      </c>
      <c r="P22" s="135" t="s">
        <v>30</v>
      </c>
      <c r="Q22" s="135" t="s">
        <v>36</v>
      </c>
      <c r="R22" s="135" t="s">
        <v>31</v>
      </c>
      <c r="S22" s="135" t="s">
        <v>32</v>
      </c>
      <c r="T22" s="135" t="s">
        <v>4</v>
      </c>
      <c r="U22" s="135" t="s">
        <v>33</v>
      </c>
      <c r="V22" s="135" t="s">
        <v>34</v>
      </c>
      <c r="W22" s="135" t="s">
        <v>35</v>
      </c>
      <c r="X22" s="135" t="s">
        <v>41</v>
      </c>
      <c r="Y22" s="154"/>
      <c r="Z22" s="30"/>
      <c r="AA22" s="29"/>
      <c r="AB22" s="72" t="s">
        <v>59</v>
      </c>
      <c r="AC22" s="12" t="s">
        <v>30</v>
      </c>
      <c r="AD22" s="12" t="s">
        <v>60</v>
      </c>
      <c r="AE22" s="12" t="s">
        <v>31</v>
      </c>
      <c r="AF22" s="12" t="s">
        <v>32</v>
      </c>
      <c r="AG22" s="12" t="s">
        <v>4</v>
      </c>
      <c r="AH22" s="12" t="s">
        <v>33</v>
      </c>
      <c r="AI22" s="12" t="s">
        <v>34</v>
      </c>
      <c r="AJ22" s="12" t="s">
        <v>35</v>
      </c>
      <c r="AK22" s="12" t="s">
        <v>41</v>
      </c>
      <c r="AL22" s="12" t="s">
        <v>61</v>
      </c>
      <c r="AM22" s="148" t="s">
        <v>59</v>
      </c>
      <c r="AN22" s="34"/>
      <c r="AO22" s="17" t="str">
        <f>IFERROR(CONCATENATE(AP17,AP18,AP19,AP20),"¿A/B/C/D/E/F?")</f>
        <v>ABCE</v>
      </c>
      <c r="AP22" s="17"/>
      <c r="AQ22" s="17"/>
      <c r="AR22" s="17"/>
      <c r="AS22" s="34"/>
      <c r="AT22" s="34"/>
      <c r="AU22" s="34"/>
      <c r="AV22" s="34"/>
      <c r="AW22" s="34"/>
      <c r="AX22" s="34"/>
      <c r="AY22" s="34"/>
      <c r="AZ22" s="14" t="s">
        <v>89</v>
      </c>
      <c r="BA22" s="14">
        <f t="shared" ref="BA22:BA36" si="19">IF(AZ22=$AO$22,1,0)</f>
        <v>0</v>
      </c>
      <c r="BB22" s="14" t="str">
        <f>AQ8</f>
        <v>Croacia</v>
      </c>
      <c r="BC22" s="14" t="str">
        <f>AQ6</f>
        <v>Bélgica</v>
      </c>
      <c r="BD22" s="14" t="str">
        <f>AQ7</f>
        <v>Macedonia N</v>
      </c>
      <c r="BE22" s="14" t="str">
        <f>AQ5</f>
        <v>Gales</v>
      </c>
      <c r="BG22" s="72" t="s">
        <v>30</v>
      </c>
      <c r="BH22" s="70" t="s">
        <v>175</v>
      </c>
      <c r="BI22" s="73" t="s">
        <v>178</v>
      </c>
      <c r="BJ22" s="71" t="s">
        <v>177</v>
      </c>
      <c r="BK22" s="70" t="s">
        <v>171</v>
      </c>
      <c r="BL22" s="74" t="str">
        <f>BG23</f>
        <v>Inglaterra</v>
      </c>
      <c r="BM22" s="75" t="str">
        <f>BG24</f>
        <v>Croacia</v>
      </c>
      <c r="BN22" s="75" t="str">
        <f>BG25</f>
        <v>Escocia</v>
      </c>
      <c r="BO22" s="76" t="str">
        <f>BG26</f>
        <v>Rep. Checa</v>
      </c>
      <c r="BP22" s="70" t="s">
        <v>177</v>
      </c>
      <c r="BQ22" s="70" t="s">
        <v>171</v>
      </c>
      <c r="BR22" s="74" t="str">
        <f>BL22</f>
        <v>Inglaterra</v>
      </c>
      <c r="BS22" s="75" t="str">
        <f t="shared" ref="BS22" si="20">BM22</f>
        <v>Croacia</v>
      </c>
      <c r="BT22" s="75" t="str">
        <f t="shared" ref="BT22" si="21">BN22</f>
        <v>Escocia</v>
      </c>
      <c r="BU22" s="76" t="str">
        <f t="shared" ref="BU22" si="22">BO22</f>
        <v>Rep. Checa</v>
      </c>
    </row>
    <row r="23" spans="1:338 8832:8832" x14ac:dyDescent="0.25">
      <c r="A23" s="99">
        <v>19</v>
      </c>
      <c r="B23" s="100">
        <v>44365</v>
      </c>
      <c r="C23" s="99" t="s">
        <v>3</v>
      </c>
      <c r="D23" s="101">
        <v>0.75</v>
      </c>
      <c r="E23" s="102" t="s">
        <v>421</v>
      </c>
      <c r="F23" s="103" t="s">
        <v>114</v>
      </c>
      <c r="G23" s="104"/>
      <c r="H23" s="132">
        <v>4</v>
      </c>
      <c r="I23" s="132">
        <v>5</v>
      </c>
      <c r="J23" s="104"/>
      <c r="K23" s="115" t="s">
        <v>142</v>
      </c>
      <c r="L23" s="35">
        <f t="shared" si="0"/>
        <v>1</v>
      </c>
      <c r="M23" s="35"/>
      <c r="N23" s="35"/>
      <c r="O23" s="139">
        <f ca="1">VLOOKUP(P23,$AC$23:$AM$26,11,FALSE)</f>
        <v>1</v>
      </c>
      <c r="P23" s="139" t="str">
        <f ca="1">OFFSET(AC23,MATCH(SMALL(AB23:AB26,ROW()-ROW(AB23)+1),AB23:AB26,0)-1,0)</f>
        <v>Rep. Checa</v>
      </c>
      <c r="Q23" s="140">
        <f ca="1">VLOOKUP(P23,AC23:AL26,2,FALSE)</f>
        <v>9</v>
      </c>
      <c r="R23" s="139">
        <f ca="1">VLOOKUP(P23,AC23:AL26,3,FALSE)</f>
        <v>3</v>
      </c>
      <c r="S23" s="139">
        <f ca="1">VLOOKUP(P23,AC23:AL26,4,FALSE)</f>
        <v>3</v>
      </c>
      <c r="T23" s="139">
        <f ca="1">VLOOKUP(P23,AC23:AL26,5,FALSE)</f>
        <v>0</v>
      </c>
      <c r="U23" s="139">
        <f ca="1">VLOOKUP(P23,AC23:AL26,6,FALSE)</f>
        <v>0</v>
      </c>
      <c r="V23" s="139">
        <f ca="1">VLOOKUP(P23,AC23:AL26,7,FALSE)</f>
        <v>15</v>
      </c>
      <c r="W23" s="139">
        <f ca="1">VLOOKUP(P23,AC23:AL26,8,FALSE)</f>
        <v>9</v>
      </c>
      <c r="X23" s="139">
        <f ca="1">VLOOKUP(P23,AC23:AL26,9,FALSE)</f>
        <v>6</v>
      </c>
      <c r="Y23" s="154">
        <f ca="1">IF(R23=3,MIN(ABS(Z22-Z23),ABS(Z23-Z24)),100)</f>
        <v>4999983989012</v>
      </c>
      <c r="Z23" s="30">
        <f ca="1">VLOOKUP(P23,$AC$23:$AL$26,10,FALSE)</f>
        <v>9000116005987</v>
      </c>
      <c r="AB23" s="149">
        <f>RANK(AL23,$AL$23:$AL$26)</f>
        <v>4</v>
      </c>
      <c r="AC23" s="10" t="s">
        <v>108</v>
      </c>
      <c r="AD23" s="10">
        <f>AF23*3+AG23*1+AH23*0</f>
        <v>1</v>
      </c>
      <c r="AE23" s="10">
        <f>COUNTIFS($F$21:$F$26,AC23,$H$21:$H$26,"&lt;&gt;")+COUNTIFS($K$21:$K$26,AC23,$I$21:$I$26,"&lt;&gt;")</f>
        <v>3</v>
      </c>
      <c r="AF23" s="10">
        <f t="array" ref="AF23">SUM((F$21:F$26=AC23)*(H$21:H$26&lt;&gt;"")*(I$21:I$26&lt;&gt;"")*(H$21:H$26&gt;I$21:I$26),(K$21:K$26=AC23)*(H$21:H$26&lt;&gt;"")*(I$21:I$26&lt;&gt;"")*(H$21:H$26&lt;I$21:I$26))</f>
        <v>0</v>
      </c>
      <c r="AG23" s="10">
        <f t="array" ref="AG23">SUM((F$21:F$26=AC23)*(H$21:H$26&lt;&gt;"")*(H$21:H$26=I$21:I$26),(K$21:K$26=AC23)*(I$21:I$26&lt;&gt;"")*(H$21:H$26=I$21:I$26))</f>
        <v>1</v>
      </c>
      <c r="AH23" s="10">
        <f t="array" ref="AH23">SUM((F$21:F$26=AC23)*(I$21:I$26&lt;&gt;"")*(H$21:H$26&lt;&gt;"")*(H$21:H$26&lt;I$21:I$26),(H$21:H$26&lt;&gt;"")*(K$21:K$26=AC23)*(I$21:I$26&lt;&gt;"")*(H$21:H$26&gt;I$21:I$26))</f>
        <v>2</v>
      </c>
      <c r="AI23" s="10">
        <f>SUMIFS($H$21:$H$26,$F$21:$F$26,AC23)+SUMIFS($I$21:$I$26,$K$21:$K$26,AC23)</f>
        <v>9</v>
      </c>
      <c r="AJ23" s="10">
        <f>SUMIFS($H$21:$H$26,$K$21:$K$26,AC23)+SUMIFS($I$21:$I$26,$F$21:$F$26,AC23)</f>
        <v>15</v>
      </c>
      <c r="AK23" s="10">
        <f>AI23-AJ23</f>
        <v>-6</v>
      </c>
      <c r="AL23" s="10">
        <f>IF(AE23=0,-($BE$11*VLOOKUP(AC23,Tabla3[[Selección]:[Ranking]],2,FALSE)),(AD23*$BE$6)+BI23+(AI23*$BE$9)+((AI23-AJ23)*$BE$10)-($BE$11*VLOOKUP(AC23,Tabla3[[Selección]:[Ranking]],2,FALSE)))</f>
        <v>1000109993997</v>
      </c>
      <c r="AM23" s="150">
        <f>AB23</f>
        <v>4</v>
      </c>
      <c r="AN23" s="34"/>
      <c r="AO23" s="34"/>
      <c r="AP23" s="34"/>
      <c r="AQ23" s="34"/>
      <c r="AR23" s="34"/>
      <c r="AS23" s="34"/>
      <c r="AT23" s="34"/>
      <c r="AU23" s="34"/>
      <c r="AV23" s="34"/>
      <c r="AW23" s="34"/>
      <c r="AX23" s="34"/>
      <c r="AY23" s="34"/>
      <c r="AZ23" s="14" t="s">
        <v>90</v>
      </c>
      <c r="BA23" s="14">
        <f t="shared" si="19"/>
        <v>1</v>
      </c>
      <c r="BB23" s="14" t="str">
        <f>AQ5</f>
        <v>Gales</v>
      </c>
      <c r="BC23" s="14" t="str">
        <f>AQ9</f>
        <v>Suecia</v>
      </c>
      <c r="BD23" s="14" t="str">
        <f>AQ7</f>
        <v>Macedonia N</v>
      </c>
      <c r="BE23" s="14" t="str">
        <f>AQ6</f>
        <v>Bélgica</v>
      </c>
      <c r="BG23" s="77" t="str">
        <f>AC23</f>
        <v>Inglaterra</v>
      </c>
      <c r="BH23" s="10">
        <f>COUNTIF(AD23:AD26,AD23)</f>
        <v>1</v>
      </c>
      <c r="BI23" s="56">
        <f>(BJ23*$BE$9)+(BP23*$BE$8)</f>
        <v>101000000</v>
      </c>
      <c r="BJ23" s="62">
        <f>RANK(BK23,BK23:BK26,1)</f>
        <v>1</v>
      </c>
      <c r="BK23" s="62">
        <f>SUM(IF(AD23=AD24,BM23,0),IF(AD23=AD25,BN23,0),IF(AD23=AD26,BO23,0))</f>
        <v>0</v>
      </c>
      <c r="BL23" s="67">
        <v>0</v>
      </c>
      <c r="BM23" s="58">
        <f>H22</f>
        <v>4</v>
      </c>
      <c r="BN23" s="58">
        <f>H24</f>
        <v>4</v>
      </c>
      <c r="BO23" s="59">
        <f>I26</f>
        <v>1</v>
      </c>
      <c r="BP23" s="62">
        <f>RANK(BQ23,BQ23:BQ26,1)</f>
        <v>1</v>
      </c>
      <c r="BQ23" s="62">
        <f>SUM(IF(AD23=AD24,BS23,0),IF(AD23=AD25,BT23,0),IF(AD23=AD26,BU23,0))</f>
        <v>0</v>
      </c>
      <c r="BR23" s="64">
        <v>0</v>
      </c>
      <c r="BS23" s="58">
        <f>BM23-BL24</f>
        <v>-2</v>
      </c>
      <c r="BT23" s="58">
        <f>BN23-BL25</f>
        <v>0</v>
      </c>
      <c r="BU23" s="59">
        <f>BO23-BL26</f>
        <v>-3</v>
      </c>
    </row>
    <row r="24" spans="1:338 8832:8832" x14ac:dyDescent="0.25">
      <c r="A24" s="99">
        <v>20</v>
      </c>
      <c r="B24" s="100">
        <v>44365</v>
      </c>
      <c r="C24" s="99" t="s">
        <v>3</v>
      </c>
      <c r="D24" s="101">
        <v>0.875</v>
      </c>
      <c r="E24" s="102" t="s">
        <v>420</v>
      </c>
      <c r="F24" s="103" t="s">
        <v>108</v>
      </c>
      <c r="G24" s="104"/>
      <c r="H24" s="132">
        <v>4</v>
      </c>
      <c r="I24" s="132">
        <v>4</v>
      </c>
      <c r="J24" s="104"/>
      <c r="K24" s="115" t="s">
        <v>189</v>
      </c>
      <c r="L24" s="35">
        <f t="shared" si="0"/>
        <v>1</v>
      </c>
      <c r="M24" s="35"/>
      <c r="N24" s="35"/>
      <c r="O24" s="139">
        <f ca="1">VLOOKUP(P24,$AC$23:$AM$26,11,FALSE)</f>
        <v>2</v>
      </c>
      <c r="P24" s="139" t="str">
        <f ca="1">OFFSET(AC23,MATCH(SMALL(AB23:AB26,ROW()-ROW(AB23)+1),AB23:AB26,0)-1,0)</f>
        <v>Escocia</v>
      </c>
      <c r="Q24" s="140">
        <f ca="1">VLOOKUP(P24,AC23:AL26,2,FALSE)</f>
        <v>4</v>
      </c>
      <c r="R24" s="139">
        <f ca="1">VLOOKUP(P24,AC23:AL26,3,FALSE)</f>
        <v>3</v>
      </c>
      <c r="S24" s="139">
        <f ca="1">VLOOKUP(P24,AC23:AL26,4,FALSE)</f>
        <v>1</v>
      </c>
      <c r="T24" s="139">
        <f ca="1">VLOOKUP(P24,AC23:AL26,5,FALSE)</f>
        <v>1</v>
      </c>
      <c r="U24" s="139">
        <f ca="1">VLOOKUP(P24,AC23:AL26,6,FALSE)</f>
        <v>1</v>
      </c>
      <c r="V24" s="139">
        <f ca="1">VLOOKUP(P24,AC23:AL26,7,FALSE)</f>
        <v>31</v>
      </c>
      <c r="W24" s="139">
        <f ca="1">VLOOKUP(P24,AC23:AL26,8,FALSE)</f>
        <v>14</v>
      </c>
      <c r="X24" s="139">
        <f ca="1">VLOOKUP(P24,AC23:AL26,9,FALSE)</f>
        <v>17</v>
      </c>
      <c r="Y24" s="154">
        <f t="shared" ref="Y24:Y26" ca="1" si="23">IF(R24=3,MIN(ABS(Z23-Z24),ABS(Z24-Z25)),100)</f>
        <v>1000016033992</v>
      </c>
      <c r="Z24" s="30">
        <f t="shared" ref="Z24:Z26" ca="1" si="24">VLOOKUP(P24,$AC$23:$AL$26,10,FALSE)</f>
        <v>4000132016975</v>
      </c>
      <c r="AB24" s="149">
        <f>RANK(AL24,$AL$23:$AL$26)</f>
        <v>3</v>
      </c>
      <c r="AC24" s="10" t="s">
        <v>114</v>
      </c>
      <c r="AD24" s="10">
        <f t="shared" ref="AD24:AD26" si="25">AF24*3+AG24*1+AH24*0</f>
        <v>3</v>
      </c>
      <c r="AE24" s="10">
        <f>COUNTIFS($F$21:$F$26,AC24,$H$21:$H$26,"&lt;&gt;")+COUNTIFS($K$21:$K$26,AC24,$I$21:$I$26,"&lt;&gt;")</f>
        <v>3</v>
      </c>
      <c r="AF24" s="10">
        <f t="array" ref="AF24">SUM((F$21:F$26=AC24)*(H$21:H$26&lt;&gt;"")*(I$21:I$26&lt;&gt;"")*(H$21:H$26&gt;I$21:I$26),(K$21:K$26=AC24)*(H$21:H$26&lt;&gt;"")*(I$21:I$26&lt;&gt;"")*(H$21:H$26&lt;I$21:I$26))</f>
        <v>1</v>
      </c>
      <c r="AG24" s="10">
        <f t="array" ref="AG24">SUM((F$21:F$26=AC24)*(H$21:H$26&lt;&gt;"")*(H$21:H$26=I$21:I$26),(K$21:K$26=AC24)*(I$21:I$26&lt;&gt;"")*(H$21:H$26=I$21:I$26))</f>
        <v>0</v>
      </c>
      <c r="AH24" s="10">
        <f t="array" ref="AH24">SUM((F$21:F$26=AC24)*(I$21:I$26&lt;&gt;"")*(H$21:H$26&lt;&gt;"")*(H$21:H$26&lt;I$21:I$26),(H$21:H$26&lt;&gt;"")*(K$21:K$26=AC24)*(I$21:I$26&lt;&gt;"")*(H$21:H$26&gt;I$21:I$26))</f>
        <v>2</v>
      </c>
      <c r="AI24" s="10">
        <f>SUMIFS($H$21:$H$26,$F$21:$F$26,AC24)+SUMIFS($I$21:$I$26,$K$21:$K$26,AC24)</f>
        <v>15</v>
      </c>
      <c r="AJ24" s="10">
        <f>SUMIFS($H$21:$H$26,$K$21:$K$26,AC24)+SUMIFS($I$21:$I$26,$F$21:$F$26,AC24)</f>
        <v>32</v>
      </c>
      <c r="AK24" s="10">
        <f t="shared" ref="AK24:AK26" si="26">AI24-AJ24</f>
        <v>-17</v>
      </c>
      <c r="AL24" s="10">
        <f>IF(AE24=0,-($BE$11*VLOOKUP(AC24,Tabla3[[Selección]:[Ranking]],2,FALSE)),(AD24*$BE$6)+BI24+(AI24*$BE$9)+((AI24-AJ24)*$BE$10)-($BE$11*VLOOKUP(AC24,Tabla3[[Selección]:[Ranking]],2,FALSE)))</f>
        <v>3000115982983</v>
      </c>
      <c r="AM24" s="150">
        <f>AB24</f>
        <v>3</v>
      </c>
      <c r="AN24" s="34"/>
      <c r="AO24" s="34"/>
      <c r="AP24" s="34"/>
      <c r="AQ24" s="34"/>
      <c r="AR24" s="34"/>
      <c r="AS24" s="34"/>
      <c r="AT24" s="34"/>
      <c r="AU24" s="34"/>
      <c r="AV24" s="34"/>
      <c r="AW24" s="34"/>
      <c r="AX24" s="34"/>
      <c r="AY24" s="34"/>
      <c r="AZ24" s="14" t="s">
        <v>91</v>
      </c>
      <c r="BA24" s="14">
        <f t="shared" si="19"/>
        <v>0</v>
      </c>
      <c r="BB24" s="14" t="str">
        <f>AQ5</f>
        <v>Gales</v>
      </c>
      <c r="BC24" s="14" t="str">
        <f>AQ10</f>
        <v>Francia</v>
      </c>
      <c r="BD24" s="14" t="str">
        <f>AQ7</f>
        <v>Macedonia N</v>
      </c>
      <c r="BE24" s="14" t="str">
        <f>AQ6</f>
        <v>Bélgica</v>
      </c>
      <c r="BG24" s="77" t="str">
        <f t="shared" ref="BG24:BG26" si="27">AC24</f>
        <v>Croacia</v>
      </c>
      <c r="BH24" s="10">
        <f>COUNTIF(AD23:AD26,AD24)</f>
        <v>1</v>
      </c>
      <c r="BI24" s="56">
        <f>(BJ24*$BE$9)+(BP24*$BE$8)</f>
        <v>101000000</v>
      </c>
      <c r="BJ24" s="62">
        <f>RANK(BK24,BK23:BK26,1)</f>
        <v>1</v>
      </c>
      <c r="BK24" s="62">
        <f>SUM(IF(AD24=AD23,BL24,0),IF(AD24=AD25,BN24,0),IF(AD24=AD26,BO24,0))</f>
        <v>0</v>
      </c>
      <c r="BL24" s="57">
        <f>I22</f>
        <v>6</v>
      </c>
      <c r="BM24" s="68">
        <v>0</v>
      </c>
      <c r="BN24" s="58">
        <f>H25</f>
        <v>4</v>
      </c>
      <c r="BO24" s="59">
        <f>H23</f>
        <v>4</v>
      </c>
      <c r="BP24" s="62">
        <f>RANK(BQ24,BQ23:BQ26,1)</f>
        <v>1</v>
      </c>
      <c r="BQ24" s="62">
        <f>SUM(IF(AD24=AD23,BR24,0),IF(AD24=AD25,BT24,0),IF(AD24=AD26,BU24,0))</f>
        <v>0</v>
      </c>
      <c r="BR24" s="57">
        <f>BL24-BM23</f>
        <v>2</v>
      </c>
      <c r="BS24" s="65">
        <v>0</v>
      </c>
      <c r="BT24" s="58">
        <f>BN24-BM25</f>
        <v>-19</v>
      </c>
      <c r="BU24" s="59">
        <f>BO24-BM26</f>
        <v>-1</v>
      </c>
    </row>
    <row r="25" spans="1:338 8832:8832" x14ac:dyDescent="0.25">
      <c r="A25" s="99">
        <v>31</v>
      </c>
      <c r="B25" s="100">
        <v>44369</v>
      </c>
      <c r="C25" s="99" t="s">
        <v>3</v>
      </c>
      <c r="D25" s="101">
        <v>0.875</v>
      </c>
      <c r="E25" s="102" t="s">
        <v>421</v>
      </c>
      <c r="F25" s="103" t="s">
        <v>114</v>
      </c>
      <c r="G25" s="104"/>
      <c r="H25" s="132">
        <v>4</v>
      </c>
      <c r="I25" s="132">
        <v>23</v>
      </c>
      <c r="J25" s="104"/>
      <c r="K25" s="115" t="s">
        <v>189</v>
      </c>
      <c r="L25" s="35">
        <f t="shared" si="0"/>
        <v>1</v>
      </c>
      <c r="M25" s="35"/>
      <c r="N25" s="35"/>
      <c r="O25" s="139">
        <f ca="1">VLOOKUP(P25,$AC$23:$AM$26,11,FALSE)</f>
        <v>3</v>
      </c>
      <c r="P25" s="139" t="str">
        <f ca="1">OFFSET(AC23,MATCH(SMALL(AB23:AB26,ROW()-ROW(AB23)+1),AB23:AB26,0)-1,0)</f>
        <v>Croacia</v>
      </c>
      <c r="Q25" s="140">
        <f ca="1">VLOOKUP(P25,AC23:AL26,2,FALSE)</f>
        <v>3</v>
      </c>
      <c r="R25" s="139">
        <f ca="1">VLOOKUP(P25,AC23:AL26,3,FALSE)</f>
        <v>3</v>
      </c>
      <c r="S25" s="139">
        <f ca="1">VLOOKUP(P25,AC23:AL26,4,FALSE)</f>
        <v>1</v>
      </c>
      <c r="T25" s="139">
        <f ca="1">VLOOKUP(P25,AC23:AL26,5,FALSE)</f>
        <v>0</v>
      </c>
      <c r="U25" s="139">
        <f ca="1">VLOOKUP(P25,AC23:AL26,6,FALSE)</f>
        <v>2</v>
      </c>
      <c r="V25" s="139">
        <f ca="1">VLOOKUP(P25,AC23:AL26,7,FALSE)</f>
        <v>15</v>
      </c>
      <c r="W25" s="139">
        <f ca="1">VLOOKUP(P25,AC23:AL26,8,FALSE)</f>
        <v>32</v>
      </c>
      <c r="X25" s="139">
        <f ca="1">VLOOKUP(P25,AC23:AL26,9,FALSE)</f>
        <v>-17</v>
      </c>
      <c r="Y25" s="154">
        <f t="shared" ca="1" si="23"/>
        <v>1000016033992</v>
      </c>
      <c r="Z25" s="30">
        <f t="shared" ca="1" si="24"/>
        <v>3000115982983</v>
      </c>
      <c r="AB25" s="149">
        <f>RANK(AL25,$AL$23:$AL$26)</f>
        <v>2</v>
      </c>
      <c r="AC25" s="10" t="s">
        <v>189</v>
      </c>
      <c r="AD25" s="10">
        <f t="shared" si="25"/>
        <v>4</v>
      </c>
      <c r="AE25" s="10">
        <f>COUNTIFS($F$21:$F$26,AC25,$H$21:$H$26,"&lt;&gt;")+COUNTIFS($K$21:$K$26,AC25,$I$21:$I$26,"&lt;&gt;")</f>
        <v>3</v>
      </c>
      <c r="AF25" s="10">
        <f t="array" ref="AF25">SUM((F$21:F$26=AC25)*(H$21:H$26&lt;&gt;"")*(I$21:I$26&lt;&gt;"")*(H$21:H$26&gt;I$21:I$26),(K$21:K$26=AC25)*(H$21:H$26&lt;&gt;"")*(I$21:I$26&lt;&gt;"")*(H$21:H$26&lt;I$21:I$26))</f>
        <v>1</v>
      </c>
      <c r="AG25" s="10">
        <f t="array" ref="AG25">SUM((F$21:F$26=AC25)*(H$21:H$26&lt;&gt;"")*(H$21:H$26=I$21:I$26),(K$21:K$26=AC25)*(I$21:I$26&lt;&gt;"")*(H$21:H$26=I$21:I$26))</f>
        <v>1</v>
      </c>
      <c r="AH25" s="10">
        <f t="array" ref="AH25">SUM((F$21:F$26=AC25)*(I$21:I$26&lt;&gt;"")*(H$21:H$26&lt;&gt;"")*(H$21:H$26&lt;I$21:I$26),(H$21:H$26&lt;&gt;"")*(K$21:K$26=AC25)*(I$21:I$26&lt;&gt;"")*(H$21:H$26&gt;I$21:I$26))</f>
        <v>1</v>
      </c>
      <c r="AI25" s="10">
        <f>SUMIFS($H$21:$H$26,$F$21:$F$26,AC25)+SUMIFS($I$21:$I$26,$K$21:$K$26,AC25)</f>
        <v>31</v>
      </c>
      <c r="AJ25" s="10">
        <f>SUMIFS($H$21:$H$26,$K$21:$K$26,AC25)+SUMIFS($I$21:$I$26,$F$21:$F$26,AC25)</f>
        <v>14</v>
      </c>
      <c r="AK25" s="10">
        <f t="shared" si="26"/>
        <v>17</v>
      </c>
      <c r="AL25" s="10">
        <f>IF(AE25=0,-($BE$11*VLOOKUP(AC25,Tabla3[[Selección]:[Ranking]],2,FALSE)),(AD25*$BE$6)+BI25+(AI25*$BE$9)+((AI25-AJ25)*$BE$10)-($BE$11*VLOOKUP(AC25,Tabla3[[Selección]:[Ranking]],2,FALSE)))</f>
        <v>4000132016975</v>
      </c>
      <c r="AM25" s="150">
        <f>AB25</f>
        <v>2</v>
      </c>
      <c r="AN25" s="34"/>
      <c r="AO25" s="34"/>
      <c r="AP25" s="34"/>
      <c r="AQ25" s="34"/>
      <c r="AR25" s="34"/>
      <c r="AS25" s="34"/>
      <c r="AT25" s="34"/>
      <c r="AU25" s="34"/>
      <c r="AV25" s="34"/>
      <c r="AW25" s="34"/>
      <c r="AX25" s="34"/>
      <c r="AY25" s="34"/>
      <c r="AZ25" s="14" t="s">
        <v>92</v>
      </c>
      <c r="BA25" s="14">
        <f t="shared" si="19"/>
        <v>0</v>
      </c>
      <c r="BB25" s="14" t="str">
        <f>AQ5</f>
        <v>Gales</v>
      </c>
      <c r="BC25" s="14" t="str">
        <f>AQ9</f>
        <v>Suecia</v>
      </c>
      <c r="BD25" s="14" t="str">
        <f>AQ8</f>
        <v>Croacia</v>
      </c>
      <c r="BE25" s="14" t="str">
        <f>AQ6</f>
        <v>Bélgica</v>
      </c>
      <c r="BG25" s="77" t="str">
        <f t="shared" si="27"/>
        <v>Escocia</v>
      </c>
      <c r="BH25" s="10">
        <f>COUNTIF(AD23:AD26,AD25)</f>
        <v>1</v>
      </c>
      <c r="BI25" s="56">
        <f>(BJ25*$BE$9)+(BP25*$BE$8)</f>
        <v>101000000</v>
      </c>
      <c r="BJ25" s="62">
        <f>RANK(BK25,BK23:BK26,1)</f>
        <v>1</v>
      </c>
      <c r="BK25" s="62">
        <f>SUM(IF(AD25=AD23,BL25,0),IF(AD25=AD24,BM25,0),IF(AD25=AD26,BO25,0))</f>
        <v>0</v>
      </c>
      <c r="BL25" s="57">
        <f>I24</f>
        <v>4</v>
      </c>
      <c r="BM25" s="58">
        <f>I25</f>
        <v>23</v>
      </c>
      <c r="BN25" s="68">
        <v>0</v>
      </c>
      <c r="BO25" s="59">
        <f>H21</f>
        <v>4</v>
      </c>
      <c r="BP25" s="62">
        <f>RANK(BQ25,BQ23:BQ26,1)</f>
        <v>1</v>
      </c>
      <c r="BQ25" s="62">
        <f>SUM(IF(AD25=AD23,BR25,0),IF(AD25=AD24,BS25,0),IF(AD25=AD26,BU25,0))</f>
        <v>0</v>
      </c>
      <c r="BR25" s="57">
        <f>BL25-BN23</f>
        <v>0</v>
      </c>
      <c r="BS25" s="58">
        <f>BM25-BN24</f>
        <v>19</v>
      </c>
      <c r="BT25" s="65">
        <v>0</v>
      </c>
      <c r="BU25" s="59">
        <f>BO25-BN26</f>
        <v>-3</v>
      </c>
    </row>
    <row r="26" spans="1:338 8832:8832" ht="15.75" thickBot="1" x14ac:dyDescent="0.3">
      <c r="A26" s="105">
        <v>32</v>
      </c>
      <c r="B26" s="106">
        <v>44369</v>
      </c>
      <c r="C26" s="105" t="s">
        <v>3</v>
      </c>
      <c r="D26" s="107">
        <v>0.875</v>
      </c>
      <c r="E26" s="108" t="s">
        <v>421</v>
      </c>
      <c r="F26" s="109" t="s">
        <v>142</v>
      </c>
      <c r="G26" s="110"/>
      <c r="H26" s="132">
        <v>4</v>
      </c>
      <c r="I26" s="132">
        <v>1</v>
      </c>
      <c r="J26" s="114"/>
      <c r="K26" s="117" t="s">
        <v>108</v>
      </c>
      <c r="L26" s="35">
        <f t="shared" si="0"/>
        <v>1</v>
      </c>
      <c r="M26" s="36"/>
      <c r="N26" s="36"/>
      <c r="O26" s="139">
        <f ca="1">VLOOKUP(P26,$AC$23:$AM$26,11,FALSE)</f>
        <v>4</v>
      </c>
      <c r="P26" s="139" t="str">
        <f ca="1">OFFSET(AC23,MATCH(SMALL(AB23:AB26,ROW()-ROW(AB23)+1),AB23:AB26,0)-1,0)</f>
        <v>Inglaterra</v>
      </c>
      <c r="Q26" s="140">
        <f ca="1">VLOOKUP(P26,AC23:AL26,2,FALSE)</f>
        <v>1</v>
      </c>
      <c r="R26" s="139">
        <f ca="1">VLOOKUP(P26,AC23:AL26,3,FALSE)</f>
        <v>3</v>
      </c>
      <c r="S26" s="139">
        <f ca="1">VLOOKUP(P26,AC23:AL26,4,FALSE)</f>
        <v>0</v>
      </c>
      <c r="T26" s="139">
        <f ca="1">VLOOKUP(P26,AC23:AL26,5,FALSE)</f>
        <v>1</v>
      </c>
      <c r="U26" s="139">
        <f ca="1">VLOOKUP(P26,AC23:AL26,6,FALSE)</f>
        <v>2</v>
      </c>
      <c r="V26" s="139">
        <f ca="1">VLOOKUP(P26,AC23:AL26,7,FALSE)</f>
        <v>9</v>
      </c>
      <c r="W26" s="139">
        <f ca="1">VLOOKUP(P26,AC23:AL26,8,FALSE)</f>
        <v>15</v>
      </c>
      <c r="X26" s="139">
        <f ca="1">VLOOKUP(P26,AC23:AL26,9,FALSE)</f>
        <v>-6</v>
      </c>
      <c r="Y26" s="154">
        <f t="shared" ca="1" si="23"/>
        <v>1000109993997</v>
      </c>
      <c r="Z26" s="30">
        <f t="shared" ca="1" si="24"/>
        <v>1000109993997</v>
      </c>
      <c r="AB26" s="151">
        <f>RANK(AL26,$AL$23:$AL$26)</f>
        <v>1</v>
      </c>
      <c r="AC26" s="11" t="s">
        <v>142</v>
      </c>
      <c r="AD26" s="11">
        <f t="shared" si="25"/>
        <v>9</v>
      </c>
      <c r="AE26" s="11">
        <f>COUNTIFS($F$21:$F$26,AC26,$H$21:$H$26,"&lt;&gt;")+COUNTIFS($K$21:$K$26,AC26,$I$21:$I$26,"&lt;&gt;")</f>
        <v>3</v>
      </c>
      <c r="AF26" s="11">
        <f t="array" ref="AF26">SUM((F$21:F$26=AC26)*(H$21:H$26&lt;&gt;"")*(I$21:I$26&lt;&gt;"")*(H$21:H$26&gt;I$21:I$26),(K$21:K$26=AC26)*(H$21:H$26&lt;&gt;"")*(I$21:I$26&lt;&gt;"")*(H$21:H$26&lt;I$21:I$26))</f>
        <v>3</v>
      </c>
      <c r="AG26" s="11">
        <f t="array" ref="AG26">SUM((F$21:F$26=AC26)*(H$21:H$26&lt;&gt;"")*(H$21:H$26=I$21:I$26),(K$21:K$26=AC26)*(I$21:I$26&lt;&gt;"")*(H$21:H$26=I$21:I$26))</f>
        <v>0</v>
      </c>
      <c r="AH26" s="11">
        <f t="array" ref="AH26">SUM((F$21:F$26=AC26)*(I$21:I$26&lt;&gt;"")*(H$21:H$26&lt;&gt;"")*(H$21:H$26&lt;I$21:I$26),(H$21:H$26&lt;&gt;"")*(K$21:K$26=AC26)*(I$21:I$26&lt;&gt;"")*(H$21:H$26&gt;I$21:I$26))</f>
        <v>0</v>
      </c>
      <c r="AI26" s="11">
        <f>SUMIFS($H$21:$H$26,$F$21:$F$26,AC26)+SUMIFS($I$21:$I$26,$K$21:$K$26,AC26)</f>
        <v>15</v>
      </c>
      <c r="AJ26" s="11">
        <f>SUMIFS($H$21:$H$26,$K$21:$K$26,AC26)+SUMIFS($I$21:$I$26,$F$21:$F$26,AC26)</f>
        <v>9</v>
      </c>
      <c r="AK26" s="11">
        <f t="shared" si="26"/>
        <v>6</v>
      </c>
      <c r="AL26" s="11">
        <f>IF(AE26=0,-($BE$11*VLOOKUP(AC26,Tabla3[[Selección]:[Ranking]],2,FALSE)),(AD26*$BE$6)+BI26+(AI26*$BE$9)+((AI26-AJ26)*$BE$10)-($BE$11*VLOOKUP(AC26,Tabla3[[Selección]:[Ranking]],2,FALSE)))</f>
        <v>9000116005987</v>
      </c>
      <c r="AM26" s="152">
        <f>AB26</f>
        <v>1</v>
      </c>
      <c r="AN26" s="34"/>
      <c r="AO26" s="34"/>
      <c r="AP26" s="34"/>
      <c r="AQ26" s="34"/>
      <c r="AR26" s="34"/>
      <c r="AS26" s="34"/>
      <c r="AT26" s="34"/>
      <c r="AU26" s="34"/>
      <c r="AV26" s="34"/>
      <c r="AW26" s="34"/>
      <c r="AX26" s="34"/>
      <c r="AY26" s="34"/>
      <c r="AZ26" s="14" t="s">
        <v>93</v>
      </c>
      <c r="BA26" s="14">
        <f t="shared" si="19"/>
        <v>0</v>
      </c>
      <c r="BB26" s="14" t="str">
        <f>AQ5</f>
        <v>Gales</v>
      </c>
      <c r="BC26" s="14" t="str">
        <f>AQ10</f>
        <v>Francia</v>
      </c>
      <c r="BD26" s="14" t="str">
        <f>AQ8</f>
        <v>Croacia</v>
      </c>
      <c r="BE26" s="14" t="str">
        <f>AQ6</f>
        <v>Bélgica</v>
      </c>
      <c r="BG26" s="78" t="str">
        <f t="shared" si="27"/>
        <v>Rep. Checa</v>
      </c>
      <c r="BH26" s="11">
        <f>COUNTIF(AD23:AD26,AD26)</f>
        <v>1</v>
      </c>
      <c r="BI26" s="79">
        <f>(BJ26*$BE$9)+(BP26*$BE$8)</f>
        <v>101000000</v>
      </c>
      <c r="BJ26" s="63">
        <f>RANK(BK26,BK23:BK26,1)</f>
        <v>1</v>
      </c>
      <c r="BK26" s="63">
        <f>SUM(IF(AD26=AD23,BL26,0),IF(AD26=AD24,BM26,0),IF(AD26=AD25,BN26,0))</f>
        <v>0</v>
      </c>
      <c r="BL26" s="60">
        <f>H26</f>
        <v>4</v>
      </c>
      <c r="BM26" s="61">
        <f>I23</f>
        <v>5</v>
      </c>
      <c r="BN26" s="61">
        <f>I21</f>
        <v>7</v>
      </c>
      <c r="BO26" s="69">
        <v>0</v>
      </c>
      <c r="BP26" s="63">
        <f>RANK(BQ26,BQ23:BQ26,1)</f>
        <v>1</v>
      </c>
      <c r="BQ26" s="63">
        <f>SUM(IF(AD26=AD23,BR26,0),IF(AD26=AD24,BS26,0),IF(AD26=AD25,BT26,0))</f>
        <v>0</v>
      </c>
      <c r="BR26" s="60">
        <f>BL26-BO23</f>
        <v>3</v>
      </c>
      <c r="BS26" s="61">
        <f>BM26-BO24</f>
        <v>1</v>
      </c>
      <c r="BT26" s="61">
        <f>BN26-BO25</f>
        <v>3</v>
      </c>
      <c r="BU26" s="66">
        <v>0</v>
      </c>
    </row>
    <row r="27" spans="1:338 8832:8832" ht="15.75" thickBot="1" x14ac:dyDescent="0.3">
      <c r="A27" s="99">
        <v>9</v>
      </c>
      <c r="B27" s="100">
        <v>44361</v>
      </c>
      <c r="C27" s="99" t="s">
        <v>4</v>
      </c>
      <c r="D27" s="101">
        <v>0.75</v>
      </c>
      <c r="E27" s="102" t="s">
        <v>414</v>
      </c>
      <c r="F27" s="103" t="s">
        <v>117</v>
      </c>
      <c r="G27" s="104"/>
      <c r="H27" s="132">
        <v>1</v>
      </c>
      <c r="I27" s="132">
        <v>0</v>
      </c>
      <c r="J27" s="104"/>
      <c r="K27" s="115" t="s">
        <v>119</v>
      </c>
      <c r="L27" s="35">
        <f t="shared" si="0"/>
        <v>1</v>
      </c>
      <c r="M27" s="37"/>
      <c r="N27" s="133"/>
      <c r="O27" s="137" t="s">
        <v>145</v>
      </c>
      <c r="P27" s="137"/>
      <c r="Q27" s="137"/>
      <c r="R27" s="137"/>
      <c r="S27" s="137"/>
      <c r="T27" s="137"/>
      <c r="U27" s="137"/>
      <c r="V27" s="137"/>
      <c r="W27" s="137"/>
      <c r="X27" s="137"/>
      <c r="Y27" s="154"/>
      <c r="Z27" s="30"/>
      <c r="AB27" s="15" t="s">
        <v>151</v>
      </c>
      <c r="AC27" s="13"/>
      <c r="AD27" s="13"/>
      <c r="AE27" s="13"/>
      <c r="AF27" s="13"/>
      <c r="AG27" s="13"/>
      <c r="AH27" s="13"/>
      <c r="AI27" s="13"/>
      <c r="AJ27" s="13"/>
      <c r="AK27" s="13"/>
      <c r="AL27" s="13"/>
      <c r="AM27" s="16"/>
      <c r="AN27" s="34"/>
      <c r="AO27" s="34"/>
      <c r="AP27" s="34"/>
      <c r="AQ27" s="34"/>
      <c r="AR27" s="34"/>
      <c r="AS27" s="34"/>
      <c r="AT27" s="34"/>
      <c r="AU27" s="34"/>
      <c r="AV27" s="34"/>
      <c r="AW27" s="34"/>
      <c r="AX27" s="34"/>
      <c r="AY27" s="34"/>
      <c r="AZ27" s="14" t="s">
        <v>94</v>
      </c>
      <c r="BA27" s="14">
        <f t="shared" si="19"/>
        <v>0</v>
      </c>
      <c r="BB27" s="14" t="str">
        <f>AQ5</f>
        <v>Gales</v>
      </c>
      <c r="BC27" s="14" t="str">
        <f>AQ10</f>
        <v>Francia</v>
      </c>
      <c r="BD27" s="14" t="str">
        <f>AQ9</f>
        <v>Suecia</v>
      </c>
      <c r="BE27" s="14" t="str">
        <f>AQ6</f>
        <v>Bélgica</v>
      </c>
      <c r="BG27" s="80" t="str">
        <f>CONCATENATE(O27," - GOLAVERAGE")</f>
        <v>Grupo E - GOLAVERAGE</v>
      </c>
      <c r="BH27" s="81"/>
      <c r="BI27" s="81"/>
      <c r="BJ27" s="215" t="s">
        <v>174</v>
      </c>
      <c r="BK27" s="216"/>
      <c r="BL27" s="216"/>
      <c r="BM27" s="216"/>
      <c r="BN27" s="216"/>
      <c r="BO27" s="217"/>
      <c r="BP27" s="218" t="s">
        <v>173</v>
      </c>
      <c r="BQ27" s="219"/>
      <c r="BR27" s="219"/>
      <c r="BS27" s="219"/>
      <c r="BT27" s="219"/>
      <c r="BU27" s="220"/>
      <c r="LZ27" s="170" t="s">
        <v>159</v>
      </c>
      <c r="MAR27" s="170" t="s">
        <v>159</v>
      </c>
    </row>
    <row r="28" spans="1:338 8832:8832" x14ac:dyDescent="0.25">
      <c r="A28" s="99">
        <v>10</v>
      </c>
      <c r="B28" s="100">
        <v>44361</v>
      </c>
      <c r="C28" s="99" t="s">
        <v>4</v>
      </c>
      <c r="D28" s="101">
        <v>0.875</v>
      </c>
      <c r="E28" s="102" t="s">
        <v>422</v>
      </c>
      <c r="F28" s="103" t="s">
        <v>106</v>
      </c>
      <c r="G28" s="104"/>
      <c r="H28" s="132">
        <v>0</v>
      </c>
      <c r="I28" s="132">
        <v>0</v>
      </c>
      <c r="J28" s="104"/>
      <c r="K28" s="115" t="s">
        <v>116</v>
      </c>
      <c r="L28" s="35">
        <f t="shared" si="0"/>
        <v>1</v>
      </c>
      <c r="M28" s="37"/>
      <c r="N28" s="41"/>
      <c r="O28" s="136" t="s">
        <v>141</v>
      </c>
      <c r="P28" s="136" t="s">
        <v>30</v>
      </c>
      <c r="Q28" s="136" t="s">
        <v>36</v>
      </c>
      <c r="R28" s="136" t="s">
        <v>31</v>
      </c>
      <c r="S28" s="136" t="s">
        <v>32</v>
      </c>
      <c r="T28" s="136" t="s">
        <v>4</v>
      </c>
      <c r="U28" s="136" t="s">
        <v>33</v>
      </c>
      <c r="V28" s="136" t="s">
        <v>34</v>
      </c>
      <c r="W28" s="136" t="s">
        <v>35</v>
      </c>
      <c r="X28" s="136" t="s">
        <v>41</v>
      </c>
      <c r="Y28" s="154"/>
      <c r="Z28" s="30"/>
      <c r="AA28" s="29"/>
      <c r="AB28" s="72" t="s">
        <v>59</v>
      </c>
      <c r="AC28" s="12" t="s">
        <v>30</v>
      </c>
      <c r="AD28" s="12" t="s">
        <v>60</v>
      </c>
      <c r="AE28" s="12" t="s">
        <v>31</v>
      </c>
      <c r="AF28" s="12" t="s">
        <v>32</v>
      </c>
      <c r="AG28" s="12" t="s">
        <v>4</v>
      </c>
      <c r="AH28" s="12" t="s">
        <v>33</v>
      </c>
      <c r="AI28" s="12" t="s">
        <v>34</v>
      </c>
      <c r="AJ28" s="12" t="s">
        <v>35</v>
      </c>
      <c r="AK28" s="12" t="s">
        <v>41</v>
      </c>
      <c r="AL28" s="12" t="s">
        <v>61</v>
      </c>
      <c r="AM28" s="148" t="s">
        <v>59</v>
      </c>
      <c r="AN28" s="34"/>
      <c r="AO28" s="34"/>
      <c r="AP28" s="34"/>
      <c r="AQ28" s="34"/>
      <c r="AR28" s="34"/>
      <c r="AS28" s="34"/>
      <c r="AT28" s="34"/>
      <c r="AU28" s="34"/>
      <c r="AV28" s="34"/>
      <c r="AW28" s="34"/>
      <c r="AX28" s="34"/>
      <c r="AY28" s="34"/>
      <c r="AZ28" s="14" t="s">
        <v>95</v>
      </c>
      <c r="BA28" s="14">
        <f t="shared" si="19"/>
        <v>0</v>
      </c>
      <c r="BB28" s="14" t="str">
        <f>AQ8</f>
        <v>Croacia</v>
      </c>
      <c r="BC28" s="14" t="str">
        <f>AQ9</f>
        <v>Suecia</v>
      </c>
      <c r="BD28" s="14" t="str">
        <f>AQ7</f>
        <v>Macedonia N</v>
      </c>
      <c r="BE28" s="14" t="str">
        <f>AQ5</f>
        <v>Gales</v>
      </c>
      <c r="BG28" s="72" t="s">
        <v>30</v>
      </c>
      <c r="BH28" s="70" t="s">
        <v>175</v>
      </c>
      <c r="BI28" s="73" t="s">
        <v>178</v>
      </c>
      <c r="BJ28" s="71" t="s">
        <v>177</v>
      </c>
      <c r="BK28" s="70" t="s">
        <v>171</v>
      </c>
      <c r="BL28" s="74" t="str">
        <f>BG29</f>
        <v>Polonia</v>
      </c>
      <c r="BM28" s="75" t="str">
        <f>BG30</f>
        <v>Eslovaquia</v>
      </c>
      <c r="BN28" s="75" t="str">
        <f>BG31</f>
        <v>España</v>
      </c>
      <c r="BO28" s="76" t="str">
        <f>BG32</f>
        <v>Suecia</v>
      </c>
      <c r="BP28" s="70" t="s">
        <v>177</v>
      </c>
      <c r="BQ28" s="70" t="s">
        <v>171</v>
      </c>
      <c r="BR28" s="74" t="str">
        <f>BL28</f>
        <v>Polonia</v>
      </c>
      <c r="BS28" s="75" t="str">
        <f t="shared" ref="BS28" si="28">BM28</f>
        <v>Eslovaquia</v>
      </c>
      <c r="BT28" s="75" t="str">
        <f t="shared" ref="BT28" si="29">BN28</f>
        <v>España</v>
      </c>
      <c r="BU28" s="76" t="str">
        <f t="shared" ref="BU28" si="30">BO28</f>
        <v>Suecia</v>
      </c>
    </row>
    <row r="29" spans="1:338 8832:8832" x14ac:dyDescent="0.25">
      <c r="A29" s="99">
        <v>21</v>
      </c>
      <c r="B29" s="100">
        <v>44365</v>
      </c>
      <c r="C29" s="99" t="s">
        <v>4</v>
      </c>
      <c r="D29" s="101">
        <v>0.625</v>
      </c>
      <c r="E29" s="102" t="s">
        <v>414</v>
      </c>
      <c r="F29" s="103" t="s">
        <v>116</v>
      </c>
      <c r="G29" s="104"/>
      <c r="H29" s="132">
        <v>0</v>
      </c>
      <c r="I29" s="132">
        <v>0</v>
      </c>
      <c r="J29" s="104"/>
      <c r="K29" s="115" t="s">
        <v>119</v>
      </c>
      <c r="L29" s="35">
        <f t="shared" si="0"/>
        <v>1</v>
      </c>
      <c r="M29" s="37"/>
      <c r="N29" s="41"/>
      <c r="O29" s="139">
        <f ca="1">VLOOKUP(P29,$AC$29:$AM$32,11,FALSE)</f>
        <v>1</v>
      </c>
      <c r="P29" s="139" t="str">
        <f ca="1">OFFSET(AC29,MATCH(SMALL(AB29:AB32,ROW()-ROW(AB29)+1),AB29:AB32,0)-1,0)</f>
        <v>Polonia</v>
      </c>
      <c r="Q29" s="140">
        <f ca="1">VLOOKUP(P29,AC29:AL32,2,FALSE)</f>
        <v>5</v>
      </c>
      <c r="R29" s="139">
        <f ca="1">VLOOKUP(P29,AC29:AL32,3,FALSE)</f>
        <v>3</v>
      </c>
      <c r="S29" s="139">
        <f ca="1">VLOOKUP(P29,AC29:AL32,4,FALSE)</f>
        <v>1</v>
      </c>
      <c r="T29" s="139">
        <f ca="1">VLOOKUP(P29,AC29:AL32,5,FALSE)</f>
        <v>2</v>
      </c>
      <c r="U29" s="139">
        <f ca="1">VLOOKUP(P29,AC29:AL32,6,FALSE)</f>
        <v>0</v>
      </c>
      <c r="V29" s="139">
        <f ca="1">VLOOKUP(P29,AC29:AL32,7,FALSE)</f>
        <v>1</v>
      </c>
      <c r="W29" s="139">
        <f ca="1">VLOOKUP(P29,AC29:AL32,8,FALSE)</f>
        <v>0</v>
      </c>
      <c r="X29" s="139">
        <f ca="1">VLOOKUP(P29,AC29:AL32,9,FALSE)</f>
        <v>1</v>
      </c>
      <c r="Y29" s="154">
        <f ca="1">IF(R29=3,MIN(ABS(Z28-Z29),ABS(Z29-Z30)),100)</f>
        <v>1999798000983</v>
      </c>
      <c r="Z29" s="30">
        <f ca="1">VLOOKUP(P29,$AC$29:$AL$32,10,FALSE)</f>
        <v>5000202000982</v>
      </c>
      <c r="AB29" s="149">
        <f>RANK(AL29,AL29:AL33)</f>
        <v>1</v>
      </c>
      <c r="AC29" s="10" t="s">
        <v>117</v>
      </c>
      <c r="AD29" s="10">
        <f>AF29*3+AG29*1+AH29*0</f>
        <v>5</v>
      </c>
      <c r="AE29" s="10">
        <f>COUNTIFS($F$27:$F$32,AC29,$H$27:$H$32,"&lt;&gt;")+COUNTIFS($K$27:$K$32,AC29,$I$27:$I$32,"&lt;&gt;")</f>
        <v>3</v>
      </c>
      <c r="AF29" s="10">
        <f t="array" ref="AF29">SUM((F$27:F$32=AC29)*(H$27:H$32&lt;&gt;"")*(I$27:I$32&lt;&gt;"")*(H$27:H$32&gt;I$27:I$32),(K$27:K$32=AC29)*(H$27:H$32&lt;&gt;"")*(I$27:I$32&lt;&gt;"")*(H$27:H$32&lt;I$27:I$32))</f>
        <v>1</v>
      </c>
      <c r="AG29" s="10">
        <f t="array" ref="AG29">SUM((F$27:F$32=AC29)*(H$27:H$32&lt;&gt;"")*(H$27:H$32=I$27:I$32),(K$27:K$32=AC29)*(I$27:I$32&lt;&gt;"")*(H$27:H$32=I$27:I$32))</f>
        <v>2</v>
      </c>
      <c r="AH29" s="10">
        <f t="array" ref="AH29">SUM((F$27:F$32=AC29)*(I$27:I$32&lt;&gt;"")*(H$27:H$32&lt;&gt;"")*(H$27:H$32&lt;I$27:I$32),(H$27:H$32&lt;&gt;"")*(K$27:K$32=AC29)*(I$27:I$32&lt;&gt;"")*(H$27:H$32&gt;I$27:I$32))</f>
        <v>0</v>
      </c>
      <c r="AI29" s="10">
        <f>SUMIFS($H$27:$H$32,$F$27:$F$32,AC29)+SUMIFS($I$27:$I$32,$K$27:$K$32,AC29)</f>
        <v>1</v>
      </c>
      <c r="AJ29" s="10">
        <f>SUMIFS($H$27:$H$32,$K$27:$K$32,AC29)+SUMIFS($I$27:$I$32,$F$27:$F$32,AC29)</f>
        <v>0</v>
      </c>
      <c r="AK29" s="10">
        <f>AI29-AJ29</f>
        <v>1</v>
      </c>
      <c r="AL29" s="10">
        <f>IF(AE29=0,-($BE$11*VLOOKUP(AC29,Tabla3[[Selección]:[Ranking]],2,FALSE)),(AD29*$BE$6)+BI29+(AI29*$BE$9)+((AI29-AJ29)*$BE$10)-($BE$11*VLOOKUP(AC29,Tabla3[[Selección]:[Ranking]],2,FALSE)))</f>
        <v>5000202000982</v>
      </c>
      <c r="AM29" s="150">
        <f>AB29</f>
        <v>1</v>
      </c>
      <c r="AN29" s="34"/>
      <c r="AO29" s="34"/>
      <c r="AP29" s="34"/>
      <c r="AQ29" s="34"/>
      <c r="AR29" s="34"/>
      <c r="AS29" s="34"/>
      <c r="AT29" s="34"/>
      <c r="AU29" s="34"/>
      <c r="AV29" s="34"/>
      <c r="AW29" s="34"/>
      <c r="AX29" s="34"/>
      <c r="AY29" s="34"/>
      <c r="AZ29" s="14" t="s">
        <v>97</v>
      </c>
      <c r="BA29" s="14">
        <f t="shared" si="19"/>
        <v>0</v>
      </c>
      <c r="BB29" s="14" t="str">
        <f>AQ8</f>
        <v>Croacia</v>
      </c>
      <c r="BC29" s="14" t="str">
        <f>AQ10</f>
        <v>Francia</v>
      </c>
      <c r="BD29" s="14" t="str">
        <f>AQ7</f>
        <v>Macedonia N</v>
      </c>
      <c r="BE29" s="14" t="str">
        <f>AQ5</f>
        <v>Gales</v>
      </c>
      <c r="BG29" s="77" t="str">
        <f>AC29</f>
        <v>Polonia</v>
      </c>
      <c r="BH29" s="10">
        <f>COUNTIF(AD29:AD32,AD29)</f>
        <v>1</v>
      </c>
      <c r="BI29" s="56">
        <f>(BJ29*$BE$9)+(BP29*$BE$8)</f>
        <v>201000000</v>
      </c>
      <c r="BJ29" s="62">
        <f>RANK(BK29,BK29:BK32,1)</f>
        <v>1</v>
      </c>
      <c r="BK29" s="62">
        <f>SUM(IF(AD29=AD30,BM29,0),IF(AD29=AD31,BN29,0),IF(AD29=AD32,BO29,0))</f>
        <v>0</v>
      </c>
      <c r="BL29" s="67">
        <v>0</v>
      </c>
      <c r="BM29" s="58">
        <f>H28</f>
        <v>0</v>
      </c>
      <c r="BN29" s="58">
        <f>H30</f>
        <v>0</v>
      </c>
      <c r="BO29" s="59">
        <f>I32</f>
        <v>0</v>
      </c>
      <c r="BP29" s="62">
        <f>RANK(BQ29,BQ29:BQ32,1)</f>
        <v>2</v>
      </c>
      <c r="BQ29" s="62">
        <f>SUM(IF(AD29=AD30,BS29,0),IF(AD29=AD31,BT29,0),IF(AD29=AD32,BU29,0))</f>
        <v>0</v>
      </c>
      <c r="BR29" s="64">
        <v>0</v>
      </c>
      <c r="BS29" s="58">
        <f>BM29-BL30</f>
        <v>0</v>
      </c>
      <c r="BT29" s="58">
        <f>BN29-BL31</f>
        <v>0</v>
      </c>
      <c r="BU29" s="59">
        <f>BO29-BL32</f>
        <v>0</v>
      </c>
    </row>
    <row r="30" spans="1:338 8832:8832" x14ac:dyDescent="0.25">
      <c r="A30" s="99">
        <v>22</v>
      </c>
      <c r="B30" s="100">
        <v>44366</v>
      </c>
      <c r="C30" s="99" t="s">
        <v>4</v>
      </c>
      <c r="D30" s="101">
        <v>0.875</v>
      </c>
      <c r="E30" s="102" t="s">
        <v>422</v>
      </c>
      <c r="F30" s="103" t="s">
        <v>106</v>
      </c>
      <c r="G30" s="104"/>
      <c r="H30" s="132">
        <v>0</v>
      </c>
      <c r="I30" s="132">
        <v>0</v>
      </c>
      <c r="J30" s="104"/>
      <c r="K30" s="115" t="s">
        <v>117</v>
      </c>
      <c r="L30" s="35">
        <f t="shared" si="0"/>
        <v>1</v>
      </c>
      <c r="M30" s="37"/>
      <c r="N30" s="41"/>
      <c r="O30" s="139">
        <f ca="1">VLOOKUP(P30,$AC$29:$AM$32,11,FALSE)</f>
        <v>2</v>
      </c>
      <c r="P30" s="139" t="str">
        <f ca="1">OFFSET(AC29,MATCH(SMALL(AB29:AB32,ROW()-ROW(AB29)+1),AB29:AB32,0)-1,0)</f>
        <v>España</v>
      </c>
      <c r="Q30" s="140">
        <f ca="1">VLOOKUP(P30,AC29:AL32,2,FALSE)</f>
        <v>3</v>
      </c>
      <c r="R30" s="139">
        <f ca="1">VLOOKUP(P30,AC29:AL32,3,FALSE)</f>
        <v>3</v>
      </c>
      <c r="S30" s="139">
        <f ca="1">VLOOKUP(P30,AC29:AL32,4,FALSE)</f>
        <v>0</v>
      </c>
      <c r="T30" s="139">
        <f ca="1">VLOOKUP(P30,AC29:AL32,5,FALSE)</f>
        <v>3</v>
      </c>
      <c r="U30" s="139">
        <f ca="1">VLOOKUP(P30,AC29:AL32,6,FALSE)</f>
        <v>0</v>
      </c>
      <c r="V30" s="139">
        <f ca="1">VLOOKUP(P30,AC29:AL32,7,FALSE)</f>
        <v>0</v>
      </c>
      <c r="W30" s="139">
        <f ca="1">VLOOKUP(P30,AC29:AL32,8,FALSE)</f>
        <v>0</v>
      </c>
      <c r="X30" s="139">
        <f ca="1">VLOOKUP(P30,AC29:AL32,9,FALSE)</f>
        <v>0</v>
      </c>
      <c r="Y30" s="154">
        <f t="shared" ref="Y30:Y32" ca="1" si="31">IF(R30=3,MIN(ABS(Z29-Z30),ABS(Z30-Z31)),100)</f>
        <v>303000020</v>
      </c>
      <c r="Z30" s="30">
        <f t="shared" ref="Z30:Z32" ca="1" si="32">VLOOKUP(P30,$AC$29:$AL$32,10,FALSE)</f>
        <v>3000403999999</v>
      </c>
      <c r="AB30" s="149">
        <f>RANK(AL30,AL29:AL33)</f>
        <v>4</v>
      </c>
      <c r="AC30" s="10" t="s">
        <v>119</v>
      </c>
      <c r="AD30" s="10">
        <f t="shared" ref="AD30:AD32" si="33">AF30*3+AG30*1+AH30*0</f>
        <v>2</v>
      </c>
      <c r="AE30" s="10">
        <f>COUNTIFS($F$27:$F$32,AC30,$H$27:$H$32,"&lt;&gt;")+COUNTIFS($K$27:$K$32,AC30,$I$27:$I$32,"&lt;&gt;")</f>
        <v>3</v>
      </c>
      <c r="AF30" s="10">
        <f t="array" ref="AF30">SUM((F$27:F$32=AC30)*(H$27:H$32&lt;&gt;"")*(I$27:I$32&lt;&gt;"")*(H$27:H$32&gt;I$27:I$32),(K$27:K$32=AC30)*(H$27:H$32&lt;&gt;"")*(I$27:I$32&lt;&gt;"")*(H$27:H$32&lt;I$27:I$32))</f>
        <v>0</v>
      </c>
      <c r="AG30" s="10">
        <f t="array" ref="AG30">SUM((F$27:F$32=AC30)*(H$27:H$32&lt;&gt;"")*(H$27:H$32=I$27:I$32),(K$27:K$32=AC30)*(I$27:I$32&lt;&gt;"")*(H$27:H$32=I$27:I$32))</f>
        <v>2</v>
      </c>
      <c r="AH30" s="10">
        <f t="array" ref="AH30">SUM((F$27:F$32=AC30)*(I$27:I$32&lt;&gt;"")*(H$27:H$32&lt;&gt;"")*(H$27:H$32&lt;I$27:I$32),(H$27:H$32&lt;&gt;"")*(K$27:K$32=AC30)*(I$27:I$32&lt;&gt;"")*(H$27:H$32&gt;I$27:I$32))</f>
        <v>1</v>
      </c>
      <c r="AI30" s="10">
        <f>SUMIFS($H$27:$H$32,$F$27:$F$32,AC30)+SUMIFS($I$27:$I$32,$K$27:$K$32,AC30)</f>
        <v>0</v>
      </c>
      <c r="AJ30" s="10">
        <f>SUMIFS($H$27:$H$32,$K$27:$K$32,AC30)+SUMIFS($I$27:$I$32,$F$27:$F$32,AC30)</f>
        <v>1</v>
      </c>
      <c r="AK30" s="10">
        <f t="shared" ref="AK30:AK32" si="34">AI30-AJ30</f>
        <v>-1</v>
      </c>
      <c r="AL30" s="10">
        <f>IF(AE30=0,-($BE$11*VLOOKUP(AC30,Tabla3[[Selección]:[Ranking]],2,FALSE)),(AD30*$BE$6)+BI30+(AI30*$BE$9)+((AI30-AJ30)*$BE$10)-($BE$11*VLOOKUP(AC30,Tabla3[[Selección]:[Ranking]],2,FALSE)))</f>
        <v>2000200998969</v>
      </c>
      <c r="AM30" s="150">
        <f>AB30</f>
        <v>4</v>
      </c>
      <c r="AN30" s="34"/>
      <c r="AO30" s="34"/>
      <c r="AP30" s="34"/>
      <c r="AQ30" s="34"/>
      <c r="AR30" s="34"/>
      <c r="AS30" s="34"/>
      <c r="AT30" s="34"/>
      <c r="AU30" s="34"/>
      <c r="AV30" s="34"/>
      <c r="AW30" s="34"/>
      <c r="AX30" s="34"/>
      <c r="AY30" s="34"/>
      <c r="AZ30" s="14" t="s">
        <v>96</v>
      </c>
      <c r="BA30" s="14">
        <f t="shared" si="19"/>
        <v>0</v>
      </c>
      <c r="BB30" s="14" t="str">
        <f>AQ5</f>
        <v>Gales</v>
      </c>
      <c r="BC30" s="14" t="str">
        <f>AQ9</f>
        <v>Suecia</v>
      </c>
      <c r="BD30" s="14" t="str">
        <f>AQ7</f>
        <v>Macedonia N</v>
      </c>
      <c r="BE30" s="14" t="str">
        <f>AQ10</f>
        <v>Francia</v>
      </c>
      <c r="BG30" s="77" t="str">
        <f t="shared" ref="BG30:BG32" si="35">AC30</f>
        <v>Eslovaquia</v>
      </c>
      <c r="BH30" s="10">
        <f>COUNTIF(AD29:AD32,AD30)</f>
        <v>1</v>
      </c>
      <c r="BI30" s="56">
        <f>(BJ30*$BE$9)+(BP30*$BE$8)</f>
        <v>201000000</v>
      </c>
      <c r="BJ30" s="62">
        <f>RANK(BK30,BK29:BK32,1)</f>
        <v>1</v>
      </c>
      <c r="BK30" s="62">
        <f>SUM(IF(AD30=AD29,BL30,0),IF(AD30=AD31,BN30,0),IF(AD30=AD32,BO30,0))</f>
        <v>0</v>
      </c>
      <c r="BL30" s="57">
        <f>I28</f>
        <v>0</v>
      </c>
      <c r="BM30" s="68">
        <v>0</v>
      </c>
      <c r="BN30" s="58">
        <f>H31</f>
        <v>0</v>
      </c>
      <c r="BO30" s="59">
        <f>H29</f>
        <v>0</v>
      </c>
      <c r="BP30" s="62">
        <f>RANK(BQ30,BQ29:BQ32,1)</f>
        <v>2</v>
      </c>
      <c r="BQ30" s="62">
        <f>SUM(IF(AD30=AD29,BR30,0),IF(AD30=AD31,BT30,0),IF(AD30=AD32,BU30,0))</f>
        <v>0</v>
      </c>
      <c r="BR30" s="57">
        <f>BL30-BM29</f>
        <v>0</v>
      </c>
      <c r="BS30" s="65">
        <v>0</v>
      </c>
      <c r="BT30" s="58">
        <f>BN30-BM31</f>
        <v>0</v>
      </c>
      <c r="BU30" s="59">
        <f>BO30-BM32</f>
        <v>0</v>
      </c>
    </row>
    <row r="31" spans="1:338 8832:8832" x14ac:dyDescent="0.25">
      <c r="A31" s="99">
        <v>33</v>
      </c>
      <c r="B31" s="100">
        <v>44370</v>
      </c>
      <c r="C31" s="99" t="s">
        <v>4</v>
      </c>
      <c r="D31" s="101">
        <v>0.75</v>
      </c>
      <c r="E31" s="102" t="s">
        <v>422</v>
      </c>
      <c r="F31" s="103" t="s">
        <v>119</v>
      </c>
      <c r="G31" s="104"/>
      <c r="H31" s="132">
        <v>0</v>
      </c>
      <c r="I31" s="132">
        <v>0</v>
      </c>
      <c r="J31" s="104"/>
      <c r="K31" s="115" t="s">
        <v>106</v>
      </c>
      <c r="L31" s="35">
        <f t="shared" si="0"/>
        <v>1</v>
      </c>
      <c r="M31" s="37"/>
      <c r="N31" s="41"/>
      <c r="O31" s="139">
        <f ca="1">VLOOKUP(P31,$AC$29:$AM$32,11,FALSE)</f>
        <v>3</v>
      </c>
      <c r="P31" s="139" t="str">
        <f ca="1">OFFSET(AC29,MATCH(SMALL(AB29:AB32,ROW()-ROW(AB29)+1),AB29:AB32,0)-1,0)</f>
        <v>Suecia</v>
      </c>
      <c r="Q31" s="140">
        <f ca="1">VLOOKUP(P31,AC29:AL32,2,FALSE)</f>
        <v>3</v>
      </c>
      <c r="R31" s="139">
        <f ca="1">VLOOKUP(P31,AC29:AL32,3,FALSE)</f>
        <v>3</v>
      </c>
      <c r="S31" s="139">
        <f ca="1">VLOOKUP(P31,AC29:AL32,4,FALSE)</f>
        <v>0</v>
      </c>
      <c r="T31" s="139">
        <f ca="1">VLOOKUP(P31,AC29:AL32,5,FALSE)</f>
        <v>3</v>
      </c>
      <c r="U31" s="139">
        <f ca="1">VLOOKUP(P31,AC29:AL32,6,FALSE)</f>
        <v>0</v>
      </c>
      <c r="V31" s="139">
        <f ca="1">VLOOKUP(P31,AC29:AL32,7,FALSE)</f>
        <v>0</v>
      </c>
      <c r="W31" s="139">
        <f ca="1">VLOOKUP(P31,AC29:AL32,8,FALSE)</f>
        <v>0</v>
      </c>
      <c r="X31" s="139">
        <f ca="1">VLOOKUP(P31,AC29:AL32,9,FALSE)</f>
        <v>0</v>
      </c>
      <c r="Y31" s="154">
        <f t="shared" ca="1" si="31"/>
        <v>303000020</v>
      </c>
      <c r="Z31" s="30">
        <f t="shared" ca="1" si="32"/>
        <v>3000100999979</v>
      </c>
      <c r="AB31" s="149">
        <f>RANK(AL31,AL29:AL33)</f>
        <v>2</v>
      </c>
      <c r="AC31" s="10" t="s">
        <v>106</v>
      </c>
      <c r="AD31" s="10">
        <f t="shared" si="33"/>
        <v>3</v>
      </c>
      <c r="AE31" s="10">
        <f>COUNTIFS($F$27:$F$32,AC31,$H$27:$H$32,"&lt;&gt;")+COUNTIFS($K$27:$K$32,AC31,$I$27:$I$32,"&lt;&gt;")</f>
        <v>3</v>
      </c>
      <c r="AF31" s="10">
        <f t="array" ref="AF31">SUM((F$27:F$32=AC31)*(H$27:H$32&lt;&gt;"")*(I$27:I$32&lt;&gt;"")*(H$27:H$32&gt;I$27:I$32),(K$27:K$32=AC31)*(H$27:H$32&lt;&gt;"")*(I$27:I$32&lt;&gt;"")*(H$27:H$32&lt;I$27:I$32))</f>
        <v>0</v>
      </c>
      <c r="AG31" s="10">
        <f t="array" ref="AG31">SUM((F$27:F$32=AC31)*(H$27:H$32&lt;&gt;"")*(H$27:H$32=I$27:I$32),(K$27:K$32=AC31)*(I$27:I$32&lt;&gt;"")*(H$27:H$32=I$27:I$32))</f>
        <v>3</v>
      </c>
      <c r="AH31" s="10">
        <f t="array" ref="AH31">SUM((F$27:F$32=AC31)*(I$27:I$32&lt;&gt;"")*(H$27:H$32&lt;&gt;"")*(H$27:H$32&lt;I$27:I$32),(H$27:H$32&lt;&gt;"")*(K$27:K$32=AC31)*(I$27:I$32&lt;&gt;"")*(H$27:H$32&gt;I$27:I$32))</f>
        <v>0</v>
      </c>
      <c r="AI31" s="10">
        <f>SUMIFS($H$27:$H$32,$F$27:$F$32,AC31)+SUMIFS($I$27:$I$32,$K$27:$K$32,AC31)</f>
        <v>0</v>
      </c>
      <c r="AJ31" s="10">
        <f>SUMIFS($H$27:$H$32,$K$27:$K$32,AC31)+SUMIFS($I$27:$I$32,$F$27:$F$32,AC31)</f>
        <v>0</v>
      </c>
      <c r="AK31" s="10">
        <f t="shared" si="34"/>
        <v>0</v>
      </c>
      <c r="AL31" s="10">
        <f>IF(AE31=0,-($BE$11*VLOOKUP(AC31,Tabla3[[Selección]:[Ranking]],2,FALSE)),(AD31*$BE$6)+BI31+(AI31*$BE$9)+((AI31-AJ31)*$BE$10)-($BE$11*VLOOKUP(AC31,Tabla3[[Selección]:[Ranking]],2,FALSE)))</f>
        <v>3000403999999</v>
      </c>
      <c r="AM31" s="150">
        <f>AB31</f>
        <v>2</v>
      </c>
      <c r="AN31" s="34"/>
      <c r="AO31" s="34"/>
      <c r="AP31" s="34"/>
      <c r="AQ31" s="34"/>
      <c r="AR31" s="34"/>
      <c r="AS31" s="34"/>
      <c r="AT31" s="34"/>
      <c r="AU31" s="34"/>
      <c r="AV31" s="34"/>
      <c r="AW31" s="34"/>
      <c r="AX31" s="34"/>
      <c r="AY31" s="34"/>
      <c r="AZ31" s="14" t="s">
        <v>98</v>
      </c>
      <c r="BA31" s="14">
        <f t="shared" si="19"/>
        <v>0</v>
      </c>
      <c r="BB31" s="14" t="str">
        <f>AQ5</f>
        <v>Gales</v>
      </c>
      <c r="BC31" s="14" t="str">
        <f>AQ9</f>
        <v>Suecia</v>
      </c>
      <c r="BD31" s="14" t="str">
        <f>AQ8</f>
        <v>Croacia</v>
      </c>
      <c r="BE31" s="14" t="str">
        <f>AQ10</f>
        <v>Francia</v>
      </c>
      <c r="BG31" s="77" t="str">
        <f t="shared" si="35"/>
        <v>España</v>
      </c>
      <c r="BH31" s="10">
        <f>COUNTIF(AD29:AD32,AD31)</f>
        <v>2</v>
      </c>
      <c r="BI31" s="56">
        <f>(BJ31*$BE$9)+(BP31*$BE$8)</f>
        <v>404000000</v>
      </c>
      <c r="BJ31" s="62">
        <f>RANK(BK31,BK29:BK32,1)</f>
        <v>4</v>
      </c>
      <c r="BK31" s="62">
        <f>SUM(IF(AD31=AD29,BL31,0),IF(AD31=AD30,BM31,0),IF(AD31=AD32,BO31,0))</f>
        <v>1</v>
      </c>
      <c r="BL31" s="57">
        <f>I30</f>
        <v>0</v>
      </c>
      <c r="BM31" s="58">
        <f>I31</f>
        <v>0</v>
      </c>
      <c r="BN31" s="68">
        <v>0</v>
      </c>
      <c r="BO31" s="59">
        <f>H27</f>
        <v>1</v>
      </c>
      <c r="BP31" s="62">
        <f>RANK(BQ31,BQ29:BQ32,1)</f>
        <v>4</v>
      </c>
      <c r="BQ31" s="62">
        <f>SUM(IF(AD31=AD29,BR31,0),IF(AD31=AD30,BS31,0),IF(AD31=AD32,BU31,0))</f>
        <v>1</v>
      </c>
      <c r="BR31" s="57">
        <f>BL31-BN29</f>
        <v>0</v>
      </c>
      <c r="BS31" s="58">
        <f>BM31-BN30</f>
        <v>0</v>
      </c>
      <c r="BT31" s="65">
        <v>0</v>
      </c>
      <c r="BU31" s="59">
        <f>BO31-BN32</f>
        <v>1</v>
      </c>
    </row>
    <row r="32" spans="1:338 8832:8832" ht="15.75" thickBot="1" x14ac:dyDescent="0.3">
      <c r="A32" s="105">
        <v>34</v>
      </c>
      <c r="B32" s="106">
        <v>44370</v>
      </c>
      <c r="C32" s="105" t="s">
        <v>4</v>
      </c>
      <c r="D32" s="111">
        <v>0.75</v>
      </c>
      <c r="E32" s="112" t="s">
        <v>414</v>
      </c>
      <c r="F32" s="113" t="s">
        <v>116</v>
      </c>
      <c r="G32" s="114"/>
      <c r="H32" s="132">
        <v>0</v>
      </c>
      <c r="I32" s="132">
        <v>0</v>
      </c>
      <c r="J32" s="114"/>
      <c r="K32" s="117" t="s">
        <v>117</v>
      </c>
      <c r="L32" s="35">
        <f t="shared" si="0"/>
        <v>1</v>
      </c>
      <c r="M32" s="38"/>
      <c r="N32" s="42"/>
      <c r="O32" s="139">
        <f ca="1">VLOOKUP(P32,$AC$29:$AM$32,11,FALSE)</f>
        <v>4</v>
      </c>
      <c r="P32" s="139" t="str">
        <f ca="1">OFFSET(AC29,MATCH(SMALL(AB29:AB32,ROW()-ROW(AB29)+1),AB29:AB32,0)-1,0)</f>
        <v>Eslovaquia</v>
      </c>
      <c r="Q32" s="140">
        <f ca="1">VLOOKUP(P32,AC29:AL32,2,FALSE)</f>
        <v>2</v>
      </c>
      <c r="R32" s="139">
        <f ca="1">VLOOKUP(P32,AC29:AL32,3,FALSE)</f>
        <v>3</v>
      </c>
      <c r="S32" s="139">
        <f ca="1">VLOOKUP(P32,AC29:AL32,4,FALSE)</f>
        <v>0</v>
      </c>
      <c r="T32" s="139">
        <f ca="1">VLOOKUP(P32,AC29:AL32,5,FALSE)</f>
        <v>2</v>
      </c>
      <c r="U32" s="139">
        <f ca="1">VLOOKUP(P32,AC29:AL32,6,FALSE)</f>
        <v>1</v>
      </c>
      <c r="V32" s="139">
        <f ca="1">VLOOKUP(P32,AC29:AL32,7,FALSE)</f>
        <v>0</v>
      </c>
      <c r="W32" s="139">
        <f ca="1">VLOOKUP(P32,AC29:AL32,8,FALSE)</f>
        <v>1</v>
      </c>
      <c r="X32" s="139">
        <f ca="1">VLOOKUP(P32,AC29:AL32,9,FALSE)</f>
        <v>-1</v>
      </c>
      <c r="Y32" s="154">
        <f t="shared" ca="1" si="31"/>
        <v>999900001010</v>
      </c>
      <c r="Z32" s="30">
        <f t="shared" ca="1" si="32"/>
        <v>2000200998969</v>
      </c>
      <c r="AB32" s="151">
        <f>RANK(AL32,AL29:AL33)</f>
        <v>3</v>
      </c>
      <c r="AC32" s="11" t="s">
        <v>116</v>
      </c>
      <c r="AD32" s="11">
        <f t="shared" si="33"/>
        <v>3</v>
      </c>
      <c r="AE32" s="11">
        <f>COUNTIFS($F$27:$F$32,AC32,$H$27:$H$32,"&lt;&gt;")+COUNTIFS($K$27:$K$32,AC32,$I$27:$I$32,"&lt;&gt;")</f>
        <v>3</v>
      </c>
      <c r="AF32" s="11">
        <f t="array" ref="AF32">SUM((F$27:F$32=AC32)*(H$27:H$32&lt;&gt;"")*(I$27:I$32&lt;&gt;"")*(H$27:H$32&gt;I$27:I$32),(K$27:K$32=AC32)*(H$27:H$32&lt;&gt;"")*(I$27:I$32&lt;&gt;"")*(H$27:H$32&lt;I$27:I$32))</f>
        <v>0</v>
      </c>
      <c r="AG32" s="11">
        <f t="array" ref="AG32">SUM((F$27:F$32=AC32)*(H$27:H$32&lt;&gt;"")*(H$27:H$32=I$27:I$32),(K$27:K$32=AC32)*(I$27:I$32&lt;&gt;"")*(H$27:H$32=I$27:I$32))</f>
        <v>3</v>
      </c>
      <c r="AH32" s="11">
        <f t="array" ref="AH32">SUM((F$27:F$32=AC32)*(I$27:I$32&lt;&gt;"")*(H$27:H$32&lt;&gt;"")*(H$27:H$32&lt;I$27:I$32),(H$27:H$32&lt;&gt;"")*(K$27:K$32=AC32)*(I$27:I$32&lt;&gt;"")*(H$27:H$32&gt;I$27:I$32))</f>
        <v>0</v>
      </c>
      <c r="AI32" s="11">
        <f>SUMIFS($H$27:$H$32,$F$27:$F$32,AC32)+SUMIFS($I$27:$I$32,$K$27:$K$32,AC32)</f>
        <v>0</v>
      </c>
      <c r="AJ32" s="11">
        <f>SUMIFS($H$27:$H$32,$K$27:$K$32,AC32)+SUMIFS($I$27:$I$32,$F$27:$F$32,AC32)</f>
        <v>0</v>
      </c>
      <c r="AK32" s="11">
        <f t="shared" si="34"/>
        <v>0</v>
      </c>
      <c r="AL32" s="11">
        <f>IF(AE32=0,-($BE$11*VLOOKUP(AC32,Tabla3[[Selección]:[Ranking]],2,FALSE)),(AD32*$BE$6)+BI32+(AI32*$BE$9)+((AI32-AJ32)*$BE$10)-($BE$11*VLOOKUP(AC32,Tabla3[[Selección]:[Ranking]],2,FALSE)))</f>
        <v>3000100999979</v>
      </c>
      <c r="AM32" s="152">
        <f>AB32</f>
        <v>3</v>
      </c>
      <c r="AN32" s="34"/>
      <c r="AO32" s="34"/>
      <c r="AP32" s="34"/>
      <c r="AQ32" s="34"/>
      <c r="AR32" s="34"/>
      <c r="AS32" s="34"/>
      <c r="AT32" s="34"/>
      <c r="AU32" s="34"/>
      <c r="AV32" s="34"/>
      <c r="AW32" s="34"/>
      <c r="AX32" s="34"/>
      <c r="AY32" s="34"/>
      <c r="AZ32" s="14" t="s">
        <v>99</v>
      </c>
      <c r="BA32" s="14">
        <f t="shared" si="19"/>
        <v>0</v>
      </c>
      <c r="BB32" s="14" t="str">
        <f>AQ8</f>
        <v>Croacia</v>
      </c>
      <c r="BC32" s="14" t="str">
        <f>AQ9</f>
        <v>Suecia</v>
      </c>
      <c r="BD32" s="14" t="str">
        <f>AQ7</f>
        <v>Macedonia N</v>
      </c>
      <c r="BE32" s="14" t="str">
        <f>AQ6</f>
        <v>Bélgica</v>
      </c>
      <c r="BG32" s="78" t="str">
        <f t="shared" si="35"/>
        <v>Suecia</v>
      </c>
      <c r="BH32" s="11">
        <f>COUNTIF(AD29:AD32,AD32)</f>
        <v>2</v>
      </c>
      <c r="BI32" s="79">
        <f>(BJ32*$BE$9)+(BP32*$BE$8)</f>
        <v>101000000</v>
      </c>
      <c r="BJ32" s="63">
        <f>RANK(BK32,BK29:BK32,1)</f>
        <v>1</v>
      </c>
      <c r="BK32" s="63">
        <f>SUM(IF(AD32=AD29,BL32,0),IF(AD32=AD30,BM32,0),IF(AD32=AD31,BN32,0))</f>
        <v>0</v>
      </c>
      <c r="BL32" s="60">
        <f>H32</f>
        <v>0</v>
      </c>
      <c r="BM32" s="61">
        <f>I29</f>
        <v>0</v>
      </c>
      <c r="BN32" s="61">
        <f>I27</f>
        <v>0</v>
      </c>
      <c r="BO32" s="69">
        <v>0</v>
      </c>
      <c r="BP32" s="63">
        <f>RANK(BQ32,BQ29:BQ32,1)</f>
        <v>1</v>
      </c>
      <c r="BQ32" s="63">
        <f>SUM(IF(AD32=AD29,BR32,0),IF(AD32=AD30,BS32,0),IF(AD32=AD31,BT32,0))</f>
        <v>-1</v>
      </c>
      <c r="BR32" s="60">
        <f>BL32-BO29</f>
        <v>0</v>
      </c>
      <c r="BS32" s="61">
        <f>BM32-BO30</f>
        <v>0</v>
      </c>
      <c r="BT32" s="61">
        <f>BN32-BO31</f>
        <v>-1</v>
      </c>
      <c r="BU32" s="66">
        <v>0</v>
      </c>
    </row>
    <row r="33" spans="1:73" ht="15.75" thickBot="1" x14ac:dyDescent="0.3">
      <c r="A33" s="99">
        <v>11</v>
      </c>
      <c r="B33" s="100">
        <v>44362</v>
      </c>
      <c r="C33" s="99" t="s">
        <v>5</v>
      </c>
      <c r="D33" s="101">
        <v>0.75</v>
      </c>
      <c r="E33" s="102" t="s">
        <v>423</v>
      </c>
      <c r="F33" s="103" t="s">
        <v>425</v>
      </c>
      <c r="G33" s="104"/>
      <c r="H33" s="132">
        <v>4</v>
      </c>
      <c r="I33" s="132">
        <v>1</v>
      </c>
      <c r="J33" s="104"/>
      <c r="K33" s="115" t="s">
        <v>109</v>
      </c>
      <c r="L33" s="35">
        <f t="shared" si="0"/>
        <v>1</v>
      </c>
      <c r="M33" s="35"/>
      <c r="N33" s="43"/>
      <c r="O33" s="138" t="s">
        <v>144</v>
      </c>
      <c r="P33" s="138"/>
      <c r="Q33" s="138"/>
      <c r="R33" s="138"/>
      <c r="S33" s="138"/>
      <c r="T33" s="138"/>
      <c r="U33" s="138"/>
      <c r="V33" s="138"/>
      <c r="W33" s="138"/>
      <c r="X33" s="138"/>
      <c r="Y33" s="154"/>
      <c r="Z33" s="30"/>
      <c r="AB33" s="15" t="s">
        <v>150</v>
      </c>
      <c r="AC33" s="13"/>
      <c r="AD33" s="13"/>
      <c r="AE33" s="13"/>
      <c r="AF33" s="13"/>
      <c r="AG33" s="13"/>
      <c r="AH33" s="13"/>
      <c r="AI33" s="13"/>
      <c r="AJ33" s="13"/>
      <c r="AK33" s="13"/>
      <c r="AL33" s="13"/>
      <c r="AM33" s="16"/>
      <c r="AN33" s="34"/>
      <c r="AO33" s="34"/>
      <c r="AP33" s="34"/>
      <c r="AQ33" s="34"/>
      <c r="AR33" s="34"/>
      <c r="AS33" s="34"/>
      <c r="AT33" s="34"/>
      <c r="AU33" s="34"/>
      <c r="AV33" s="34"/>
      <c r="AW33" s="34"/>
      <c r="AX33" s="34"/>
      <c r="AY33" s="34"/>
      <c r="AZ33" s="14" t="s">
        <v>100</v>
      </c>
      <c r="BA33" s="14">
        <f t="shared" si="19"/>
        <v>0</v>
      </c>
      <c r="BB33" s="14" t="str">
        <f>AQ8</f>
        <v>Croacia</v>
      </c>
      <c r="BC33" s="14" t="str">
        <f>AQ10</f>
        <v>Francia</v>
      </c>
      <c r="BD33" s="14" t="str">
        <f>AQ7</f>
        <v>Macedonia N</v>
      </c>
      <c r="BE33" s="14" t="str">
        <f>AQ6</f>
        <v>Bélgica</v>
      </c>
      <c r="BG33" s="80" t="str">
        <f>CONCATENATE(O33," - GOLAVERAGE")</f>
        <v>Grupo F - GOLAVERAGE</v>
      </c>
      <c r="BH33" s="81"/>
      <c r="BI33" s="81"/>
      <c r="BJ33" s="215" t="s">
        <v>174</v>
      </c>
      <c r="BK33" s="216"/>
      <c r="BL33" s="216"/>
      <c r="BM33" s="216"/>
      <c r="BN33" s="216"/>
      <c r="BO33" s="217"/>
      <c r="BP33" s="218" t="s">
        <v>173</v>
      </c>
      <c r="BQ33" s="219"/>
      <c r="BR33" s="219"/>
      <c r="BS33" s="219"/>
      <c r="BT33" s="219"/>
      <c r="BU33" s="220"/>
    </row>
    <row r="34" spans="1:73" x14ac:dyDescent="0.25">
      <c r="A34" s="99">
        <v>12</v>
      </c>
      <c r="B34" s="100">
        <v>44362</v>
      </c>
      <c r="C34" s="99" t="s">
        <v>5</v>
      </c>
      <c r="D34" s="101">
        <v>0.875</v>
      </c>
      <c r="E34" s="102" t="s">
        <v>424</v>
      </c>
      <c r="F34" s="103" t="s">
        <v>104</v>
      </c>
      <c r="G34" s="104"/>
      <c r="H34" s="132">
        <v>1</v>
      </c>
      <c r="I34" s="132">
        <v>1</v>
      </c>
      <c r="J34" s="104"/>
      <c r="K34" s="115" t="s">
        <v>107</v>
      </c>
      <c r="L34" s="35">
        <f t="shared" si="0"/>
        <v>1</v>
      </c>
      <c r="M34" s="35"/>
      <c r="N34" s="35"/>
      <c r="O34" s="136" t="s">
        <v>141</v>
      </c>
      <c r="P34" s="136" t="s">
        <v>30</v>
      </c>
      <c r="Q34" s="136" t="s">
        <v>36</v>
      </c>
      <c r="R34" s="136" t="s">
        <v>31</v>
      </c>
      <c r="S34" s="136" t="s">
        <v>32</v>
      </c>
      <c r="T34" s="136" t="s">
        <v>4</v>
      </c>
      <c r="U34" s="136" t="s">
        <v>33</v>
      </c>
      <c r="V34" s="136" t="s">
        <v>34</v>
      </c>
      <c r="W34" s="136" t="s">
        <v>35</v>
      </c>
      <c r="X34" s="136" t="s">
        <v>41</v>
      </c>
      <c r="Y34" s="154"/>
      <c r="Z34" s="30"/>
      <c r="AA34" s="29"/>
      <c r="AB34" s="72" t="s">
        <v>59</v>
      </c>
      <c r="AC34" s="12" t="s">
        <v>30</v>
      </c>
      <c r="AD34" s="12" t="s">
        <v>60</v>
      </c>
      <c r="AE34" s="12" t="s">
        <v>31</v>
      </c>
      <c r="AF34" s="12" t="s">
        <v>32</v>
      </c>
      <c r="AG34" s="12" t="s">
        <v>4</v>
      </c>
      <c r="AH34" s="12" t="s">
        <v>33</v>
      </c>
      <c r="AI34" s="12" t="s">
        <v>34</v>
      </c>
      <c r="AJ34" s="12" t="s">
        <v>35</v>
      </c>
      <c r="AK34" s="12" t="s">
        <v>41</v>
      </c>
      <c r="AL34" s="12" t="s">
        <v>61</v>
      </c>
      <c r="AM34" s="148" t="s">
        <v>59</v>
      </c>
      <c r="AN34" s="34"/>
      <c r="AO34" s="34"/>
      <c r="AP34" s="34"/>
      <c r="AQ34" s="34"/>
      <c r="AR34" s="34"/>
      <c r="AS34" s="34"/>
      <c r="AT34" s="34"/>
      <c r="AU34" s="34"/>
      <c r="AV34" s="34"/>
      <c r="AW34" s="34"/>
      <c r="AX34" s="34"/>
      <c r="AY34" s="34"/>
      <c r="AZ34" s="14" t="s">
        <v>101</v>
      </c>
      <c r="BA34" s="14">
        <f t="shared" si="19"/>
        <v>0</v>
      </c>
      <c r="BB34" s="14" t="str">
        <f>AQ7</f>
        <v>Macedonia N</v>
      </c>
      <c r="BC34" s="14" t="str">
        <f>AQ10</f>
        <v>Francia</v>
      </c>
      <c r="BD34" s="14" t="str">
        <f>AQ9</f>
        <v>Suecia</v>
      </c>
      <c r="BE34" s="14" t="str">
        <f>AQ6</f>
        <v>Bélgica</v>
      </c>
      <c r="BG34" s="72" t="s">
        <v>30</v>
      </c>
      <c r="BH34" s="70" t="s">
        <v>175</v>
      </c>
      <c r="BI34" s="73" t="s">
        <v>178</v>
      </c>
      <c r="BJ34" s="71" t="s">
        <v>177</v>
      </c>
      <c r="BK34" s="70" t="s">
        <v>171</v>
      </c>
      <c r="BL34" s="74" t="str">
        <f>BG35</f>
        <v>Hungría</v>
      </c>
      <c r="BM34" s="75" t="str">
        <f>BG36</f>
        <v>Portugal</v>
      </c>
      <c r="BN34" s="75" t="str">
        <f>BG37</f>
        <v>Francia</v>
      </c>
      <c r="BO34" s="76" t="str">
        <f>BG38</f>
        <v>Alemania</v>
      </c>
      <c r="BP34" s="70" t="s">
        <v>177</v>
      </c>
      <c r="BQ34" s="70" t="s">
        <v>171</v>
      </c>
      <c r="BR34" s="74" t="str">
        <f>BL34</f>
        <v>Hungría</v>
      </c>
      <c r="BS34" s="75" t="str">
        <f t="shared" ref="BS34" si="36">BM34</f>
        <v>Portugal</v>
      </c>
      <c r="BT34" s="75" t="str">
        <f t="shared" ref="BT34" si="37">BN34</f>
        <v>Francia</v>
      </c>
      <c r="BU34" s="76" t="str">
        <f t="shared" ref="BU34" si="38">BO34</f>
        <v>Alemania</v>
      </c>
    </row>
    <row r="35" spans="1:73" x14ac:dyDescent="0.25">
      <c r="A35" s="99">
        <v>23</v>
      </c>
      <c r="B35" s="100">
        <v>44366</v>
      </c>
      <c r="C35" s="99" t="s">
        <v>5</v>
      </c>
      <c r="D35" s="101">
        <v>0.625</v>
      </c>
      <c r="E35" s="102" t="s">
        <v>423</v>
      </c>
      <c r="F35" s="103" t="s">
        <v>425</v>
      </c>
      <c r="G35" s="104"/>
      <c r="H35" s="132">
        <v>23</v>
      </c>
      <c r="I35" s="132">
        <v>1</v>
      </c>
      <c r="J35" s="104"/>
      <c r="K35" s="115" t="s">
        <v>104</v>
      </c>
      <c r="L35" s="35">
        <f t="shared" si="0"/>
        <v>1</v>
      </c>
      <c r="M35" s="35"/>
      <c r="N35" s="35"/>
      <c r="O35" s="139">
        <f ca="1">VLOOKUP(P35,$AC$35:$AM$38,11,FALSE)</f>
        <v>1</v>
      </c>
      <c r="P35" s="139" t="str">
        <f ca="1">OFFSET(AC35,MATCH(SMALL(AB35:AB38,ROW()-ROW(AB35)+1),AB35:AB38,0)-1,0)</f>
        <v>Hungría</v>
      </c>
      <c r="Q35" s="140">
        <f ca="1">VLOOKUP(P35,AC35:AL38,2,FALSE)</f>
        <v>7</v>
      </c>
      <c r="R35" s="139">
        <f ca="1">VLOOKUP(P35,AC35:AL38,3,FALSE)</f>
        <v>3</v>
      </c>
      <c r="S35" s="139">
        <f ca="1">VLOOKUP(P35,AC35:AL38,4,FALSE)</f>
        <v>2</v>
      </c>
      <c r="T35" s="139">
        <f ca="1">VLOOKUP(P35,AC35:AL38,5,FALSE)</f>
        <v>1</v>
      </c>
      <c r="U35" s="139">
        <f ca="1">VLOOKUP(P35,AC35:AL38,6,FALSE)</f>
        <v>0</v>
      </c>
      <c r="V35" s="139">
        <f ca="1">VLOOKUP(P35,AC35:AL38,7,FALSE)</f>
        <v>28</v>
      </c>
      <c r="W35" s="139">
        <f ca="1">VLOOKUP(P35,AC35:AL38,8,FALSE)</f>
        <v>3</v>
      </c>
      <c r="X35" s="139">
        <f ca="1">VLOOKUP(P35,AC35:AL38,9,FALSE)</f>
        <v>25</v>
      </c>
      <c r="Y35" s="154">
        <f ca="1">IF(R35=3,MIN(ABS(Z34-Z35),ABS(Z35-Z36)),100)</f>
        <v>3000022024972</v>
      </c>
      <c r="Z35" s="30">
        <f ca="1">VLOOKUP(P35,$AC$35:$AL$38,10,FALSE)</f>
        <v>7000229024967</v>
      </c>
      <c r="AB35" s="149">
        <f>RANK(AL35,AL35:AL38)</f>
        <v>1</v>
      </c>
      <c r="AC35" s="10" t="s">
        <v>425</v>
      </c>
      <c r="AD35" s="10">
        <f>AF35*3+AG35*1+AH35*0</f>
        <v>7</v>
      </c>
      <c r="AE35" s="10">
        <f>COUNTIFS($F$33:$F$38,AC35,$H$33:$H$38,"&lt;&gt;")+COUNTIFS($K$33:$K$38,AC35,$I$33:$I$38,"&lt;&gt;")</f>
        <v>3</v>
      </c>
      <c r="AF35" s="10">
        <f t="array" ref="AF35">SUM((F$33:F$38=AC35)*(H$33:H$38&lt;&gt;"")*(I$33:I$38&lt;&gt;"")*(H$33:H$38&gt;I$33:I$38),(K$33:K$38=AC35)*(H$33:H$38&lt;&gt;"")*(I$33:I$38&lt;&gt;"")*(H$33:H$38&lt;I$33:I$38))</f>
        <v>2</v>
      </c>
      <c r="AG35" s="10">
        <f t="array" ref="AG35">SUM((F$33:F$38=AC35)*(H$33:H$38&lt;&gt;"")*(H$33:H$38=I$33:I$38),(K$33:K$38=AC35)*(I$33:I$38&lt;&gt;"")*(H$33:H$38=I$33:I$38))</f>
        <v>1</v>
      </c>
      <c r="AH35" s="10">
        <f t="array" ref="AH35">SUM((F$33:F$38=AC35)*(I$33:I$38&lt;&gt;"")*(H$33:H$38&lt;&gt;"")*(H$33:H$38&lt;I$33:I$38),(H$33:H$38&lt;&gt;"")*(K$33:K$38=AC35)*(I$33:I$38&lt;&gt;"")*(H$33:H$38&gt;I$33:I$38))</f>
        <v>0</v>
      </c>
      <c r="AI35" s="10">
        <f>SUMIFS($H$33:$H$38,$F$33:$F$38,AC35)+SUMIFS($I$33:$I$38,$K$33:$K$38,AC35)</f>
        <v>28</v>
      </c>
      <c r="AJ35" s="10">
        <f>SUMIFS($H$33:$H$38,$K$33:$K$38,AC35)+SUMIFS($I$33:$I$38,$F$33:$F$38,AC35)</f>
        <v>3</v>
      </c>
      <c r="AK35" s="10">
        <f>AI35-AJ35</f>
        <v>25</v>
      </c>
      <c r="AL35" s="10">
        <f>IF(AE35=0,-($BE$11*VLOOKUP(AC35,Tabla3[[Selección]:[Ranking]],2,FALSE)),(AD35*$BE$6)+BI35+(AI35*$BE$9)+((AI35-AJ35)*$BE$10)-($BE$11*VLOOKUP(AC35,Tabla3[[Selección]:[Ranking]],2,FALSE)))</f>
        <v>7000229024967</v>
      </c>
      <c r="AM35" s="150">
        <f>AB35</f>
        <v>1</v>
      </c>
      <c r="AN35" s="34"/>
      <c r="AO35" s="34"/>
      <c r="AP35" s="34"/>
      <c r="AQ35" s="34"/>
      <c r="AR35" s="34"/>
      <c r="AS35" s="34"/>
      <c r="AT35" s="34"/>
      <c r="AU35" s="34"/>
      <c r="AV35" s="34"/>
      <c r="AW35" s="34"/>
      <c r="AX35" s="34"/>
      <c r="AY35" s="34"/>
      <c r="AZ35" s="14" t="s">
        <v>102</v>
      </c>
      <c r="BA35" s="14">
        <f t="shared" si="19"/>
        <v>0</v>
      </c>
      <c r="BB35" s="14" t="str">
        <f>AQ8</f>
        <v>Croacia</v>
      </c>
      <c r="BC35" s="14" t="str">
        <f>AQ10</f>
        <v>Francia</v>
      </c>
      <c r="BD35" s="14" t="str">
        <f>AQ9</f>
        <v>Suecia</v>
      </c>
      <c r="BE35" s="14" t="str">
        <f>AQ6</f>
        <v>Bélgica</v>
      </c>
      <c r="BG35" s="77" t="str">
        <f>AC35</f>
        <v>Hungría</v>
      </c>
      <c r="BH35" s="10">
        <f>COUNTIF(AD35:AD38,AD35)</f>
        <v>1</v>
      </c>
      <c r="BI35" s="56">
        <f>(BJ35*$BE$9)+(BP35*$BE$8)</f>
        <v>201000000</v>
      </c>
      <c r="BJ35" s="62">
        <f>RANK(BK35,BK35:BK38,1)</f>
        <v>1</v>
      </c>
      <c r="BK35" s="62">
        <f>SUM(IF(AD35=AD36,BM35,0),IF(AD35=AD37,BN35,0),IF(AD35=AD38,BO35,0))</f>
        <v>0</v>
      </c>
      <c r="BL35" s="67">
        <v>0</v>
      </c>
      <c r="BM35" s="58">
        <f>H34</f>
        <v>1</v>
      </c>
      <c r="BN35" s="58">
        <f>H36</f>
        <v>4</v>
      </c>
      <c r="BO35" s="59">
        <f>I38</f>
        <v>1</v>
      </c>
      <c r="BP35" s="62">
        <f>RANK(BQ35,BQ35:BQ38,1)</f>
        <v>2</v>
      </c>
      <c r="BQ35" s="62">
        <f>SUM(IF(AD35=AD36,BS35,0),IF(AD35=AD37,BT35,0),IF(AD35=AD38,BU35,0))</f>
        <v>0</v>
      </c>
      <c r="BR35" s="64">
        <v>0</v>
      </c>
      <c r="BS35" s="58">
        <f>BM35-BL36</f>
        <v>0</v>
      </c>
      <c r="BT35" s="58">
        <f>BN35-BL37</f>
        <v>3</v>
      </c>
      <c r="BU35" s="59">
        <f>BO35-BL38</f>
        <v>0</v>
      </c>
    </row>
    <row r="36" spans="1:73" x14ac:dyDescent="0.25">
      <c r="A36" s="99">
        <v>24</v>
      </c>
      <c r="B36" s="100">
        <v>44366</v>
      </c>
      <c r="C36" s="99" t="s">
        <v>5</v>
      </c>
      <c r="D36" s="101">
        <v>0.75</v>
      </c>
      <c r="E36" s="102" t="s">
        <v>424</v>
      </c>
      <c r="F36" s="103" t="s">
        <v>109</v>
      </c>
      <c r="G36" s="104"/>
      <c r="H36" s="132">
        <v>4</v>
      </c>
      <c r="I36" s="132">
        <v>1</v>
      </c>
      <c r="J36" s="104"/>
      <c r="K36" s="115" t="s">
        <v>107</v>
      </c>
      <c r="L36" s="35">
        <f t="shared" si="0"/>
        <v>1</v>
      </c>
      <c r="M36" s="35"/>
      <c r="N36" s="35"/>
      <c r="O36" s="139">
        <f ca="1">VLOOKUP(P36,$AC$35:$AM$38,11,FALSE)</f>
        <v>2</v>
      </c>
      <c r="P36" s="139" t="str">
        <f ca="1">OFFSET(AC35,MATCH(SMALL(AB35:AB38,ROW()-ROW(AB35)+1),AB35:AB38,0)-1,0)</f>
        <v>Portugal</v>
      </c>
      <c r="Q36" s="140">
        <f ca="1">VLOOKUP(P36,AC35:AL38,2,FALSE)</f>
        <v>4</v>
      </c>
      <c r="R36" s="139">
        <f ca="1">VLOOKUP(P36,AC35:AL38,3,FALSE)</f>
        <v>3</v>
      </c>
      <c r="S36" s="139">
        <f ca="1">VLOOKUP(P36,AC35:AL38,4,FALSE)</f>
        <v>1</v>
      </c>
      <c r="T36" s="139">
        <f ca="1">VLOOKUP(P36,AC35:AL38,5,FALSE)</f>
        <v>1</v>
      </c>
      <c r="U36" s="139">
        <f ca="1">VLOOKUP(P36,AC35:AL38,6,FALSE)</f>
        <v>1</v>
      </c>
      <c r="V36" s="139">
        <f ca="1">VLOOKUP(P36,AC35:AL38,7,FALSE)</f>
        <v>6</v>
      </c>
      <c r="W36" s="139">
        <f ca="1">VLOOKUP(P36,AC35:AL38,8,FALSE)</f>
        <v>6</v>
      </c>
      <c r="X36" s="139">
        <f ca="1">VLOOKUP(P36,AC35:AL38,9,FALSE)</f>
        <v>0</v>
      </c>
      <c r="Y36" s="154">
        <f t="shared" ref="Y36:Y38" ca="1" si="39">IF(R36=3,MIN(ABS(Z35-Z36),ABS(Z36-Z37)),100)</f>
        <v>1999800022001</v>
      </c>
      <c r="Z36" s="30">
        <f t="shared" ref="Z36:Z38" ca="1" si="40">VLOOKUP(P36,$AC$35:$AL$38,10,FALSE)</f>
        <v>4000206999995</v>
      </c>
      <c r="AB36" s="149">
        <f>RANK(AL36,AL35:AL38)</f>
        <v>2</v>
      </c>
      <c r="AC36" s="10" t="s">
        <v>109</v>
      </c>
      <c r="AD36" s="10">
        <f t="shared" ref="AD36:AD38" si="41">AF36*3+AG36*1+AH36*0</f>
        <v>4</v>
      </c>
      <c r="AE36" s="10">
        <f>COUNTIFS($F$33:$F$38,AC36,$H$33:$H$38,"&lt;&gt;")+COUNTIFS($K$33:$K$38,AC36,$I$33:$I$38,"&lt;&gt;")</f>
        <v>3</v>
      </c>
      <c r="AF36" s="10">
        <f t="array" ref="AF36">SUM((F$33:F$38=AC36)*(H$33:H$38&lt;&gt;"")*(I$33:I$38&lt;&gt;"")*(H$33:H$38&gt;I$33:I$38),(K$33:K$38=AC36)*(H$33:H$38&lt;&gt;"")*(I$33:I$38&lt;&gt;"")*(H$33:H$38&lt;I$33:I$38))</f>
        <v>1</v>
      </c>
      <c r="AG36" s="10">
        <f t="array" ref="AG36">SUM((F$33:F$38=AC36)*(H$33:H$38&lt;&gt;"")*(H$33:H$38=I$33:I$38),(K$33:K$38=AC36)*(I$33:I$38&lt;&gt;"")*(H$33:H$38=I$33:I$38))</f>
        <v>1</v>
      </c>
      <c r="AH36" s="10">
        <f t="array" ref="AH36">SUM((F$33:F$38=AC36)*(I$33:I$38&lt;&gt;"")*(H$33:H$38&lt;&gt;"")*(H$33:H$38&lt;I$33:I$38),(H$33:H$38&lt;&gt;"")*(K$33:K$38=AC36)*(I$33:I$38&lt;&gt;"")*(H$33:H$38&gt;I$33:I$38))</f>
        <v>1</v>
      </c>
      <c r="AI36" s="10">
        <f>SUMIFS($H$33:$H$38,$F$33:$F$38,AC36)+SUMIFS($I$33:$I$38,$K$33:$K$38,AC36)</f>
        <v>6</v>
      </c>
      <c r="AJ36" s="10">
        <f>SUMIFS($H$33:$H$38,$K$33:$K$38,AC36)+SUMIFS($I$33:$I$38,$F$33:$F$38,AC36)</f>
        <v>6</v>
      </c>
      <c r="AK36" s="10">
        <f t="shared" ref="AK36:AK38" si="42">AI36-AJ36</f>
        <v>0</v>
      </c>
      <c r="AL36" s="10">
        <f>IF(AE36=0,-($BE$11*VLOOKUP(AC36,Tabla3[[Selección]:[Ranking]],2,FALSE)),(AD36*$BE$6)+BI36+(AI36*$BE$9)+((AI36-AJ36)*$BE$10)-($BE$11*VLOOKUP(AC36,Tabla3[[Selección]:[Ranking]],2,FALSE)))</f>
        <v>4000206999995</v>
      </c>
      <c r="AM36" s="150">
        <f>AB36</f>
        <v>2</v>
      </c>
      <c r="AN36" s="34"/>
      <c r="AO36" s="34"/>
      <c r="AP36" s="34"/>
      <c r="AQ36" s="34"/>
      <c r="AR36" s="34"/>
      <c r="AS36" s="34"/>
      <c r="AT36" s="34"/>
      <c r="AU36" s="34"/>
      <c r="AV36" s="34"/>
      <c r="AW36" s="34"/>
      <c r="AX36" s="34"/>
      <c r="AY36" s="34"/>
      <c r="AZ36" s="14" t="s">
        <v>103</v>
      </c>
      <c r="BA36" s="14">
        <f t="shared" si="19"/>
        <v>0</v>
      </c>
      <c r="BB36" s="14" t="str">
        <f>AQ8</f>
        <v>Croacia</v>
      </c>
      <c r="BC36" s="14" t="str">
        <f>AQ9</f>
        <v>Suecia</v>
      </c>
      <c r="BD36" s="14" t="str">
        <f>AQ7</f>
        <v>Macedonia N</v>
      </c>
      <c r="BE36" s="14" t="str">
        <f>AQ10</f>
        <v>Francia</v>
      </c>
      <c r="BG36" s="77" t="str">
        <f t="shared" ref="BG36:BG38" si="43">AC36</f>
        <v>Portugal</v>
      </c>
      <c r="BH36" s="10">
        <f>COUNTIF(AD35:AD38,AD36)</f>
        <v>1</v>
      </c>
      <c r="BI36" s="56">
        <f>(BJ36*$BE$9)+(BP36*$BE$8)</f>
        <v>201000000</v>
      </c>
      <c r="BJ36" s="62">
        <f>RANK(BK36,BK35:BK38,1)</f>
        <v>1</v>
      </c>
      <c r="BK36" s="62">
        <f>SUM(IF(AD36=AD35,BL36,0),IF(AD36=AD37,BN36,0),IF(AD36=AD38,BO36,0))</f>
        <v>0</v>
      </c>
      <c r="BL36" s="57">
        <f>I34</f>
        <v>1</v>
      </c>
      <c r="BM36" s="68">
        <v>0</v>
      </c>
      <c r="BN36" s="58">
        <f>H37</f>
        <v>1</v>
      </c>
      <c r="BO36" s="59">
        <f>H35</f>
        <v>23</v>
      </c>
      <c r="BP36" s="62">
        <f>RANK(BQ36,BQ35:BQ38,1)</f>
        <v>2</v>
      </c>
      <c r="BQ36" s="62">
        <f>SUM(IF(AD36=AD35,BR36,0),IF(AD36=AD37,BT36,0),IF(AD36=AD38,BU36,0))</f>
        <v>0</v>
      </c>
      <c r="BR36" s="57">
        <f>BL36-BM35</f>
        <v>0</v>
      </c>
      <c r="BS36" s="65">
        <v>0</v>
      </c>
      <c r="BT36" s="58">
        <f>BN36-BM37</f>
        <v>0</v>
      </c>
      <c r="BU36" s="59">
        <f>BO36-BM38</f>
        <v>22</v>
      </c>
    </row>
    <row r="37" spans="1:73" x14ac:dyDescent="0.25">
      <c r="A37" s="99">
        <v>35</v>
      </c>
      <c r="B37" s="100">
        <v>44370</v>
      </c>
      <c r="C37" s="99" t="s">
        <v>5</v>
      </c>
      <c r="D37" s="101">
        <v>0.875</v>
      </c>
      <c r="E37" s="102" t="s">
        <v>423</v>
      </c>
      <c r="F37" s="103" t="s">
        <v>109</v>
      </c>
      <c r="G37" s="104"/>
      <c r="H37" s="132">
        <v>1</v>
      </c>
      <c r="I37" s="132">
        <v>1</v>
      </c>
      <c r="J37" s="104"/>
      <c r="K37" s="115" t="s">
        <v>104</v>
      </c>
      <c r="L37" s="35">
        <f t="shared" si="0"/>
        <v>1</v>
      </c>
      <c r="M37" s="35"/>
      <c r="N37" s="35"/>
      <c r="O37" s="139">
        <f ca="1">VLOOKUP(P37,$AC$35:$AM$38,11,FALSE)</f>
        <v>3</v>
      </c>
      <c r="P37" s="139" t="str">
        <f ca="1">OFFSET(AC35,MATCH(SMALL(AB35:AB38,ROW()-ROW(AB35)+1),AB35:AB38,0)-1,0)</f>
        <v>Francia</v>
      </c>
      <c r="Q37" s="140">
        <f ca="1">VLOOKUP(P37,AC35:AL38,2,FALSE)</f>
        <v>2</v>
      </c>
      <c r="R37" s="139">
        <f ca="1">VLOOKUP(P37,AC35:AL38,3,FALSE)</f>
        <v>3</v>
      </c>
      <c r="S37" s="139">
        <f ca="1">VLOOKUP(P37,AC35:AL38,4,FALSE)</f>
        <v>0</v>
      </c>
      <c r="T37" s="139">
        <f ca="1">VLOOKUP(P37,AC35:AL38,5,FALSE)</f>
        <v>2</v>
      </c>
      <c r="U37" s="139">
        <f ca="1">VLOOKUP(P37,AC35:AL38,6,FALSE)</f>
        <v>1</v>
      </c>
      <c r="V37" s="139">
        <f ca="1">VLOOKUP(P37,AC35:AL38,7,FALSE)</f>
        <v>3</v>
      </c>
      <c r="W37" s="139">
        <f ca="1">VLOOKUP(P37,AC35:AL38,8,FALSE)</f>
        <v>25</v>
      </c>
      <c r="X37" s="139">
        <f ca="1">VLOOKUP(P37,AC35:AL38,9,FALSE)</f>
        <v>-22</v>
      </c>
      <c r="Y37" s="154">
        <f t="shared" ca="1" si="39"/>
        <v>300980996</v>
      </c>
      <c r="Z37" s="30">
        <f t="shared" ca="1" si="40"/>
        <v>2000406977994</v>
      </c>
      <c r="AB37" s="149">
        <f>RANK(AL37,AL35:AL38)</f>
        <v>3</v>
      </c>
      <c r="AC37" s="10" t="s">
        <v>104</v>
      </c>
      <c r="AD37" s="10">
        <f t="shared" si="41"/>
        <v>2</v>
      </c>
      <c r="AE37" s="10">
        <f>COUNTIFS($F$33:$F$38,AC37,$H$33:$H$38,"&lt;&gt;")+COUNTIFS($K$33:$K$38,AC37,$I$33:$I$38,"&lt;&gt;")</f>
        <v>3</v>
      </c>
      <c r="AF37" s="10">
        <f t="array" ref="AF37">SUM((F$33:F$38=AC37)*(H$33:H$38&lt;&gt;"")*(I$33:I$38&lt;&gt;"")*(H$33:H$38&gt;I$33:I$38),(K$33:K$38=AC37)*(H$33:H$38&lt;&gt;"")*(I$33:I$38&lt;&gt;"")*(H$33:H$38&lt;I$33:I$38))</f>
        <v>0</v>
      </c>
      <c r="AG37" s="10">
        <f t="array" ref="AG37">SUM((F$33:F$38=AC37)*(H$33:H$38&lt;&gt;"")*(H$33:H$38=I$33:I$38),(K$33:K$38=AC37)*(I$33:I$38&lt;&gt;"")*(H$33:H$38=I$33:I$38))</f>
        <v>2</v>
      </c>
      <c r="AH37" s="10">
        <f t="array" ref="AH37">SUM((F$33:F$38=AC37)*(I$33:I$38&lt;&gt;"")*(H$33:H$38&lt;&gt;"")*(H$33:H$38&lt;I$33:I$38),(H$33:H$38&lt;&gt;"")*(K$33:K$38=AC37)*(I$33:I$38&lt;&gt;"")*(H$33:H$38&gt;I$33:I$38))</f>
        <v>1</v>
      </c>
      <c r="AI37" s="10">
        <f>SUMIFS($H$33:$H$38,$F$33:$F$38,AC37)+SUMIFS($I$33:$I$38,$K$33:$K$38,AC37)</f>
        <v>3</v>
      </c>
      <c r="AJ37" s="10">
        <f>SUMIFS($H$33:$H$38,$K$33:$K$38,AC37)+SUMIFS($I$33:$I$38,$F$33:$F$38,AC37)</f>
        <v>25</v>
      </c>
      <c r="AK37" s="10">
        <f t="shared" si="42"/>
        <v>-22</v>
      </c>
      <c r="AL37" s="10">
        <f>IF(AE37=0,-($BE$11*VLOOKUP(AC37,Tabla3[[Selección]:[Ranking]],2,FALSE)),(AD37*$BE$6)+BI37+(AI37*$BE$9)+((AI37-AJ37)*$BE$10)-($BE$11*VLOOKUP(AC37,Tabla3[[Selección]:[Ranking]],2,FALSE)))</f>
        <v>2000406977994</v>
      </c>
      <c r="AM37" s="150">
        <f>AB37</f>
        <v>3</v>
      </c>
      <c r="AN37" s="34"/>
      <c r="AO37" s="34"/>
      <c r="AP37" s="34"/>
      <c r="AQ37" s="34"/>
      <c r="AR37" s="34"/>
      <c r="AS37" s="34"/>
      <c r="AT37" s="34"/>
      <c r="AU37" s="34"/>
      <c r="AV37" s="34"/>
      <c r="AW37" s="34"/>
      <c r="AX37" s="34"/>
      <c r="AY37" s="34"/>
      <c r="AZ37" s="34"/>
      <c r="BA37" s="34"/>
      <c r="BB37" s="34"/>
      <c r="BC37" s="34"/>
      <c r="BD37" s="34"/>
      <c r="BG37" s="77" t="str">
        <f t="shared" si="43"/>
        <v>Francia</v>
      </c>
      <c r="BH37" s="10">
        <f>COUNTIF(AD35:AD38,AD37)</f>
        <v>2</v>
      </c>
      <c r="BI37" s="56">
        <f>(BJ37*$BE$9)+(BP37*$BE$8)</f>
        <v>404000000</v>
      </c>
      <c r="BJ37" s="62">
        <f>RANK(BK37,BK35:BK38,1)</f>
        <v>4</v>
      </c>
      <c r="BK37" s="62">
        <f>SUM(IF(AD37=AD35,BL37,0),IF(AD37=AD36,BM37,0),IF(AD37=AD38,BO37,0))</f>
        <v>4</v>
      </c>
      <c r="BL37" s="57">
        <f>I36</f>
        <v>1</v>
      </c>
      <c r="BM37" s="58">
        <f>I37</f>
        <v>1</v>
      </c>
      <c r="BN37" s="68">
        <v>0</v>
      </c>
      <c r="BO37" s="59">
        <f>H33</f>
        <v>4</v>
      </c>
      <c r="BP37" s="62">
        <f>RANK(BQ37,BQ35:BQ38,1)</f>
        <v>4</v>
      </c>
      <c r="BQ37" s="62">
        <f>SUM(IF(AD37=AD35,BR37,0),IF(AD37=AD36,BS37,0),IF(AD37=AD38,BU37,0))</f>
        <v>3</v>
      </c>
      <c r="BR37" s="57">
        <f>BL37-BN35</f>
        <v>-3</v>
      </c>
      <c r="BS37" s="58">
        <f>BM37-BN36</f>
        <v>0</v>
      </c>
      <c r="BT37" s="65">
        <v>0</v>
      </c>
      <c r="BU37" s="59">
        <f>BO37-BN38</f>
        <v>3</v>
      </c>
    </row>
    <row r="38" spans="1:73" ht="15.75" thickBot="1" x14ac:dyDescent="0.3">
      <c r="A38" s="99">
        <v>36</v>
      </c>
      <c r="B38" s="100">
        <v>44370</v>
      </c>
      <c r="C38" s="99" t="s">
        <v>5</v>
      </c>
      <c r="D38" s="101">
        <v>0.875</v>
      </c>
      <c r="E38" s="102" t="s">
        <v>424</v>
      </c>
      <c r="F38" s="103" t="s">
        <v>107</v>
      </c>
      <c r="G38" s="104"/>
      <c r="H38" s="132">
        <v>1</v>
      </c>
      <c r="I38" s="132">
        <v>1</v>
      </c>
      <c r="J38" s="104"/>
      <c r="K38" s="115" t="s">
        <v>425</v>
      </c>
      <c r="L38" s="35">
        <f t="shared" si="0"/>
        <v>1</v>
      </c>
      <c r="M38" s="35"/>
      <c r="N38" s="35"/>
      <c r="O38" s="139">
        <f ca="1">VLOOKUP(P38,$AC$35:$AM$38,11,FALSE)</f>
        <v>4</v>
      </c>
      <c r="P38" s="139" t="str">
        <f ca="1">OFFSET(AC35,MATCH(SMALL(AB35:AB38,ROW()-ROW(AB35)+1),AB35:AB38,0)-1,0)</f>
        <v>Alemania</v>
      </c>
      <c r="Q38" s="140">
        <f ca="1">VLOOKUP(P38,AC35:AL38,2,FALSE)</f>
        <v>2</v>
      </c>
      <c r="R38" s="139">
        <f ca="1">VLOOKUP(P38,AC35:AL38,3,FALSE)</f>
        <v>3</v>
      </c>
      <c r="S38" s="139">
        <f ca="1">VLOOKUP(P38,AC35:AL38,4,FALSE)</f>
        <v>0</v>
      </c>
      <c r="T38" s="139">
        <f ca="1">VLOOKUP(P38,AC35:AL38,5,FALSE)</f>
        <v>2</v>
      </c>
      <c r="U38" s="139">
        <f ca="1">VLOOKUP(P38,AC35:AL38,6,FALSE)</f>
        <v>1</v>
      </c>
      <c r="V38" s="139">
        <f ca="1">VLOOKUP(P38,AC35:AL38,7,FALSE)</f>
        <v>3</v>
      </c>
      <c r="W38" s="139">
        <f ca="1">VLOOKUP(P38,AC35:AL38,8,FALSE)</f>
        <v>6</v>
      </c>
      <c r="X38" s="139">
        <f ca="1">VLOOKUP(P38,AC35:AL38,9,FALSE)</f>
        <v>-3</v>
      </c>
      <c r="Y38" s="154">
        <f t="shared" ca="1" si="39"/>
        <v>300980996</v>
      </c>
      <c r="Z38" s="30">
        <f t="shared" ca="1" si="40"/>
        <v>2000105996998</v>
      </c>
      <c r="AB38" s="151">
        <f>RANK(AL38,AL35:AL38)</f>
        <v>4</v>
      </c>
      <c r="AC38" s="11" t="s">
        <v>107</v>
      </c>
      <c r="AD38" s="11">
        <f t="shared" si="41"/>
        <v>2</v>
      </c>
      <c r="AE38" s="11">
        <f>COUNTIFS($F$33:$F$38,AC38,$H$33:$H$38,"&lt;&gt;")+COUNTIFS($K$33:$K$38,AC38,$I$33:$I$38,"&lt;&gt;")</f>
        <v>3</v>
      </c>
      <c r="AF38" s="11">
        <f t="array" ref="AF38">SUM((F$33:F$38=AC38)*(H$33:H$38&lt;&gt;"")*(I$33:I$38&lt;&gt;"")*(H$33:H$38&gt;I$33:I$38),(K$33:K$38=AC38)*(H$33:H$38&lt;&gt;"")*(I$33:I$38&lt;&gt;"")*(H$33:H$38&lt;I$33:I$38))</f>
        <v>0</v>
      </c>
      <c r="AG38" s="11">
        <f t="array" ref="AG38">SUM((F$33:F$38=AC38)*(H$33:H$38&lt;&gt;"")*(H$33:H$38=I$33:I$38),(K$33:K$38=AC38)*(I$33:I$38&lt;&gt;"")*(H$33:H$38=I$33:I$38))</f>
        <v>2</v>
      </c>
      <c r="AH38" s="11">
        <f t="array" ref="AH38">SUM((F$33:F$38=AC38)*(I$33:I$38&lt;&gt;"")*(H$33:H$38&lt;&gt;"")*(H$33:H$38&lt;I$33:I$38),(H$33:H$38&lt;&gt;"")*(K$33:K$38=AC38)*(I$33:I$38&lt;&gt;"")*(H$33:H$38&gt;I$33:I$38))</f>
        <v>1</v>
      </c>
      <c r="AI38" s="11">
        <f>SUMIFS($H$33:$H$38,$F$33:$F$38,AC38)+SUMIFS($I$33:$I$38,$K$33:$K$38,AC38)</f>
        <v>3</v>
      </c>
      <c r="AJ38" s="11">
        <f>SUMIFS($H$33:$H$38,$K$33:$K$38,AC38)+SUMIFS($I$33:$I$38,$F$33:$F$38,AC38)</f>
        <v>6</v>
      </c>
      <c r="AK38" s="11">
        <f t="shared" si="42"/>
        <v>-3</v>
      </c>
      <c r="AL38" s="11">
        <f>IF(AE38=0,-($BE$11*VLOOKUP(AC38,Tabla3[[Selección]:[Ranking]],2,FALSE)),(AD38*$BE$6)+BI38+(AI38*$BE$9)+((AI38-AJ38)*$BE$10)-($BE$11*VLOOKUP(AC38,Tabla3[[Selección]:[Ranking]],2,FALSE)))</f>
        <v>2000105996998</v>
      </c>
      <c r="AM38" s="152">
        <f>AB38</f>
        <v>4</v>
      </c>
      <c r="AN38" s="34"/>
      <c r="AO38" s="34"/>
      <c r="AP38" s="34"/>
      <c r="AQ38" s="34"/>
      <c r="AR38" s="34"/>
      <c r="AS38" s="34"/>
      <c r="AT38" s="34"/>
      <c r="AU38" s="34"/>
      <c r="AV38" s="34"/>
      <c r="AW38" s="34"/>
      <c r="AX38" s="34"/>
      <c r="AY38" s="34"/>
      <c r="AZ38" s="34"/>
      <c r="BA38" s="34"/>
      <c r="BB38" s="34"/>
      <c r="BC38" s="34"/>
      <c r="BD38" s="34"/>
      <c r="BG38" s="78" t="str">
        <f t="shared" si="43"/>
        <v>Alemania</v>
      </c>
      <c r="BH38" s="11">
        <f>COUNTIF(AD35:AD38,AD38)</f>
        <v>2</v>
      </c>
      <c r="BI38" s="79">
        <f>(BJ38*$BE$9)+(BP38*$BE$8)</f>
        <v>103000000</v>
      </c>
      <c r="BJ38" s="63">
        <f>RANK(BK38,BK35:BK38,1)</f>
        <v>3</v>
      </c>
      <c r="BK38" s="63">
        <f>SUM(IF(AD38=AD35,BL38,0),IF(AD38=AD36,BM38,0),IF(AD38=AD37,BN38,0))</f>
        <v>1</v>
      </c>
      <c r="BL38" s="60">
        <f>H38</f>
        <v>1</v>
      </c>
      <c r="BM38" s="61">
        <f>I35</f>
        <v>1</v>
      </c>
      <c r="BN38" s="61">
        <f>I33</f>
        <v>1</v>
      </c>
      <c r="BO38" s="69">
        <v>0</v>
      </c>
      <c r="BP38" s="63">
        <f>RANK(BQ38,BQ35:BQ38,1)</f>
        <v>1</v>
      </c>
      <c r="BQ38" s="63">
        <f>SUM(IF(AD38=AD35,BR38,0),IF(AD38=AD36,BS38,0),IF(AD38=AD37,BT38,0))</f>
        <v>-3</v>
      </c>
      <c r="BR38" s="60">
        <f>BL38-BO35</f>
        <v>0</v>
      </c>
      <c r="BS38" s="61">
        <f>BM38-BO36</f>
        <v>-22</v>
      </c>
      <c r="BT38" s="61">
        <f>BN38-BO37</f>
        <v>-3</v>
      </c>
      <c r="BU38" s="66">
        <v>0</v>
      </c>
    </row>
    <row r="39" spans="1:73" x14ac:dyDescent="0.25">
      <c r="A39" s="53" t="s">
        <v>127</v>
      </c>
      <c r="B39" s="53"/>
      <c r="C39" s="53"/>
      <c r="D39" s="53"/>
      <c r="E39" s="53"/>
      <c r="F39" s="44"/>
      <c r="G39" s="44"/>
      <c r="H39" s="44"/>
      <c r="I39" s="44"/>
      <c r="J39" s="44"/>
      <c r="K39" s="44"/>
      <c r="L39" s="48"/>
      <c r="M39" s="48"/>
      <c r="N39" s="48"/>
      <c r="O39" s="9"/>
      <c r="P39" s="9"/>
      <c r="Q39" s="9"/>
      <c r="R39" s="9"/>
      <c r="S39" s="9"/>
      <c r="T39" s="9"/>
      <c r="U39" s="9"/>
      <c r="V39" s="9"/>
      <c r="W39" s="9"/>
      <c r="X39" s="9"/>
      <c r="Y39" s="157"/>
      <c r="Z39" s="48"/>
    </row>
    <row r="40" spans="1:73" ht="15.75" x14ac:dyDescent="0.25">
      <c r="A40" s="8" t="s">
        <v>138</v>
      </c>
      <c r="B40" s="8" t="s">
        <v>58</v>
      </c>
      <c r="C40" s="8"/>
      <c r="D40" s="8" t="s">
        <v>39</v>
      </c>
      <c r="E40" s="33" t="s">
        <v>40</v>
      </c>
      <c r="F40" s="8" t="s">
        <v>2</v>
      </c>
      <c r="G40" s="9" t="s">
        <v>140</v>
      </c>
      <c r="H40" s="9" t="s">
        <v>32</v>
      </c>
      <c r="I40" s="9" t="s">
        <v>32</v>
      </c>
      <c r="J40" s="9" t="s">
        <v>140</v>
      </c>
      <c r="K40" s="8" t="s">
        <v>5</v>
      </c>
      <c r="L40" s="8"/>
      <c r="M40" s="8"/>
      <c r="N40" s="8"/>
      <c r="O40" s="163">
        <f ca="1">COUNTIF(Y5:Y38,"&lt;100")</f>
        <v>0</v>
      </c>
      <c r="P40" s="204" t="s">
        <v>310</v>
      </c>
      <c r="Q40" s="204"/>
      <c r="R40" s="204"/>
      <c r="S40" s="204"/>
      <c r="T40" s="204"/>
      <c r="U40" s="204"/>
      <c r="V40" s="204"/>
      <c r="W40" s="204"/>
      <c r="X40" s="204"/>
      <c r="Y40" s="156"/>
      <c r="Z40" s="9"/>
    </row>
    <row r="41" spans="1:73" ht="15" customHeight="1" x14ac:dyDescent="0.25">
      <c r="A41" s="118">
        <v>38</v>
      </c>
      <c r="B41" s="119">
        <v>44373</v>
      </c>
      <c r="C41" s="118"/>
      <c r="D41" s="107">
        <v>0.75</v>
      </c>
      <c r="E41" s="108" t="s">
        <v>417</v>
      </c>
      <c r="F41" s="120" t="str">
        <f>IF(SUM(AE5:AE8)=12,VLOOKUP(2,$AB$5:$AC$8,2,FALSE),"2A")</f>
        <v>Italia</v>
      </c>
      <c r="G41" s="121"/>
      <c r="H41" s="131"/>
      <c r="I41" s="131"/>
      <c r="J41" s="121"/>
      <c r="K41" s="129" t="str">
        <f>IF(SUM(AE11:AE14)=12,VLOOKUP(2,$AB$11:$AC$14,2,FALSE),"2B")</f>
        <v>Finlandia</v>
      </c>
      <c r="L41" s="35">
        <f>IF(F51="W37",0,1)</f>
        <v>1</v>
      </c>
      <c r="M41" s="8"/>
      <c r="N41" s="8"/>
      <c r="O41" s="205" t="str">
        <f ca="1">CONCATENATE("Hay ",O40," equipos igualados en puntos, goles y golaveraje (signo de exclamación). Como no somos tan listos de adivinar las tarjetas que les sacarán, si no estás de acuerdo con el orden… cambia los goles de alguno de sus partidos")</f>
        <v>Hay 0 equipos igualados en puntos, goles y golaveraje (signo de exclamación). Como no somos tan listos de adivinar las tarjetas que les sacarán, si no estás de acuerdo con el orden… cambia los goles de alguno de sus partidos</v>
      </c>
      <c r="P41" s="205"/>
      <c r="Q41" s="205"/>
      <c r="R41" s="205"/>
      <c r="S41" s="205"/>
      <c r="T41" s="205"/>
      <c r="U41" s="205"/>
      <c r="V41" s="205"/>
      <c r="W41" s="205"/>
      <c r="X41" s="205"/>
      <c r="Y41" s="156"/>
      <c r="Z41" s="9"/>
    </row>
    <row r="42" spans="1:73" x14ac:dyDescent="0.25">
      <c r="A42" s="122">
        <v>37</v>
      </c>
      <c r="B42" s="123">
        <v>44373</v>
      </c>
      <c r="C42" s="122"/>
      <c r="D42" s="124">
        <v>0.75</v>
      </c>
      <c r="E42" s="125" t="s">
        <v>420</v>
      </c>
      <c r="F42" s="126" t="str">
        <f>IF(SUM(AE5:AE8)=12,VLOOKUP(1,$AB$5:$AC$8,2,FALSE),"1A")</f>
        <v>Turquía</v>
      </c>
      <c r="G42" s="121"/>
      <c r="H42" s="131"/>
      <c r="I42" s="131"/>
      <c r="J42" s="121"/>
      <c r="K42" s="130" t="str">
        <f>IF(SUM(AE17:AE20)=12,VLOOKUP(2,$AB$17:$AC$20,2,FALSE),"2C")</f>
        <v>Austria</v>
      </c>
      <c r="L42" s="35">
        <f>IF(F52="W38",0,1)</f>
        <v>1</v>
      </c>
      <c r="M42" s="8"/>
      <c r="N42" s="8"/>
      <c r="O42" s="205"/>
      <c r="P42" s="205"/>
      <c r="Q42" s="205"/>
      <c r="R42" s="205"/>
      <c r="S42" s="205"/>
      <c r="T42" s="205"/>
      <c r="U42" s="205"/>
      <c r="V42" s="205"/>
      <c r="W42" s="205"/>
      <c r="X42" s="205"/>
      <c r="Y42" s="156"/>
      <c r="Z42" s="9"/>
    </row>
    <row r="43" spans="1:73" x14ac:dyDescent="0.25">
      <c r="A43" s="122">
        <v>40</v>
      </c>
      <c r="B43" s="123">
        <v>44374</v>
      </c>
      <c r="C43" s="122"/>
      <c r="D43" s="124">
        <v>0.75</v>
      </c>
      <c r="E43" s="125" t="s">
        <v>423</v>
      </c>
      <c r="F43" s="126" t="str">
        <f>IF(SUM(AE17:AE20)=12,VLOOKUP(1,$AB$17:$AC$20,2,FALSE),"1C")</f>
        <v>Países Bajos</v>
      </c>
      <c r="G43" s="121"/>
      <c r="H43" s="131"/>
      <c r="I43" s="131"/>
      <c r="J43" s="121"/>
      <c r="K43" s="224" t="str">
        <f>IF(SUM(AS5:AS10)=18,VLOOKUP(1,$BA$22:$BE$36,3,FALSE),"3D/E/F")</f>
        <v>Suecia</v>
      </c>
      <c r="L43" s="35">
        <f>IF(K51="W39",0,1)</f>
        <v>1</v>
      </c>
      <c r="M43" s="8"/>
      <c r="N43" s="8"/>
      <c r="O43" s="205"/>
      <c r="P43" s="205"/>
      <c r="Q43" s="205"/>
      <c r="R43" s="205"/>
      <c r="S43" s="205"/>
      <c r="T43" s="205"/>
      <c r="U43" s="205"/>
      <c r="V43" s="205"/>
      <c r="W43" s="205"/>
      <c r="X43" s="205"/>
      <c r="Y43" s="156"/>
      <c r="Z43" s="9"/>
    </row>
    <row r="44" spans="1:73" x14ac:dyDescent="0.25">
      <c r="A44" s="122">
        <v>39</v>
      </c>
      <c r="B44" s="123">
        <v>44374</v>
      </c>
      <c r="C44" s="122"/>
      <c r="D44" s="124">
        <v>0.875</v>
      </c>
      <c r="E44" s="125" t="s">
        <v>422</v>
      </c>
      <c r="F44" s="126" t="str">
        <f>IF(SUM(AE11:AE14)=12,VLOOKUP(1,$AB$11:$AC$14,2,FALSE),"1B")</f>
        <v>Dinamarca</v>
      </c>
      <c r="G44" s="121"/>
      <c r="H44" s="131"/>
      <c r="I44" s="131"/>
      <c r="J44" s="121"/>
      <c r="K44" s="224" t="str">
        <f>IF(SUM(AS5:AS10)=18,VLOOKUP(1,$BA$22:$BE$36,4,FALSE),"3A/D/E/F")</f>
        <v>Macedonia N</v>
      </c>
      <c r="L44" s="35">
        <f>IF(F54="W40",0,1)</f>
        <v>1</v>
      </c>
      <c r="M44" s="8"/>
      <c r="N44" s="8"/>
      <c r="O44" s="205"/>
      <c r="P44" s="205"/>
      <c r="Q44" s="205"/>
      <c r="R44" s="205"/>
      <c r="S44" s="205"/>
      <c r="T44" s="205"/>
      <c r="U44" s="205"/>
      <c r="V44" s="205"/>
      <c r="W44" s="205"/>
      <c r="X44" s="205"/>
      <c r="Y44" s="158"/>
      <c r="Z44" s="8"/>
    </row>
    <row r="45" spans="1:73" x14ac:dyDescent="0.25">
      <c r="A45" s="122">
        <v>42</v>
      </c>
      <c r="B45" s="123">
        <v>44375</v>
      </c>
      <c r="C45" s="122"/>
      <c r="D45" s="124">
        <v>0.75</v>
      </c>
      <c r="E45" s="125" t="s">
        <v>413</v>
      </c>
      <c r="F45" s="126" t="str">
        <f>IF(SUM(AE17:AE20)=12,VLOOKUP(2,$AB$17:$AC$20,2,FALSE),"2D")</f>
        <v>Austria</v>
      </c>
      <c r="G45" s="121"/>
      <c r="H45" s="131"/>
      <c r="I45" s="131"/>
      <c r="J45" s="121"/>
      <c r="K45" s="130" t="str">
        <f>IF(SUM(AE29:AE32)=12,VLOOKUP(2,$AB$29:$AC$32,2,FALSE),"2E")</f>
        <v>España</v>
      </c>
      <c r="L45" s="35">
        <f>IF(F53="W41",0,1)</f>
        <v>1</v>
      </c>
      <c r="M45" s="8"/>
      <c r="N45" s="8"/>
      <c r="O45" s="51"/>
      <c r="P45" s="8"/>
      <c r="Q45" s="8"/>
      <c r="R45" s="8"/>
      <c r="S45" s="8"/>
      <c r="T45" s="8"/>
      <c r="U45" s="8"/>
      <c r="V45" s="8"/>
      <c r="W45" s="8"/>
      <c r="X45" s="8"/>
      <c r="Y45" s="158"/>
      <c r="Z45" s="8"/>
    </row>
    <row r="46" spans="1:73" ht="15" customHeight="1" x14ac:dyDescent="0.25">
      <c r="A46" s="99">
        <v>41</v>
      </c>
      <c r="B46" s="100">
        <v>44375</v>
      </c>
      <c r="C46" s="99"/>
      <c r="D46" s="101">
        <v>0.875</v>
      </c>
      <c r="E46" s="102" t="s">
        <v>416</v>
      </c>
      <c r="F46" s="127" t="str">
        <f>IF(SUM(AE35:AE38)=12,VLOOKUP(1,$AB$35:$AC$38,2,FALSE),"1F")</f>
        <v>Hungría</v>
      </c>
      <c r="G46" s="121"/>
      <c r="H46" s="131"/>
      <c r="I46" s="131"/>
      <c r="J46" s="121"/>
      <c r="K46" s="224" t="str">
        <f>IF(SUM(AS5:AS10)=18,VLOOKUP(1,$BA$22:$BE$36,4,FALSE),"3A/B/C")</f>
        <v>Macedonia N</v>
      </c>
      <c r="L46" s="35">
        <f>IF(K52="W42",0,1)</f>
        <v>1</v>
      </c>
      <c r="M46" s="8"/>
      <c r="N46" s="52"/>
      <c r="O46" s="163">
        <f>IF(SUM(AS5:AS10)&lt;18,0,IF(ABS(VLOOKUP(6,$AO$5:$AAZ$10,12,FALSE)-VLOOKUP(4,$AO$5:$AAZ$10,12,FALSE))&lt;100,2,IF(ABS(VLOOKUP(5,$AO$5:$AAZ$10,12,FALSE)-VLOOKUP(4,$AO$5:$AAZ$10,12,FALSE))&lt;100,1,0)))</f>
        <v>0</v>
      </c>
      <c r="P46" s="204" t="s">
        <v>310</v>
      </c>
      <c r="Q46" s="204"/>
      <c r="R46" s="204"/>
      <c r="S46" s="204"/>
      <c r="T46" s="204"/>
      <c r="U46" s="204"/>
      <c r="V46" s="204"/>
      <c r="W46" s="204"/>
      <c r="X46" s="204"/>
      <c r="Y46" s="159"/>
      <c r="Z46" s="49"/>
    </row>
    <row r="47" spans="1:73" x14ac:dyDescent="0.25">
      <c r="A47" s="128">
        <v>44</v>
      </c>
      <c r="B47" s="123">
        <v>44376</v>
      </c>
      <c r="C47" s="122"/>
      <c r="D47" s="124">
        <v>0.75</v>
      </c>
      <c r="E47" s="125" t="s">
        <v>420</v>
      </c>
      <c r="F47" s="126" t="str">
        <f>IF(SUM(AE29:AE32)=12,VLOOKUP(1,$AB$23:$AC$26,2,FALSE),"1D")</f>
        <v>Rep. Checa</v>
      </c>
      <c r="G47" s="121"/>
      <c r="H47" s="131"/>
      <c r="I47" s="131"/>
      <c r="J47" s="121"/>
      <c r="K47" s="130" t="str">
        <f>IF(SUM(AE35:AE38)=12,VLOOKUP(2,$AB$35:$AC$38,2,FALSE),"2F")</f>
        <v>Portugal</v>
      </c>
      <c r="L47" s="35">
        <f>IF(K53="W43",0,1)</f>
        <v>1</v>
      </c>
      <c r="M47" s="8"/>
      <c r="N47" s="8"/>
      <c r="O47" s="205" t="str">
        <f>CONCATENATE(IF(O46=2,CONCATENATE(VLOOKUP(6,AO5:AQ10,3,FALSE)," y ",),""),IF(O46&gt;0,CONCATENATE(VLOOKUP(5,AO5:AQ10,3,FALSE)),"")," ha",IF(O46=2,"n","")," quedado 3ª en su",IF(O46=2,"s","")," grupo",IF(O46=2,"s",""),", pero aún estando igualado",IF(O46=2,"s","")," con ",VLOOKUP(4,AO12:AP15,2,FALSE)," no pasa",IF(O46=2,"n","")," de grupo. Si crees que va",IF(O46=2,"n","")," a pasar por tener mejor fairplay, cambia alguno de los resultados")</f>
        <v xml:space="preserve"> ha quedado 3ª en su grupo, pero aún estando igualado con Bélgica no pasa de grupo. Si crees que va a pasar por tener mejor fairplay, cambia alguno de los resultados</v>
      </c>
      <c r="P47" s="205"/>
      <c r="Q47" s="205"/>
      <c r="R47" s="205"/>
      <c r="S47" s="205"/>
      <c r="T47" s="205"/>
      <c r="U47" s="205"/>
      <c r="V47" s="205"/>
      <c r="W47" s="205"/>
      <c r="X47" s="205"/>
      <c r="Y47" s="160"/>
      <c r="Z47" s="33"/>
    </row>
    <row r="48" spans="1:73" x14ac:dyDescent="0.25">
      <c r="A48" s="99">
        <v>43</v>
      </c>
      <c r="B48" s="100">
        <v>44376</v>
      </c>
      <c r="C48" s="99"/>
      <c r="D48" s="101">
        <v>0.875</v>
      </c>
      <c r="E48" s="102" t="s">
        <v>421</v>
      </c>
      <c r="F48" s="127" t="str">
        <f>IF(SUM(AE29:AE32)=12,VLOOKUP(1,$AB$29:$AC$32,2,FALSE),"1E")</f>
        <v>Polonia</v>
      </c>
      <c r="G48" s="121"/>
      <c r="H48" s="131"/>
      <c r="I48" s="131"/>
      <c r="J48" s="121"/>
      <c r="K48" s="223" t="str">
        <f>IF(SUM(AS5:AS10)=18,VLOOKUP(1,$BA$22:$BE$36,4,FALSE),"3A/B/C/D")</f>
        <v>Macedonia N</v>
      </c>
      <c r="L48" s="35">
        <f>IF(K54="W44",0,1)</f>
        <v>0</v>
      </c>
      <c r="M48" s="8"/>
      <c r="N48" s="8"/>
      <c r="O48" s="205"/>
      <c r="P48" s="205"/>
      <c r="Q48" s="205"/>
      <c r="R48" s="205"/>
      <c r="S48" s="205"/>
      <c r="T48" s="205"/>
      <c r="U48" s="205"/>
      <c r="V48" s="205"/>
      <c r="W48" s="205"/>
      <c r="X48" s="205"/>
      <c r="Y48" s="160"/>
      <c r="Z48" s="33"/>
    </row>
    <row r="49" spans="1:26" x14ac:dyDescent="0.25">
      <c r="A49" s="53"/>
      <c r="B49" s="53" t="s">
        <v>136</v>
      </c>
      <c r="C49" s="53"/>
      <c r="D49" s="53"/>
      <c r="E49" s="53"/>
      <c r="F49" s="44"/>
      <c r="G49" s="44"/>
      <c r="H49" s="44"/>
      <c r="I49" s="44"/>
      <c r="J49" s="44"/>
      <c r="K49" s="44"/>
      <c r="L49" s="8"/>
      <c r="M49" s="8"/>
      <c r="N49" s="8"/>
      <c r="O49" s="205"/>
      <c r="P49" s="205"/>
      <c r="Q49" s="205"/>
      <c r="R49" s="205"/>
      <c r="S49" s="205"/>
      <c r="T49" s="205"/>
      <c r="U49" s="205"/>
      <c r="V49" s="205"/>
      <c r="W49" s="205"/>
      <c r="X49" s="205"/>
      <c r="Y49" s="161"/>
      <c r="Z49" s="50"/>
    </row>
    <row r="50" spans="1:26" x14ac:dyDescent="0.25">
      <c r="A50" s="9" t="s">
        <v>138</v>
      </c>
      <c r="B50" s="9" t="s">
        <v>58</v>
      </c>
      <c r="C50" s="9"/>
      <c r="D50" s="9" t="s">
        <v>39</v>
      </c>
      <c r="E50" s="33" t="s">
        <v>40</v>
      </c>
      <c r="F50" s="9" t="s">
        <v>2</v>
      </c>
      <c r="G50" s="9" t="s">
        <v>140</v>
      </c>
      <c r="H50" s="9" t="s">
        <v>32</v>
      </c>
      <c r="I50" s="9" t="s">
        <v>32</v>
      </c>
      <c r="J50" s="9" t="s">
        <v>140</v>
      </c>
      <c r="K50" s="8" t="s">
        <v>5</v>
      </c>
      <c r="L50" s="8"/>
      <c r="M50" s="8"/>
      <c r="N50" s="8"/>
      <c r="O50" s="205"/>
      <c r="P50" s="205"/>
      <c r="Q50" s="205"/>
      <c r="R50" s="205"/>
      <c r="S50" s="205"/>
      <c r="T50" s="205"/>
      <c r="U50" s="205"/>
      <c r="V50" s="205"/>
      <c r="W50" s="205"/>
      <c r="X50" s="205"/>
      <c r="Y50" s="158"/>
      <c r="Z50" s="8"/>
    </row>
    <row r="51" spans="1:26" ht="15.75" thickBot="1" x14ac:dyDescent="0.3">
      <c r="A51" s="118">
        <v>45</v>
      </c>
      <c r="B51" s="119">
        <v>44379</v>
      </c>
      <c r="C51" s="118"/>
      <c r="D51" s="107">
        <v>0.75</v>
      </c>
      <c r="E51" s="108" t="s">
        <v>414</v>
      </c>
      <c r="F51" s="120" t="str">
        <f>IF(AND(OR(H46="",I46="")),"W41",IF(H46&gt;I46,F46,IF(H46&lt;I46,K46,IF(AND(H46=I46,G46=J46),"W41",IF(AND(H46=I46,OR(G46="",J46="")),"W41",IF(AND(H46=I46,G46&gt;J46),F46,K46))))))</f>
        <v>W41</v>
      </c>
      <c r="G51" s="121"/>
      <c r="H51" s="131"/>
      <c r="I51" s="131"/>
      <c r="J51" s="121"/>
      <c r="K51" s="143" t="str">
        <f>IF(AND(OR(H45="",I45="")),"W42",IF(H45&gt;I45,F45,IF(H45&lt;I45,K45,IF(AND(H45=I45,G45=J45),"W42",IF(AND(H45=I45,OR(G45="",J45="")),"W42",IF(AND(H45=I45,G45&gt;J45),F45,K45))))))</f>
        <v>W42</v>
      </c>
      <c r="L51" s="35">
        <f>IF(F57="W45",0,1)</f>
        <v>0</v>
      </c>
      <c r="M51" s="8"/>
      <c r="N51" s="8"/>
      <c r="O51" s="55"/>
      <c r="P51" s="55"/>
      <c r="Q51" s="55"/>
      <c r="R51" s="55"/>
      <c r="S51" s="55"/>
      <c r="T51" s="55"/>
      <c r="U51" s="55"/>
      <c r="V51" s="55"/>
      <c r="W51" s="55"/>
      <c r="X51" s="55"/>
      <c r="Y51" s="155"/>
      <c r="Z51" s="55"/>
    </row>
    <row r="52" spans="1:26" x14ac:dyDescent="0.25">
      <c r="A52" s="122">
        <v>46</v>
      </c>
      <c r="B52" s="123">
        <v>44379</v>
      </c>
      <c r="C52" s="122"/>
      <c r="D52" s="124">
        <v>0.875</v>
      </c>
      <c r="E52" s="125" t="s">
        <v>424</v>
      </c>
      <c r="F52" s="126" t="str">
        <f>IF(AND(OR(H44="",I44="")),"W39",IF(H44&gt;I44,F44,IF(H44&lt;I44,K44,IF(AND(H44=I44,G44=J44),"W39",IF(AND(H44=I44,OR(G44="",J44="")),"W39",IF(AND(H44=I44,G44&gt;J44),F44,K44))))))</f>
        <v>W39</v>
      </c>
      <c r="G52" s="121"/>
      <c r="H52" s="131"/>
      <c r="I52" s="131"/>
      <c r="J52" s="121"/>
      <c r="K52" s="144" t="str">
        <f>IF(AND(OR(H42="",I42="")),"W37",IF(H42&gt;I42,F42,IF(H42&lt;I42,K42,IF(AND(H42=I42,G42=J42),"W37",IF(AND(H42=I42,OR(G42="",J42="")),"W37",IF(AND(H42=I42,G42&gt;J42),F42,K42))))))</f>
        <v>W37</v>
      </c>
      <c r="L52" s="35">
        <f>IF(K57="W46",0,1)</f>
        <v>0</v>
      </c>
      <c r="M52" s="8"/>
      <c r="N52" s="8"/>
      <c r="O52" s="171"/>
      <c r="P52" s="172"/>
      <c r="Q52" s="172"/>
      <c r="R52" s="172"/>
      <c r="S52" s="172"/>
      <c r="T52" s="172"/>
      <c r="U52" s="172"/>
      <c r="V52" s="172"/>
      <c r="W52" s="172"/>
      <c r="X52" s="172"/>
      <c r="Y52" s="173"/>
      <c r="Z52" s="55"/>
    </row>
    <row r="53" spans="1:26" x14ac:dyDescent="0.25">
      <c r="A53" s="128">
        <v>47</v>
      </c>
      <c r="B53" s="123">
        <v>44380</v>
      </c>
      <c r="C53" s="122"/>
      <c r="D53" s="124">
        <v>0.75</v>
      </c>
      <c r="E53" s="125" t="s">
        <v>412</v>
      </c>
      <c r="F53" s="126" t="str">
        <f>IF(AND(OR(H43="",I43="")),"W40",IF(H43&gt;I43,F43,IF(H43&lt;I43,K43,IF(AND(H43=I43,G43=J43),"W40",IF(AND(H43=I43,OR(G43="",J43="")),"W40",IF(AND(H43=I43,G43&gt;J43),F43,K43))))))</f>
        <v>W40</v>
      </c>
      <c r="G53" s="121"/>
      <c r="H53" s="131"/>
      <c r="I53" s="131"/>
      <c r="J53" s="121"/>
      <c r="K53" s="144" t="str">
        <f>IF(AND(OR(H41="",I41="")),"W38",IF(H41&gt;I41,F41,IF(H41&lt;I41,K41,IF(AND(H41=I41,G41=J41),"W38",IF(AND(H41=I41,OR(G41="",J41="")),"W38",IF(AND(H41=I41,G41&gt;J41),F41,K41))))))</f>
        <v>W38</v>
      </c>
      <c r="L53" s="35">
        <f>IF(F58="W47",0,1)</f>
        <v>0</v>
      </c>
      <c r="M53" s="8"/>
      <c r="N53" s="8"/>
      <c r="O53" s="174"/>
      <c r="P53" s="175"/>
      <c r="Q53" s="175"/>
      <c r="R53" s="175"/>
      <c r="S53" s="175"/>
      <c r="T53" s="175"/>
      <c r="U53" s="175"/>
      <c r="V53" s="175"/>
      <c r="W53" s="175"/>
      <c r="X53" s="175"/>
      <c r="Y53" s="176"/>
      <c r="Z53" s="55"/>
    </row>
    <row r="54" spans="1:26" x14ac:dyDescent="0.25">
      <c r="A54" s="99">
        <v>48</v>
      </c>
      <c r="B54" s="100">
        <v>44380</v>
      </c>
      <c r="C54" s="99"/>
      <c r="D54" s="101">
        <v>0.875</v>
      </c>
      <c r="E54" s="102" t="s">
        <v>411</v>
      </c>
      <c r="F54" s="127" t="str">
        <f>IF(AND(OR(H48="",I48="")),"W43",IF(H48&gt;I48,F48,IF(H48&lt;I48,K48,IF(AND(H48=I48,G48=J48),"W43",IF(AND(H48=I48,OR(G48="",J48="")),"W43",IF(AND(H48=I48,G48&gt;J48),F48,K48))))))</f>
        <v>W43</v>
      </c>
      <c r="G54" s="121"/>
      <c r="H54" s="131"/>
      <c r="I54" s="131"/>
      <c r="J54" s="121"/>
      <c r="K54" s="145" t="str">
        <f>IF(AND(OR(H47="",I47="")),"W44",IF(H47&gt;I47,F47,IF(H47&lt;I47,K47,IF(AND(H47=I47,G47=J47),"W44",IF(AND(H47=I47,OR(G47="",J47="")),"W44",IF(AND(H47=I47,G47&gt;J47),F47,K47))))))</f>
        <v>W44</v>
      </c>
      <c r="L54" s="35">
        <f>IF(K58="W48",0,1)</f>
        <v>0</v>
      </c>
      <c r="M54" s="8"/>
      <c r="N54" s="8"/>
      <c r="O54" s="174"/>
      <c r="P54" s="175"/>
      <c r="Q54" s="175"/>
      <c r="R54" s="175"/>
      <c r="S54" s="175"/>
      <c r="T54" s="175"/>
      <c r="U54" s="175"/>
      <c r="V54" s="175"/>
      <c r="W54" s="175"/>
      <c r="X54" s="175"/>
      <c r="Y54" s="176"/>
      <c r="Z54" s="55"/>
    </row>
    <row r="55" spans="1:26" x14ac:dyDescent="0.25">
      <c r="A55" s="53"/>
      <c r="B55" s="53" t="s">
        <v>137</v>
      </c>
      <c r="C55" s="53"/>
      <c r="D55" s="53"/>
      <c r="E55" s="53"/>
      <c r="F55" s="44"/>
      <c r="G55" s="44"/>
      <c r="H55" s="44"/>
      <c r="I55" s="44"/>
      <c r="J55" s="44"/>
      <c r="K55" s="44"/>
      <c r="L55" s="8"/>
      <c r="M55" s="8"/>
      <c r="N55" s="8"/>
      <c r="O55" s="177"/>
      <c r="P55" s="9"/>
      <c r="Q55" s="9"/>
      <c r="R55" s="9"/>
      <c r="S55" s="9"/>
      <c r="T55" s="9"/>
      <c r="U55" s="9"/>
      <c r="V55" s="9"/>
      <c r="W55" s="9"/>
      <c r="X55" s="9"/>
      <c r="Y55" s="178"/>
      <c r="Z55" s="8"/>
    </row>
    <row r="56" spans="1:26" x14ac:dyDescent="0.25">
      <c r="A56" s="8" t="s">
        <v>138</v>
      </c>
      <c r="B56" s="8" t="s">
        <v>58</v>
      </c>
      <c r="C56" s="8"/>
      <c r="D56" s="8" t="s">
        <v>39</v>
      </c>
      <c r="E56" s="33" t="s">
        <v>40</v>
      </c>
      <c r="F56" s="8" t="s">
        <v>2</v>
      </c>
      <c r="G56" s="9" t="s">
        <v>140</v>
      </c>
      <c r="H56" s="9"/>
      <c r="I56" s="9"/>
      <c r="J56" s="9" t="s">
        <v>140</v>
      </c>
      <c r="K56" s="8" t="s">
        <v>5</v>
      </c>
      <c r="L56" s="8"/>
      <c r="M56" s="8"/>
      <c r="N56" s="8"/>
      <c r="O56" s="177"/>
      <c r="P56" s="9"/>
      <c r="Q56" s="9"/>
      <c r="R56" s="9"/>
      <c r="S56" s="9"/>
      <c r="T56" s="9"/>
      <c r="U56" s="9"/>
      <c r="V56" s="9"/>
      <c r="W56" s="9"/>
      <c r="X56" s="9"/>
      <c r="Y56" s="178"/>
      <c r="Z56" s="8"/>
    </row>
    <row r="57" spans="1:26" x14ac:dyDescent="0.25">
      <c r="A57" s="99">
        <v>49</v>
      </c>
      <c r="B57" s="100">
        <v>44383</v>
      </c>
      <c r="C57" s="99"/>
      <c r="D57" s="101">
        <v>0.875</v>
      </c>
      <c r="E57" s="102" t="s">
        <v>420</v>
      </c>
      <c r="F57" s="127" t="str">
        <f>IF(AND(OR(H51="",I51="")),"W45",IF(H51&gt;I51,F51,IF(H51&lt;I51,K51,IF(AND(H51=I51,G51=J51),"W45",IF(AND(H51=I51,OR(G51="",J51="")),"W45",IF(AND(H51=I51,G51&gt;J51),F51,K51))))))</f>
        <v>W45</v>
      </c>
      <c r="G57" s="121"/>
      <c r="H57" s="131"/>
      <c r="I57" s="131"/>
      <c r="J57" s="121"/>
      <c r="K57" s="145" t="str">
        <f>IF(AND(OR(H52="",I52="")),"W46",IF(H52&gt;I52,F52,IF(H52&lt;I52,K52,IF(AND(H52=I52,G52=J52),"W46",IF(AND(H52=I52,OR(G52="",J52="")),"W46",IF(AND(H52=I52,G52&gt;J52),F52,K52))))))</f>
        <v>W46</v>
      </c>
      <c r="L57" s="35">
        <f>IF(F61="W49",0,1)</f>
        <v>0</v>
      </c>
      <c r="M57" s="8"/>
      <c r="N57" s="8"/>
      <c r="O57" s="177"/>
      <c r="P57" s="9"/>
      <c r="Q57" s="9"/>
      <c r="R57" s="9"/>
      <c r="S57" s="9"/>
      <c r="T57" s="9"/>
      <c r="U57" s="9"/>
      <c r="V57" s="9"/>
      <c r="W57" s="9"/>
      <c r="X57" s="9"/>
      <c r="Y57" s="178"/>
      <c r="Z57" s="8"/>
    </row>
    <row r="58" spans="1:26" x14ac:dyDescent="0.25">
      <c r="A58" s="99">
        <v>50</v>
      </c>
      <c r="B58" s="100">
        <v>44384</v>
      </c>
      <c r="C58" s="99"/>
      <c r="D58" s="101">
        <v>0.875</v>
      </c>
      <c r="E58" s="102" t="s">
        <v>420</v>
      </c>
      <c r="F58" s="127" t="str">
        <f>IF(AND(OR(H53="",I53="")),"W47",IF(H53&gt;I53,F53,IF(H53&lt;I53,K53,IF(AND(H53=I53,G53=J53),"W47",IF(AND(H53=I53,OR(G53="",J53="")),"W47",IF(AND(H53=I53,G53&gt;J53),F53,K53))))))</f>
        <v>W47</v>
      </c>
      <c r="G58" s="121"/>
      <c r="H58" s="131"/>
      <c r="I58" s="131"/>
      <c r="J58" s="121"/>
      <c r="K58" s="145" t="str">
        <f>IF(AND(OR(H54="",I54="")),"W48",IF(H54&gt;I54,F54,IF(H54&lt;I54,K54,IF(AND(H54=I54,G54=J54),"W48",IF(AND(H54=I54,OR(G54="",J54="")),"W48",IF(AND(H54=I54,G54&gt;J54),F54,K54))))))</f>
        <v>W48</v>
      </c>
      <c r="L58" s="35">
        <f>IF(K61="W50",0,1)</f>
        <v>0</v>
      </c>
      <c r="M58" s="8"/>
      <c r="N58" s="8"/>
      <c r="O58" s="177"/>
      <c r="P58" s="9"/>
      <c r="Q58" s="9"/>
      <c r="R58" s="9"/>
      <c r="S58" s="9"/>
      <c r="T58" s="9"/>
      <c r="U58" s="9"/>
      <c r="V58" s="9"/>
      <c r="W58" s="9"/>
      <c r="X58" s="9"/>
      <c r="Y58" s="178"/>
      <c r="Z58" s="8"/>
    </row>
    <row r="59" spans="1:26" x14ac:dyDescent="0.25">
      <c r="A59" s="53"/>
      <c r="B59" s="53" t="s">
        <v>37</v>
      </c>
      <c r="C59" s="53"/>
      <c r="D59" s="53"/>
      <c r="E59" s="53"/>
      <c r="F59" s="54"/>
      <c r="G59" s="54"/>
      <c r="H59" s="54"/>
      <c r="I59" s="54"/>
      <c r="J59" s="54"/>
      <c r="K59" s="54"/>
      <c r="L59" s="8"/>
      <c r="M59" s="8"/>
      <c r="N59" s="8"/>
      <c r="O59" s="177"/>
      <c r="P59" s="9"/>
      <c r="Q59" s="9"/>
      <c r="R59" s="9"/>
      <c r="S59" s="9"/>
      <c r="T59" s="9"/>
      <c r="U59" s="9"/>
      <c r="V59" s="9"/>
      <c r="W59" s="9"/>
      <c r="X59" s="9"/>
      <c r="Y59" s="178"/>
      <c r="Z59" s="8"/>
    </row>
    <row r="60" spans="1:26" x14ac:dyDescent="0.25">
      <c r="A60" s="8" t="s">
        <v>138</v>
      </c>
      <c r="B60" s="8" t="s">
        <v>58</v>
      </c>
      <c r="C60" s="8"/>
      <c r="D60" s="8" t="s">
        <v>39</v>
      </c>
      <c r="E60" s="33" t="s">
        <v>40</v>
      </c>
      <c r="F60" s="8" t="s">
        <v>2</v>
      </c>
      <c r="G60" s="9" t="s">
        <v>140</v>
      </c>
      <c r="H60" s="9"/>
      <c r="I60" s="9"/>
      <c r="J60" s="9" t="s">
        <v>140</v>
      </c>
      <c r="K60" s="8" t="s">
        <v>5</v>
      </c>
      <c r="L60" s="8"/>
      <c r="M60" s="8"/>
      <c r="N60" s="8"/>
      <c r="O60" s="177"/>
      <c r="P60" s="9"/>
      <c r="Q60" s="9"/>
      <c r="R60" s="9"/>
      <c r="S60" s="9"/>
      <c r="T60" s="9"/>
      <c r="U60" s="9"/>
      <c r="V60" s="9"/>
      <c r="W60" s="9"/>
      <c r="X60" s="9"/>
      <c r="Y60" s="178"/>
      <c r="Z60" s="8"/>
    </row>
    <row r="61" spans="1:26" ht="15.75" thickBot="1" x14ac:dyDescent="0.3">
      <c r="A61" s="99">
        <v>51</v>
      </c>
      <c r="B61" s="100">
        <v>44388</v>
      </c>
      <c r="C61" s="99"/>
      <c r="D61" s="101">
        <v>0.875</v>
      </c>
      <c r="E61" s="102" t="s">
        <v>420</v>
      </c>
      <c r="F61" s="127" t="str">
        <f>IF(AND(OR(H57="",I57="")),"W49",IF(H57&gt;I57,F57,IF(H57&lt;I57,K57,IF(AND(H57=I57,G57=J57),"W49",IF(AND(H57=I57,OR(G57="",J57="")),"W49",IF(AND(H57=I57,G57&gt;J57),F57,K57))))))</f>
        <v>W49</v>
      </c>
      <c r="G61" s="121"/>
      <c r="H61" s="131"/>
      <c r="I61" s="131"/>
      <c r="J61" s="121"/>
      <c r="K61" s="145" t="str">
        <f>IF(AND(OR(H58="",I58="")),"W50",IF(H58&gt;I58,F58,IF(H58&lt;I58,K58,IF(AND(H58=I58,G58=J58),"W50",IF(AND(H58=I58,OR(G58="",J58="")),"W50",IF(AND(H58=I58,G58&gt;J58),F58,K58))))))</f>
        <v>W50</v>
      </c>
      <c r="L61" s="35">
        <f>IF(F63="W51",0,1)</f>
        <v>0</v>
      </c>
      <c r="M61" s="8"/>
      <c r="N61" s="8"/>
      <c r="O61" s="179"/>
      <c r="P61" s="180"/>
      <c r="Q61" s="180"/>
      <c r="R61" s="180"/>
      <c r="S61" s="180"/>
      <c r="T61" s="180"/>
      <c r="U61" s="180"/>
      <c r="V61" s="180"/>
      <c r="W61" s="180"/>
      <c r="X61" s="180"/>
      <c r="Y61" s="181"/>
      <c r="Z61" s="8"/>
    </row>
    <row r="62" spans="1:26" ht="15.75" thickBot="1" x14ac:dyDescent="0.3">
      <c r="A62" s="8"/>
      <c r="B62" s="8"/>
      <c r="C62" s="8"/>
      <c r="D62" s="8"/>
      <c r="E62" s="8"/>
      <c r="F62" s="8"/>
      <c r="G62" s="8"/>
      <c r="H62" s="8"/>
      <c r="I62" s="8"/>
      <c r="J62" s="8"/>
      <c r="K62" s="8"/>
      <c r="L62" s="8"/>
      <c r="M62" s="8"/>
      <c r="N62" s="8"/>
      <c r="O62" s="8"/>
      <c r="P62" s="8"/>
      <c r="Q62" s="8"/>
      <c r="R62" s="8"/>
      <c r="S62" s="8"/>
      <c r="T62" s="8"/>
      <c r="U62" s="8"/>
      <c r="V62" s="8"/>
      <c r="W62" s="8"/>
      <c r="X62" s="8"/>
      <c r="Y62" s="158"/>
      <c r="Z62" s="8"/>
    </row>
    <row r="63" spans="1:26" ht="27.75" customHeight="1" x14ac:dyDescent="0.4">
      <c r="A63" s="164"/>
      <c r="B63" s="165" t="s">
        <v>135</v>
      </c>
      <c r="C63" s="164"/>
      <c r="D63" s="164"/>
      <c r="E63" s="166"/>
      <c r="F63" s="167" t="str">
        <f>IF(AND(OR(H61="",I61="")),"W51",IF(H61&gt;I61,F61,IF(H61&lt;I61,K61,IF(AND(H61=I61,G61=J61),"W51",IF(AND(H61=I61,OR(G61="",J61="")),"W51",IF(AND(H61=I61,G61&gt;J61),F61,K61))))))</f>
        <v>W51</v>
      </c>
      <c r="G63" s="164"/>
      <c r="H63" s="164"/>
      <c r="I63" s="164"/>
      <c r="J63" s="164"/>
      <c r="K63" s="164"/>
      <c r="L63" s="35">
        <f>IF(F63="W51",0,1)</f>
        <v>0</v>
      </c>
      <c r="M63" s="8"/>
      <c r="N63" s="8"/>
      <c r="O63" s="206" t="str">
        <f>IF(COUNTIF(L3:L66,0)&gt;0,"PORRA INCOMPLETA: Aún falta alguna apuesta","PORRA COMPLETA: Guarda el archivo y reenvíanoslo por email")</f>
        <v>PORRA INCOMPLETA: Aún falta alguna apuesta</v>
      </c>
      <c r="P63" s="207"/>
      <c r="Q63" s="207"/>
      <c r="R63" s="207"/>
      <c r="S63" s="207"/>
      <c r="T63" s="207"/>
      <c r="U63" s="207"/>
      <c r="V63" s="207"/>
      <c r="W63" s="207"/>
      <c r="X63" s="207"/>
      <c r="Y63" s="208"/>
      <c r="Z63" s="8"/>
    </row>
    <row r="64" spans="1:26" ht="24.75" customHeight="1" x14ac:dyDescent="0.4">
      <c r="A64" s="164"/>
      <c r="B64" s="165" t="s">
        <v>312</v>
      </c>
      <c r="C64" s="164"/>
      <c r="D64" s="164"/>
      <c r="E64" s="166"/>
      <c r="F64" s="167" t="s">
        <v>311</v>
      </c>
      <c r="G64" s="164"/>
      <c r="H64" s="164"/>
      <c r="I64" s="164"/>
      <c r="J64" s="164"/>
      <c r="K64" s="164"/>
      <c r="L64" s="35">
        <f>IF(F64="Escoge un Jugador",0,1)</f>
        <v>0</v>
      </c>
      <c r="M64" s="8"/>
      <c r="N64" s="8"/>
      <c r="O64" s="209"/>
      <c r="P64" s="210"/>
      <c r="Q64" s="210"/>
      <c r="R64" s="210"/>
      <c r="S64" s="210"/>
      <c r="T64" s="210"/>
      <c r="U64" s="210"/>
      <c r="V64" s="210"/>
      <c r="W64" s="210"/>
      <c r="X64" s="210"/>
      <c r="Y64" s="211"/>
      <c r="Z64" s="8"/>
    </row>
    <row r="65" spans="1:25" ht="26.25" x14ac:dyDescent="0.4">
      <c r="A65" s="164"/>
      <c r="B65" s="165" t="s">
        <v>313</v>
      </c>
      <c r="C65" s="164"/>
      <c r="D65" s="164"/>
      <c r="E65" s="166"/>
      <c r="F65" s="167" t="s">
        <v>311</v>
      </c>
      <c r="G65" s="164"/>
      <c r="H65" s="164"/>
      <c r="I65" s="164"/>
      <c r="J65" s="164"/>
      <c r="K65" s="164"/>
      <c r="L65" s="35">
        <f>IF(F65="Escoge un Jugador",0,1)</f>
        <v>0</v>
      </c>
      <c r="M65" s="168"/>
      <c r="N65" s="168"/>
      <c r="O65" s="209"/>
      <c r="P65" s="210"/>
      <c r="Q65" s="210"/>
      <c r="R65" s="210"/>
      <c r="S65" s="210"/>
      <c r="T65" s="210"/>
      <c r="U65" s="210"/>
      <c r="V65" s="210"/>
      <c r="W65" s="210"/>
      <c r="X65" s="210"/>
      <c r="Y65" s="211"/>
    </row>
    <row r="66" spans="1:25" ht="27" thickBot="1" x14ac:dyDescent="0.45">
      <c r="A66" s="164"/>
      <c r="B66" s="165" t="s">
        <v>314</v>
      </c>
      <c r="C66" s="164"/>
      <c r="D66" s="164"/>
      <c r="E66" s="166"/>
      <c r="F66" s="167" t="s">
        <v>315</v>
      </c>
      <c r="G66" s="164"/>
      <c r="H66" s="164"/>
      <c r="I66" s="164"/>
      <c r="J66" s="164"/>
      <c r="K66" s="164"/>
      <c r="L66" s="35">
        <f>IF(F66="Escribe tu nombre",0,1)</f>
        <v>0</v>
      </c>
      <c r="M66" s="168"/>
      <c r="N66" s="168"/>
      <c r="O66" s="212"/>
      <c r="P66" s="213"/>
      <c r="Q66" s="213"/>
      <c r="R66" s="213"/>
      <c r="S66" s="213"/>
      <c r="T66" s="213"/>
      <c r="U66" s="213"/>
      <c r="V66" s="213"/>
      <c r="W66" s="213"/>
      <c r="X66" s="213"/>
      <c r="Y66" s="214"/>
    </row>
    <row r="67" spans="1:25" x14ac:dyDescent="0.25">
      <c r="A67" s="168"/>
      <c r="B67" s="168"/>
      <c r="C67" s="168"/>
      <c r="D67" s="168"/>
      <c r="E67" s="168"/>
      <c r="F67" s="168"/>
      <c r="G67" s="168"/>
      <c r="H67" s="168"/>
      <c r="I67" s="168"/>
      <c r="J67" s="168"/>
      <c r="K67" s="168"/>
      <c r="L67" s="168"/>
      <c r="M67" s="168"/>
      <c r="N67" s="168"/>
      <c r="O67" s="168"/>
      <c r="P67" s="168"/>
      <c r="Q67" s="168"/>
      <c r="R67" s="168"/>
      <c r="S67" s="168"/>
      <c r="T67" s="168"/>
      <c r="U67" s="168"/>
      <c r="V67" s="168"/>
      <c r="W67" s="168"/>
      <c r="X67" s="168"/>
      <c r="Y67" s="169"/>
    </row>
    <row r="68" spans="1:25" x14ac:dyDescent="0.25">
      <c r="A68" s="168"/>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9"/>
    </row>
    <row r="69" spans="1:25" x14ac:dyDescent="0.25">
      <c r="A69" s="168"/>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9"/>
    </row>
    <row r="70" spans="1:25" x14ac:dyDescent="0.25">
      <c r="A70" s="168"/>
      <c r="B70" s="168"/>
      <c r="C70" s="168"/>
      <c r="D70" s="168"/>
      <c r="E70" s="168"/>
      <c r="F70" s="168"/>
      <c r="G70" s="168"/>
      <c r="H70" s="168"/>
      <c r="I70" s="168"/>
      <c r="J70" s="168"/>
      <c r="K70" s="168"/>
      <c r="L70" s="168"/>
      <c r="M70" s="168"/>
      <c r="N70" s="168"/>
      <c r="O70" s="168"/>
      <c r="P70" s="168"/>
      <c r="Q70" s="168"/>
      <c r="R70" s="168"/>
      <c r="S70" s="168"/>
      <c r="T70" s="168"/>
      <c r="U70" s="168"/>
      <c r="V70" s="168"/>
      <c r="W70" s="168"/>
      <c r="X70" s="168"/>
      <c r="Y70" s="169"/>
    </row>
    <row r="71" spans="1:25" x14ac:dyDescent="0.25">
      <c r="A71" s="168"/>
      <c r="B71" s="168"/>
      <c r="C71" s="168"/>
      <c r="D71" s="168"/>
      <c r="E71" s="168"/>
      <c r="F71" s="168"/>
      <c r="G71" s="168"/>
      <c r="H71" s="168"/>
      <c r="I71" s="168"/>
      <c r="J71" s="168"/>
      <c r="K71" s="168"/>
      <c r="L71" s="168"/>
      <c r="M71" s="168"/>
      <c r="N71" s="168"/>
      <c r="O71" s="168"/>
      <c r="P71" s="168"/>
      <c r="Q71" s="168"/>
      <c r="R71" s="168"/>
      <c r="S71" s="168"/>
      <c r="T71" s="168"/>
      <c r="U71" s="168"/>
      <c r="V71" s="168"/>
      <c r="W71" s="168"/>
      <c r="X71" s="168"/>
      <c r="Y71" s="169"/>
    </row>
    <row r="72" spans="1:25" x14ac:dyDescent="0.25">
      <c r="A72" s="168"/>
      <c r="B72" s="168"/>
      <c r="C72" s="168"/>
      <c r="D72" s="168"/>
      <c r="E72" s="168"/>
      <c r="F72" s="168"/>
      <c r="G72" s="168"/>
      <c r="H72" s="168"/>
      <c r="I72" s="168"/>
      <c r="J72" s="168"/>
      <c r="K72" s="168"/>
      <c r="L72" s="168"/>
      <c r="M72" s="168"/>
      <c r="N72" s="168"/>
      <c r="O72" s="168"/>
      <c r="P72" s="168"/>
      <c r="Q72" s="168"/>
      <c r="R72" s="168"/>
      <c r="S72" s="168"/>
      <c r="T72" s="168"/>
      <c r="U72" s="168"/>
      <c r="V72" s="168"/>
      <c r="W72" s="168"/>
      <c r="X72" s="168"/>
      <c r="Y72" s="169"/>
    </row>
    <row r="73" spans="1:25" x14ac:dyDescent="0.25">
      <c r="A73" s="168"/>
      <c r="B73" s="168"/>
      <c r="C73" s="168"/>
      <c r="D73" s="168"/>
      <c r="E73" s="168"/>
      <c r="F73" s="168"/>
      <c r="G73" s="168"/>
      <c r="H73" s="168"/>
      <c r="I73" s="168"/>
      <c r="J73" s="168"/>
      <c r="K73" s="168"/>
      <c r="L73" s="168"/>
      <c r="M73" s="168"/>
      <c r="N73" s="168"/>
      <c r="O73" s="168"/>
      <c r="P73" s="168"/>
      <c r="Q73" s="168"/>
      <c r="R73" s="168"/>
      <c r="S73" s="168"/>
      <c r="T73" s="168"/>
      <c r="U73" s="168"/>
      <c r="V73" s="168"/>
      <c r="W73" s="168"/>
      <c r="X73" s="168"/>
      <c r="Y73" s="169"/>
    </row>
    <row r="74" spans="1:25" x14ac:dyDescent="0.25">
      <c r="A74" s="168"/>
      <c r="B74" s="168"/>
      <c r="C74" s="168"/>
      <c r="D74" s="168"/>
      <c r="E74" s="168"/>
      <c r="F74" s="168"/>
      <c r="G74" s="168"/>
      <c r="H74" s="168"/>
      <c r="I74" s="168"/>
      <c r="J74" s="168"/>
      <c r="K74" s="168"/>
      <c r="L74" s="168"/>
      <c r="M74" s="168"/>
      <c r="N74" s="168"/>
      <c r="O74" s="168"/>
      <c r="P74" s="168"/>
      <c r="Q74" s="168"/>
      <c r="R74" s="168"/>
      <c r="S74" s="168"/>
      <c r="T74" s="168"/>
      <c r="U74" s="168"/>
      <c r="V74" s="168"/>
      <c r="W74" s="168"/>
      <c r="X74" s="168"/>
      <c r="Y74" s="169"/>
    </row>
    <row r="75" spans="1:25" x14ac:dyDescent="0.25">
      <c r="A75" s="168"/>
      <c r="B75" s="168"/>
      <c r="C75" s="168"/>
      <c r="D75" s="168"/>
      <c r="E75" s="168"/>
      <c r="F75" s="168"/>
      <c r="G75" s="168"/>
      <c r="H75" s="168"/>
      <c r="I75" s="168"/>
      <c r="J75" s="168"/>
      <c r="K75" s="168"/>
      <c r="L75" s="168"/>
      <c r="M75" s="168"/>
      <c r="N75" s="168"/>
      <c r="O75" s="168"/>
      <c r="P75" s="168"/>
      <c r="Q75" s="168"/>
      <c r="R75" s="168"/>
      <c r="S75" s="168"/>
      <c r="T75" s="168"/>
      <c r="U75" s="168"/>
      <c r="V75" s="168"/>
      <c r="W75" s="168"/>
      <c r="X75" s="168"/>
      <c r="Y75" s="169"/>
    </row>
    <row r="76" spans="1:25" x14ac:dyDescent="0.25">
      <c r="A76" s="168"/>
      <c r="B76" s="168"/>
      <c r="C76" s="168"/>
      <c r="D76" s="168"/>
      <c r="E76" s="168"/>
      <c r="F76" s="168"/>
      <c r="G76" s="168"/>
      <c r="H76" s="168"/>
      <c r="I76" s="168"/>
      <c r="J76" s="168"/>
      <c r="K76" s="168"/>
      <c r="L76" s="168"/>
      <c r="M76" s="168"/>
      <c r="N76" s="168"/>
      <c r="O76" s="168"/>
      <c r="P76" s="168"/>
      <c r="Q76" s="168"/>
      <c r="R76" s="168"/>
      <c r="S76" s="168"/>
      <c r="T76" s="168"/>
      <c r="U76" s="168"/>
      <c r="V76" s="168"/>
      <c r="W76" s="168"/>
      <c r="X76" s="168"/>
      <c r="Y76" s="169"/>
    </row>
    <row r="77" spans="1:25" x14ac:dyDescent="0.25">
      <c r="A77" s="168"/>
      <c r="B77" s="168"/>
      <c r="C77" s="168"/>
      <c r="D77" s="168"/>
      <c r="E77" s="168"/>
      <c r="F77" s="168"/>
      <c r="G77" s="168"/>
      <c r="H77" s="168"/>
      <c r="I77" s="168"/>
      <c r="J77" s="168"/>
      <c r="K77" s="168"/>
      <c r="L77" s="168"/>
      <c r="M77" s="168"/>
      <c r="N77" s="168"/>
      <c r="O77" s="168"/>
      <c r="P77" s="168"/>
      <c r="Q77" s="168"/>
      <c r="R77" s="168"/>
      <c r="S77" s="168"/>
      <c r="T77" s="168"/>
      <c r="U77" s="168"/>
      <c r="V77" s="168"/>
      <c r="W77" s="168"/>
      <c r="X77" s="168"/>
      <c r="Y77" s="169"/>
    </row>
    <row r="78" spans="1:25" x14ac:dyDescent="0.25">
      <c r="A78" s="168"/>
      <c r="B78" s="168"/>
      <c r="C78" s="168"/>
      <c r="D78" s="168"/>
      <c r="E78" s="168"/>
      <c r="F78" s="168"/>
      <c r="G78" s="168"/>
      <c r="H78" s="168"/>
      <c r="I78" s="168"/>
      <c r="J78" s="168"/>
      <c r="K78" s="168"/>
      <c r="L78" s="168"/>
      <c r="M78" s="168"/>
      <c r="N78" s="168"/>
      <c r="O78" s="168"/>
      <c r="P78" s="168"/>
      <c r="Q78" s="168"/>
      <c r="R78" s="168"/>
      <c r="S78" s="168"/>
      <c r="T78" s="168"/>
      <c r="U78" s="168"/>
      <c r="V78" s="168"/>
      <c r="W78" s="168"/>
      <c r="X78" s="168"/>
      <c r="Y78" s="169"/>
    </row>
    <row r="79" spans="1:25" x14ac:dyDescent="0.25">
      <c r="A79" s="168"/>
      <c r="B79" s="168"/>
      <c r="C79" s="168"/>
      <c r="D79" s="168"/>
      <c r="E79" s="168"/>
      <c r="F79" s="168"/>
      <c r="G79" s="168"/>
      <c r="H79" s="168"/>
      <c r="I79" s="168"/>
      <c r="J79" s="168"/>
      <c r="K79" s="168"/>
      <c r="L79" s="168"/>
      <c r="M79" s="168"/>
      <c r="N79" s="168"/>
      <c r="O79" s="168"/>
      <c r="P79" s="168"/>
      <c r="Q79" s="168"/>
      <c r="R79" s="168"/>
      <c r="S79" s="168"/>
      <c r="T79" s="168"/>
      <c r="U79" s="168"/>
      <c r="V79" s="168"/>
      <c r="W79" s="168"/>
      <c r="X79" s="168"/>
      <c r="Y79" s="169"/>
    </row>
    <row r="80" spans="1:25" x14ac:dyDescent="0.25">
      <c r="A80" s="168"/>
      <c r="B80" s="168"/>
      <c r="C80" s="168"/>
      <c r="D80" s="168"/>
      <c r="E80" s="168"/>
      <c r="F80" s="168"/>
      <c r="G80" s="168"/>
      <c r="H80" s="168"/>
      <c r="I80" s="168"/>
      <c r="J80" s="168"/>
      <c r="K80" s="168"/>
      <c r="L80" s="168"/>
      <c r="M80" s="168"/>
      <c r="N80" s="168"/>
      <c r="O80" s="168"/>
      <c r="P80" s="168"/>
      <c r="Q80" s="168"/>
      <c r="R80" s="168"/>
      <c r="S80" s="168"/>
      <c r="T80" s="168"/>
      <c r="U80" s="168"/>
      <c r="V80" s="168"/>
      <c r="W80" s="168"/>
      <c r="X80" s="168"/>
      <c r="Y80" s="169"/>
    </row>
    <row r="81" spans="1:25" x14ac:dyDescent="0.25">
      <c r="A81" s="168"/>
      <c r="B81" s="168"/>
      <c r="C81" s="168"/>
      <c r="D81" s="168"/>
      <c r="E81" s="168"/>
      <c r="F81" s="168"/>
      <c r="G81" s="168"/>
      <c r="H81" s="168"/>
      <c r="I81" s="168"/>
      <c r="J81" s="168"/>
      <c r="K81" s="168"/>
      <c r="L81" s="168"/>
      <c r="M81" s="168"/>
      <c r="N81" s="168"/>
      <c r="O81" s="168"/>
      <c r="P81" s="168"/>
      <c r="Q81" s="168"/>
      <c r="R81" s="168"/>
      <c r="S81" s="168"/>
      <c r="T81" s="168"/>
      <c r="U81" s="168"/>
      <c r="V81" s="168"/>
      <c r="W81" s="168"/>
      <c r="X81" s="168"/>
      <c r="Y81" s="169"/>
    </row>
    <row r="82" spans="1:25" x14ac:dyDescent="0.25">
      <c r="A82" s="168"/>
      <c r="B82" s="168"/>
      <c r="C82" s="168"/>
      <c r="D82" s="168"/>
      <c r="E82" s="168"/>
      <c r="F82" s="168"/>
      <c r="G82" s="168"/>
      <c r="H82" s="168"/>
      <c r="I82" s="168"/>
      <c r="J82" s="168"/>
      <c r="K82" s="168"/>
      <c r="L82" s="168"/>
      <c r="M82" s="168"/>
      <c r="N82" s="168"/>
      <c r="O82" s="168"/>
      <c r="P82" s="168"/>
      <c r="Q82" s="168"/>
      <c r="R82" s="168"/>
      <c r="S82" s="168"/>
      <c r="T82" s="168"/>
      <c r="U82" s="168"/>
      <c r="V82" s="168"/>
      <c r="W82" s="168"/>
      <c r="X82" s="168"/>
      <c r="Y82" s="169"/>
    </row>
    <row r="83" spans="1:25" x14ac:dyDescent="0.25">
      <c r="A83" s="168"/>
      <c r="B83" s="168"/>
      <c r="C83" s="168"/>
      <c r="D83" s="168"/>
      <c r="E83" s="168"/>
      <c r="F83" s="168"/>
      <c r="G83" s="168"/>
      <c r="H83" s="168"/>
      <c r="I83" s="168"/>
      <c r="J83" s="168"/>
      <c r="K83" s="168"/>
      <c r="L83" s="168"/>
      <c r="M83" s="168"/>
      <c r="N83" s="168"/>
      <c r="O83" s="168"/>
      <c r="P83" s="168"/>
      <c r="Q83" s="168"/>
      <c r="R83" s="168"/>
      <c r="S83" s="168"/>
      <c r="T83" s="168"/>
      <c r="U83" s="168"/>
      <c r="V83" s="168"/>
      <c r="W83" s="168"/>
      <c r="X83" s="168"/>
      <c r="Y83" s="169"/>
    </row>
    <row r="84" spans="1:25" x14ac:dyDescent="0.25">
      <c r="A84" s="168"/>
      <c r="B84" s="168"/>
      <c r="C84" s="168"/>
      <c r="D84" s="168"/>
      <c r="E84" s="168"/>
      <c r="F84" s="168"/>
      <c r="G84" s="168"/>
      <c r="H84" s="168"/>
      <c r="I84" s="168"/>
      <c r="J84" s="168"/>
      <c r="K84" s="168"/>
      <c r="L84" s="168"/>
      <c r="M84" s="168"/>
      <c r="N84" s="168"/>
      <c r="O84" s="168"/>
      <c r="P84" s="168"/>
      <c r="Q84" s="168"/>
      <c r="R84" s="168"/>
      <c r="S84" s="168"/>
      <c r="T84" s="168"/>
      <c r="U84" s="168"/>
      <c r="V84" s="168"/>
      <c r="W84" s="168"/>
      <c r="X84" s="168"/>
      <c r="Y84" s="169"/>
    </row>
    <row r="85" spans="1:25" x14ac:dyDescent="0.25">
      <c r="A85" s="168"/>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9"/>
    </row>
    <row r="86" spans="1:25" x14ac:dyDescent="0.25">
      <c r="A86" s="168"/>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9"/>
    </row>
    <row r="87" spans="1:25" x14ac:dyDescent="0.25">
      <c r="A87" s="168"/>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9"/>
    </row>
    <row r="88" spans="1:25" x14ac:dyDescent="0.25">
      <c r="A88" s="16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9"/>
    </row>
    <row r="89" spans="1:25" x14ac:dyDescent="0.25">
      <c r="A89" s="168"/>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9"/>
    </row>
    <row r="90" spans="1:25" x14ac:dyDescent="0.25">
      <c r="A90" s="168"/>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9"/>
    </row>
    <row r="91" spans="1:25" x14ac:dyDescent="0.25">
      <c r="A91" s="168"/>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9"/>
    </row>
    <row r="92" spans="1:25" x14ac:dyDescent="0.25">
      <c r="A92" s="168"/>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9"/>
    </row>
    <row r="93" spans="1:25" x14ac:dyDescent="0.25">
      <c r="A93" s="168"/>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9"/>
    </row>
    <row r="94" spans="1:25" x14ac:dyDescent="0.25">
      <c r="A94" s="168"/>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9"/>
    </row>
    <row r="95" spans="1:25" x14ac:dyDescent="0.25">
      <c r="A95" s="168"/>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9"/>
    </row>
    <row r="96" spans="1:25" x14ac:dyDescent="0.25">
      <c r="A96" s="168"/>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9"/>
    </row>
    <row r="97" spans="1:25" x14ac:dyDescent="0.25">
      <c r="A97" s="168"/>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9"/>
    </row>
    <row r="98" spans="1:25" x14ac:dyDescent="0.25">
      <c r="A98" s="16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9"/>
    </row>
    <row r="99" spans="1:25" x14ac:dyDescent="0.25">
      <c r="A99" s="168"/>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9"/>
    </row>
    <row r="100" spans="1:25" x14ac:dyDescent="0.25">
      <c r="A100" s="168"/>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9"/>
    </row>
  </sheetData>
  <sheetProtection selectLockedCells="1"/>
  <mergeCells count="17">
    <mergeCell ref="BJ3:BO3"/>
    <mergeCell ref="BP3:BU3"/>
    <mergeCell ref="BJ9:BO9"/>
    <mergeCell ref="BP9:BU9"/>
    <mergeCell ref="BJ33:BO33"/>
    <mergeCell ref="BP33:BU33"/>
    <mergeCell ref="BJ15:BO15"/>
    <mergeCell ref="BP15:BU15"/>
    <mergeCell ref="BJ21:BO21"/>
    <mergeCell ref="BP21:BU21"/>
    <mergeCell ref="BJ27:BO27"/>
    <mergeCell ref="BP27:BU27"/>
    <mergeCell ref="P46:X46"/>
    <mergeCell ref="O47:X50"/>
    <mergeCell ref="O63:Y66"/>
    <mergeCell ref="P40:X40"/>
    <mergeCell ref="O41:X44"/>
  </mergeCells>
  <conditionalFormatting sqref="G41">
    <cfRule type="expression" dxfId="71" priority="217" stopIfTrue="1">
      <formula>IF(COUNT($H41:$I41)&lt;=1,IF($G41&lt;&gt;"",1=1,1=2),IF(AND($G41&lt;&gt;"",$G41=$J41),1=1,IF(AND($G41&lt;&gt;"",$H41&lt;&gt;$I41),1=1,IF(AND($G41="",$H41=$I41),1=1,1=2))))</formula>
    </cfRule>
  </conditionalFormatting>
  <conditionalFormatting sqref="J41">
    <cfRule type="expression" dxfId="70" priority="207" stopIfTrue="1">
      <formula>IF(COUNT($H41:$I41)&lt;=1,IF($G41&lt;&gt;"",1=1,1=2),IF(AND($G41&lt;&gt;"",$G41=$J41),1=1,IF(AND($G41&lt;&gt;"",$H41&lt;&gt;$I41),1=1,IF(AND($G41="",$H41=$I41),1=1,1=2))))</formula>
    </cfRule>
  </conditionalFormatting>
  <conditionalFormatting sqref="J41">
    <cfRule type="expression" dxfId="69" priority="179" stopIfTrue="1">
      <formula>IF(COUNT($H41:$I41)&lt;=1,IF($G41&lt;&gt;"",1=1,1=2),IF(AND($G41&lt;&gt;"",$G41=$J41),1=1,IF(AND($G41&lt;&gt;"",$H41&lt;&gt;$I41),1=1,IF(AND($G41="",$H41=$I41),1=1,1=2))))</formula>
    </cfRule>
  </conditionalFormatting>
  <conditionalFormatting sqref="J41">
    <cfRule type="expression" dxfId="68" priority="178" stopIfTrue="1">
      <formula>IF(COUNT($H41:$I41)&lt;=1,IF($G41&lt;&gt;"",1=1,1=2),IF(AND($G41&lt;&gt;"",$G41=$J41),1=1,IF(AND($G41&lt;&gt;"",$H41&lt;&gt;$I41),1=1,IF(AND($G41="",$H41=$I41),1=1,1=2))))</formula>
    </cfRule>
  </conditionalFormatting>
  <conditionalFormatting sqref="H41:I48 H51:I54 H57:I58 H61:I61 H3:I38">
    <cfRule type="expression" dxfId="67" priority="177">
      <formula>H3=""</formula>
    </cfRule>
  </conditionalFormatting>
  <conditionalFormatting sqref="O5:X6">
    <cfRule type="expression" dxfId="66" priority="83">
      <formula>SUM($R$5:$R$8)=12</formula>
    </cfRule>
  </conditionalFormatting>
  <conditionalFormatting sqref="O11:X12">
    <cfRule type="expression" dxfId="65" priority="82">
      <formula>SUM($R$11:$R$14)=12</formula>
    </cfRule>
  </conditionalFormatting>
  <conditionalFormatting sqref="O17:X18">
    <cfRule type="expression" dxfId="64" priority="60">
      <formula>SUM($R$17:$R$20)=12</formula>
    </cfRule>
  </conditionalFormatting>
  <conditionalFormatting sqref="O23:X24">
    <cfRule type="expression" dxfId="63" priority="59">
      <formula>SUM($R$23:$R$26)=12</formula>
    </cfRule>
  </conditionalFormatting>
  <conditionalFormatting sqref="O29:X30">
    <cfRule type="expression" dxfId="62" priority="58">
      <formula>SUM($R$29:$R$32)=12</formula>
    </cfRule>
  </conditionalFormatting>
  <conditionalFormatting sqref="O35:X36">
    <cfRule type="expression" dxfId="61" priority="57">
      <formula>SUM($R$35:$R$38)=12</formula>
    </cfRule>
  </conditionalFormatting>
  <conditionalFormatting sqref="G42:G48">
    <cfRule type="expression" dxfId="60" priority="51" stopIfTrue="1">
      <formula>IF(COUNT($H42:$I42)&lt;=1,IF($G42&lt;&gt;"",1=1,1=2),IF(AND($G42&lt;&gt;"",$G42=$J42),1=1,IF(AND($G42&lt;&gt;"",$H42&lt;&gt;$I42),1=1,IF(AND($G42="",$H42=$I42),1=1,1=2))))</formula>
    </cfRule>
  </conditionalFormatting>
  <conditionalFormatting sqref="J42:J48">
    <cfRule type="expression" dxfId="59" priority="50" stopIfTrue="1">
      <formula>IF(COUNT($H42:$I42)&lt;=1,IF($G42&lt;&gt;"",1=1,1=2),IF(AND($G42&lt;&gt;"",$G42=$J42),1=1,IF(AND($G42&lt;&gt;"",$H42&lt;&gt;$I42),1=1,IF(AND($G42="",$H42=$I42),1=1,1=2))))</formula>
    </cfRule>
  </conditionalFormatting>
  <conditionalFormatting sqref="J42:J48">
    <cfRule type="expression" dxfId="58" priority="49" stopIfTrue="1">
      <formula>IF(COUNT($H42:$I42)&lt;=1,IF($G42&lt;&gt;"",1=1,1=2),IF(AND($G42&lt;&gt;"",$G42=$J42),1=1,IF(AND($G42&lt;&gt;"",$H42&lt;&gt;$I42),1=1,IF(AND($G42="",$H42=$I42),1=1,1=2))))</formula>
    </cfRule>
  </conditionalFormatting>
  <conditionalFormatting sqref="J42:J48">
    <cfRule type="expression" dxfId="57" priority="48" stopIfTrue="1">
      <formula>IF(COUNT($H42:$I42)&lt;=1,IF($G42&lt;&gt;"",1=1,1=2),IF(AND($G42&lt;&gt;"",$G42=$J42),1=1,IF(AND($G42&lt;&gt;"",$H42&lt;&gt;$I42),1=1,IF(AND($G42="",$H42=$I42),1=1,1=2))))</formula>
    </cfRule>
  </conditionalFormatting>
  <conditionalFormatting sqref="G58">
    <cfRule type="expression" dxfId="56" priority="30" stopIfTrue="1">
      <formula>IF(COUNT($H58:$I58)&lt;=1,IF($G58&lt;&gt;"",1=1,1=2),IF(AND($G58&lt;&gt;"",$G58=$J58),1=1,IF(AND($G58&lt;&gt;"",$H58&lt;&gt;$I58),1=1,IF(AND($G58="",$H58=$I58),1=1,1=2))))</formula>
    </cfRule>
  </conditionalFormatting>
  <conditionalFormatting sqref="J51">
    <cfRule type="expression" dxfId="55" priority="46" stopIfTrue="1">
      <formula>IF(COUNT($H51:$I51)&lt;=1,IF($G51&lt;&gt;"",1=1,1=2),IF(AND($G51&lt;&gt;"",$G51=$J51),1=1,IF(AND($G51&lt;&gt;"",$H51&lt;&gt;$I51),1=1,IF(AND($G51="",$H51=$I51),1=1,1=2))))</formula>
    </cfRule>
  </conditionalFormatting>
  <conditionalFormatting sqref="J51">
    <cfRule type="expression" dxfId="54" priority="45" stopIfTrue="1">
      <formula>IF(COUNT($H51:$I51)&lt;=1,IF($G51&lt;&gt;"",1=1,1=2),IF(AND($G51&lt;&gt;"",$G51=$J51),1=1,IF(AND($G51&lt;&gt;"",$H51&lt;&gt;$I51),1=1,IF(AND($G51="",$H51=$I51),1=1,1=2))))</formula>
    </cfRule>
  </conditionalFormatting>
  <conditionalFormatting sqref="J51">
    <cfRule type="expression" dxfId="53" priority="44" stopIfTrue="1">
      <formula>IF(COUNT($H51:$I51)&lt;=1,IF($G51&lt;&gt;"",1=1,1=2),IF(AND($G51&lt;&gt;"",$G51=$J51),1=1,IF(AND($G51&lt;&gt;"",$H51&lt;&gt;$I51),1=1,IF(AND($G51="",$H51=$I51),1=1,1=2))))</formula>
    </cfRule>
  </conditionalFormatting>
  <conditionalFormatting sqref="G51">
    <cfRule type="expression" dxfId="52" priority="43" stopIfTrue="1">
      <formula>IF(COUNT($H51:$I51)&lt;=1,IF($G51&lt;&gt;"",1=1,1=2),IF(AND($G51&lt;&gt;"",$G51=$J51),1=1,IF(AND($G51&lt;&gt;"",$H51&lt;&gt;$I51),1=1,IF(AND($G51="",$H51=$I51),1=1,1=2))))</formula>
    </cfRule>
  </conditionalFormatting>
  <conditionalFormatting sqref="G52:G54">
    <cfRule type="expression" dxfId="51" priority="42" stopIfTrue="1">
      <formula>IF(COUNT($H52:$I52)&lt;=1,IF($G52&lt;&gt;"",1=1,1=2),IF(AND($G52&lt;&gt;"",$G52=$J52),1=1,IF(AND($G52&lt;&gt;"",$H52&lt;&gt;$I52),1=1,IF(AND($G52="",$H52=$I52),1=1,1=2))))</formula>
    </cfRule>
  </conditionalFormatting>
  <conditionalFormatting sqref="J58">
    <cfRule type="expression" dxfId="50" priority="27" stopIfTrue="1">
      <formula>IF(COUNT($H58:$I58)&lt;=1,IF($G58&lt;&gt;"",1=1,1=2),IF(AND($G58&lt;&gt;"",$G58=$J58),1=1,IF(AND($G58&lt;&gt;"",$H58&lt;&gt;$I58),1=1,IF(AND($G58="",$H58=$I58),1=1,1=2))))</formula>
    </cfRule>
  </conditionalFormatting>
  <conditionalFormatting sqref="J52:J54">
    <cfRule type="expression" dxfId="49" priority="41" stopIfTrue="1">
      <formula>IF(COUNT($H52:$I52)&lt;=1,IF($G52&lt;&gt;"",1=1,1=2),IF(AND($G52&lt;&gt;"",$G52=$J52),1=1,IF(AND($G52&lt;&gt;"",$H52&lt;&gt;$I52),1=1,IF(AND($G52="",$H52=$I52),1=1,1=2))))</formula>
    </cfRule>
  </conditionalFormatting>
  <conditionalFormatting sqref="J52:J54">
    <cfRule type="expression" dxfId="48" priority="40" stopIfTrue="1">
      <formula>IF(COUNT($H52:$I52)&lt;=1,IF($G52&lt;&gt;"",1=1,1=2),IF(AND($G52&lt;&gt;"",$G52=$J52),1=1,IF(AND($G52&lt;&gt;"",$H52&lt;&gt;$I52),1=1,IF(AND($G52="",$H52=$I52),1=1,1=2))))</formula>
    </cfRule>
  </conditionalFormatting>
  <conditionalFormatting sqref="J52:J54">
    <cfRule type="expression" dxfId="47" priority="39" stopIfTrue="1">
      <formula>IF(COUNT($H52:$I52)&lt;=1,IF($G52&lt;&gt;"",1=1,1=2),IF(AND($G52&lt;&gt;"",$G52=$J52),1=1,IF(AND($G52&lt;&gt;"",$H52&lt;&gt;$I52),1=1,IF(AND($G52="",$H52=$I52),1=1,1=2))))</formula>
    </cfRule>
  </conditionalFormatting>
  <conditionalFormatting sqref="G57">
    <cfRule type="expression" dxfId="46" priority="38" stopIfTrue="1">
      <formula>IF(COUNT($H57:$I57)&lt;=1,IF($G57&lt;&gt;"",1=1,1=2),IF(AND($G57&lt;&gt;"",$G57=$J57),1=1,IF(AND($G57&lt;&gt;"",$H57&lt;&gt;$I57),1=1,IF(AND($G57="",$H57=$I57),1=1,1=2))))</formula>
    </cfRule>
  </conditionalFormatting>
  <conditionalFormatting sqref="J57">
    <cfRule type="expression" dxfId="45" priority="37" stopIfTrue="1">
      <formula>IF(COUNT($H57:$I57)&lt;=1,IF($G57&lt;&gt;"",1=1,1=2),IF(AND($G57&lt;&gt;"",$G57=$J57),1=1,IF(AND($G57&lt;&gt;"",$H57&lt;&gt;$I57),1=1,IF(AND($G57="",$H57=$I57),1=1,1=2))))</formula>
    </cfRule>
  </conditionalFormatting>
  <conditionalFormatting sqref="J57">
    <cfRule type="expression" dxfId="44" priority="36" stopIfTrue="1">
      <formula>IF(COUNT($H57:$I57)&lt;=1,IF($G57&lt;&gt;"",1=1,1=2),IF(AND($G57&lt;&gt;"",$G57=$J57),1=1,IF(AND($G57&lt;&gt;"",$H57&lt;&gt;$I57),1=1,IF(AND($G57="",$H57=$I57),1=1,1=2))))</formula>
    </cfRule>
  </conditionalFormatting>
  <conditionalFormatting sqref="J57">
    <cfRule type="expression" dxfId="43" priority="35" stopIfTrue="1">
      <formula>IF(COUNT($H57:$I57)&lt;=1,IF($G57&lt;&gt;"",1=1,1=2),IF(AND($G57&lt;&gt;"",$G57=$J57),1=1,IF(AND($G57&lt;&gt;"",$H57&lt;&gt;$I57),1=1,IF(AND($G57="",$H57=$I57),1=1,1=2))))</formula>
    </cfRule>
  </conditionalFormatting>
  <conditionalFormatting sqref="G61">
    <cfRule type="expression" dxfId="42" priority="34" stopIfTrue="1">
      <formula>IF(COUNT($H61:$I61)&lt;=1,IF($G61&lt;&gt;"",1=1,1=2),IF(AND($G61&lt;&gt;"",$G61=$J61),1=1,IF(AND($G61&lt;&gt;"",$H61&lt;&gt;$I61),1=1,IF(AND($G61="",$H61=$I61),1=1,1=2))))</formula>
    </cfRule>
  </conditionalFormatting>
  <conditionalFormatting sqref="J61">
    <cfRule type="expression" dxfId="41" priority="33" stopIfTrue="1">
      <formula>IF(COUNT($H61:$I61)&lt;=1,IF($G61&lt;&gt;"",1=1,1=2),IF(AND($G61&lt;&gt;"",$G61=$J61),1=1,IF(AND($G61&lt;&gt;"",$H61&lt;&gt;$I61),1=1,IF(AND($G61="",$H61=$I61),1=1,1=2))))</formula>
    </cfRule>
  </conditionalFormatting>
  <conditionalFormatting sqref="J61">
    <cfRule type="expression" dxfId="40" priority="32" stopIfTrue="1">
      <formula>IF(COUNT($H61:$I61)&lt;=1,IF($G61&lt;&gt;"",1=1,1=2),IF(AND($G61&lt;&gt;"",$G61=$J61),1=1,IF(AND($G61&lt;&gt;"",$H61&lt;&gt;$I61),1=1,IF(AND($G61="",$H61=$I61),1=1,1=2))))</formula>
    </cfRule>
  </conditionalFormatting>
  <conditionalFormatting sqref="J61">
    <cfRule type="expression" dxfId="39" priority="31" stopIfTrue="1">
      <formula>IF(COUNT($H61:$I61)&lt;=1,IF($G61&lt;&gt;"",1=1,1=2),IF(AND($G61&lt;&gt;"",$G61=$J61),1=1,IF(AND($G61&lt;&gt;"",$H61&lt;&gt;$I61),1=1,IF(AND($G61="",$H61=$I61),1=1,1=2))))</formula>
    </cfRule>
  </conditionalFormatting>
  <conditionalFormatting sqref="J58">
    <cfRule type="expression" dxfId="38" priority="29" stopIfTrue="1">
      <formula>IF(COUNT($H58:$I58)&lt;=1,IF($G58&lt;&gt;"",1=1,1=2),IF(AND($G58&lt;&gt;"",$G58=$J58),1=1,IF(AND($G58&lt;&gt;"",$H58&lt;&gt;$I58),1=1,IF(AND($G58="",$H58=$I58),1=1,1=2))))</formula>
    </cfRule>
  </conditionalFormatting>
  <conditionalFormatting sqref="J58">
    <cfRule type="expression" dxfId="37" priority="28" stopIfTrue="1">
      <formula>IF(COUNT($H58:$I58)&lt;=1,IF($G58&lt;&gt;"",1=1,1=2),IF(AND($G58&lt;&gt;"",$G58=$J58),1=1,IF(AND($G58&lt;&gt;"",$H58&lt;&gt;$I58),1=1,IF(AND($G58="",$H58=$I58),1=1,1=2))))</formula>
    </cfRule>
  </conditionalFormatting>
  <conditionalFormatting sqref="O7:X7">
    <cfRule type="expression" dxfId="36" priority="21">
      <formula>COUNTIF($AP$12:$AP$15,$P$7)=1</formula>
    </cfRule>
  </conditionalFormatting>
  <conditionalFormatting sqref="O13:X13">
    <cfRule type="expression" dxfId="35" priority="23">
      <formula>COUNTIF($AP$12:$AP$15,$P$13)=1</formula>
    </cfRule>
  </conditionalFormatting>
  <conditionalFormatting sqref="O19:X19">
    <cfRule type="expression" dxfId="34" priority="20">
      <formula>COUNTIF($AP$12:$AP$15,$P$19)=1</formula>
    </cfRule>
  </conditionalFormatting>
  <conditionalFormatting sqref="O25:X25">
    <cfRule type="expression" dxfId="33" priority="19">
      <formula>COUNTIF($AP$12:$AP$15,$P$25)=1</formula>
    </cfRule>
  </conditionalFormatting>
  <conditionalFormatting sqref="O31:X31">
    <cfRule type="expression" dxfId="32" priority="18">
      <formula>COUNTIF($AP$12:$AP$15,$P$31)=1</formula>
    </cfRule>
  </conditionalFormatting>
  <conditionalFormatting sqref="O37:X37">
    <cfRule type="expression" dxfId="31" priority="17">
      <formula>COUNTIF($AP$12:$AP$15,$P$37)=1</formula>
    </cfRule>
  </conditionalFormatting>
  <conditionalFormatting sqref="Y5:Y8 Y11:Y14 Y17:Y20 Y23:Y26 Y29:Y32 Y35:Y38">
    <cfRule type="iconSet" priority="16">
      <iconSet iconSet="3Symbols2" showValue="0">
        <cfvo type="percent" val="0"/>
        <cfvo type="num" val="0"/>
        <cfvo type="num" val="90"/>
      </iconSet>
    </cfRule>
  </conditionalFormatting>
  <conditionalFormatting sqref="O40:X44">
    <cfRule type="expression" dxfId="30" priority="15">
      <formula>$O$40&gt;0</formula>
    </cfRule>
  </conditionalFormatting>
  <conditionalFormatting sqref="L3:L38">
    <cfRule type="iconSet" priority="14">
      <iconSet iconSet="3Symbols2" showValue="0">
        <cfvo type="percent" val="0"/>
        <cfvo type="num" val="0.5"/>
        <cfvo type="num" val="1"/>
      </iconSet>
    </cfRule>
  </conditionalFormatting>
  <conditionalFormatting sqref="L41:L48">
    <cfRule type="iconSet" priority="11">
      <iconSet iconSet="3Symbols2" showValue="0">
        <cfvo type="percent" val="0"/>
        <cfvo type="num" val="0.5"/>
        <cfvo type="num" val="1"/>
      </iconSet>
    </cfRule>
  </conditionalFormatting>
  <conditionalFormatting sqref="L51:L54">
    <cfRule type="iconSet" priority="10">
      <iconSet iconSet="3Symbols2" showValue="0">
        <cfvo type="percent" val="0"/>
        <cfvo type="num" val="0.5"/>
        <cfvo type="num" val="1"/>
      </iconSet>
    </cfRule>
  </conditionalFormatting>
  <conditionalFormatting sqref="L57:L58">
    <cfRule type="iconSet" priority="9">
      <iconSet iconSet="3Symbols2" showValue="0">
        <cfvo type="percent" val="0"/>
        <cfvo type="num" val="0.5"/>
        <cfvo type="num" val="1"/>
      </iconSet>
    </cfRule>
  </conditionalFormatting>
  <conditionalFormatting sqref="L61">
    <cfRule type="iconSet" priority="8">
      <iconSet iconSet="3Symbols2" showValue="0">
        <cfvo type="percent" val="0"/>
        <cfvo type="num" val="0.5"/>
        <cfvo type="num" val="1"/>
      </iconSet>
    </cfRule>
  </conditionalFormatting>
  <conditionalFormatting sqref="L64">
    <cfRule type="iconSet" priority="6">
      <iconSet iconSet="3Symbols2" showValue="0">
        <cfvo type="percent" val="0"/>
        <cfvo type="num" val="0.5"/>
        <cfvo type="num" val="1"/>
      </iconSet>
    </cfRule>
  </conditionalFormatting>
  <conditionalFormatting sqref="L63">
    <cfRule type="iconSet" priority="5">
      <iconSet iconSet="3Symbols2" showValue="0">
        <cfvo type="percent" val="0"/>
        <cfvo type="num" val="0.5"/>
        <cfvo type="num" val="1"/>
      </iconSet>
    </cfRule>
  </conditionalFormatting>
  <conditionalFormatting sqref="O63">
    <cfRule type="cellIs" dxfId="29" priority="4" operator="equal">
      <formula>"PORRA COMPLETA: Guarda el archivo y reenvíanoslo por email"</formula>
    </cfRule>
  </conditionalFormatting>
  <conditionalFormatting sqref="O46:X50">
    <cfRule type="expression" dxfId="28" priority="3">
      <formula>$O$46&gt;0</formula>
    </cfRule>
  </conditionalFormatting>
  <conditionalFormatting sqref="L65">
    <cfRule type="iconSet" priority="2">
      <iconSet iconSet="3Symbols2" showValue="0">
        <cfvo type="percent" val="0"/>
        <cfvo type="num" val="0.5"/>
        <cfvo type="num" val="1"/>
      </iconSet>
    </cfRule>
  </conditionalFormatting>
  <conditionalFormatting sqref="L66">
    <cfRule type="iconSet" priority="1">
      <iconSet iconSet="3Symbols2" showValue="0">
        <cfvo type="percent" val="0"/>
        <cfvo type="num" val="0.5"/>
        <cfvo type="num" val="1"/>
      </iconSet>
    </cfRule>
  </conditionalFormatting>
  <pageMargins left="0.7" right="0.7" top="0.75" bottom="0.75" header="0.3" footer="0.3"/>
  <pageSetup paperSize="9" orientation="portrait" r:id="rId1"/>
  <drawing r:id="rId2"/>
  <tableParts count="1">
    <tablePart r:id="rId3"/>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MAO55"/>
  <sheetViews>
    <sheetView topLeftCell="A9" zoomScale="85" zoomScaleNormal="85" workbookViewId="0">
      <selection activeCell="B35" sqref="B35"/>
    </sheetView>
  </sheetViews>
  <sheetFormatPr baseColWidth="10" defaultColWidth="20.5703125" defaultRowHeight="15" customHeight="1" x14ac:dyDescent="0.25"/>
  <cols>
    <col min="1" max="1" width="20.5703125" style="86"/>
    <col min="2" max="2" width="25" style="86" customWidth="1"/>
    <col min="3" max="3" width="11.42578125" style="86" customWidth="1"/>
    <col min="4" max="16384" width="20.5703125" style="86"/>
  </cols>
  <sheetData>
    <row r="1" spans="1:3 8829:8829" ht="15" customHeight="1" x14ac:dyDescent="0.25">
      <c r="A1" s="88" t="s">
        <v>208</v>
      </c>
      <c r="B1" s="89" t="s">
        <v>160</v>
      </c>
      <c r="C1" s="89" t="s">
        <v>172</v>
      </c>
    </row>
    <row r="2" spans="1:3 8829:8829" ht="15" customHeight="1" x14ac:dyDescent="0.25">
      <c r="A2" s="88" t="b">
        <f>NOT(ISERROR(VLOOKUP(Tabla3[[#This Row],[Selección]],'Porra Eurocopa'!$AC$4:$AC$38,1,FALSE)))</f>
        <v>1</v>
      </c>
      <c r="B2" s="88" t="s">
        <v>106</v>
      </c>
      <c r="C2" s="89">
        <v>1</v>
      </c>
      <c r="MAO2" s="87" t="s">
        <v>159</v>
      </c>
    </row>
    <row r="3" spans="1:3 8829:8829" ht="15" customHeight="1" x14ac:dyDescent="0.25">
      <c r="A3" s="88" t="b">
        <f>NOT(ISERROR(VLOOKUP(Tabla3[[#This Row],[Selección]],'Porra Eurocopa'!$AC$4:$AC$38,1,FALSE)))</f>
        <v>1</v>
      </c>
      <c r="B3" s="88" t="s">
        <v>107</v>
      </c>
      <c r="C3" s="89">
        <v>2</v>
      </c>
    </row>
    <row r="4" spans="1:3 8829:8829" ht="15" customHeight="1" x14ac:dyDescent="0.25">
      <c r="A4" s="88" t="b">
        <f>NOT(ISERROR(VLOOKUP(Tabla3[[#This Row],[Selección]],'Porra Eurocopa'!$AC$4:$AC$38,1,FALSE)))</f>
        <v>1</v>
      </c>
      <c r="B4" s="88" t="s">
        <v>108</v>
      </c>
      <c r="C4" s="89">
        <v>3</v>
      </c>
    </row>
    <row r="5" spans="1:3 8829:8829" ht="15" customHeight="1" x14ac:dyDescent="0.25">
      <c r="A5" s="88" t="b">
        <f>NOT(ISERROR(VLOOKUP(Tabla3[[#This Row],[Selección]],'Porra Eurocopa'!$AC$4:$AC$38,1,FALSE)))</f>
        <v>1</v>
      </c>
      <c r="B5" s="88" t="s">
        <v>110</v>
      </c>
      <c r="C5" s="89">
        <v>4</v>
      </c>
    </row>
    <row r="6" spans="1:3 8829:8829" ht="15" customHeight="1" x14ac:dyDescent="0.25">
      <c r="A6" s="88" t="b">
        <f>NOT(ISERROR(VLOOKUP(Tabla3[[#This Row],[Selección]],'Porra Eurocopa'!$AC$4:$AC$38,1,FALSE)))</f>
        <v>1</v>
      </c>
      <c r="B6" s="88" t="s">
        <v>109</v>
      </c>
      <c r="C6" s="89">
        <v>5</v>
      </c>
    </row>
    <row r="7" spans="1:3 8829:8829" ht="15" customHeight="1" x14ac:dyDescent="0.25">
      <c r="A7" s="88" t="b">
        <f>NOT(ISERROR(VLOOKUP(Tabla3[[#This Row],[Selección]],'Porra Eurocopa'!$AC$4:$AC$38,1,FALSE)))</f>
        <v>1</v>
      </c>
      <c r="B7" s="88" t="s">
        <v>104</v>
      </c>
      <c r="C7" s="89">
        <v>6</v>
      </c>
    </row>
    <row r="8" spans="1:3 8829:8829" ht="15" customHeight="1" x14ac:dyDescent="0.25">
      <c r="A8" s="88" t="b">
        <f>NOT(ISERROR(VLOOKUP(Tabla3[[#This Row],[Selección]],'Porra Eurocopa'!$AC$4:$AC$38,1,FALSE)))</f>
        <v>1</v>
      </c>
      <c r="B8" s="88" t="s">
        <v>111</v>
      </c>
      <c r="C8" s="89">
        <v>7</v>
      </c>
    </row>
    <row r="9" spans="1:3 8829:8829" ht="15" customHeight="1" x14ac:dyDescent="0.25">
      <c r="A9" s="88" t="b">
        <f>NOT(ISERROR(VLOOKUP(Tabla3[[#This Row],[Selección]],'Porra Eurocopa'!$AC$4:$AC$38,1,FALSE)))</f>
        <v>1</v>
      </c>
      <c r="B9" s="88" t="s">
        <v>115</v>
      </c>
      <c r="C9" s="89">
        <v>8</v>
      </c>
    </row>
    <row r="10" spans="1:3 8829:8829" ht="15" customHeight="1" x14ac:dyDescent="0.25">
      <c r="A10" s="88" t="b">
        <f>NOT(ISERROR(VLOOKUP(Tabla3[[#This Row],[Selección]],'Porra Eurocopa'!$AC$4:$AC$38,1,FALSE)))</f>
        <v>1</v>
      </c>
      <c r="B10" s="88" t="s">
        <v>415</v>
      </c>
      <c r="C10" s="89">
        <v>9</v>
      </c>
    </row>
    <row r="11" spans="1:3 8829:8829" ht="15" customHeight="1" x14ac:dyDescent="0.25">
      <c r="A11" s="88" t="b">
        <f>NOT(ISERROR(VLOOKUP(Tabla3[[#This Row],[Selección]],'Porra Eurocopa'!$AC$4:$AC$38,1,FALSE)))</f>
        <v>1</v>
      </c>
      <c r="B11" s="88" t="s">
        <v>418</v>
      </c>
      <c r="C11" s="89">
        <v>10</v>
      </c>
    </row>
    <row r="12" spans="1:3 8829:8829" ht="15" customHeight="1" x14ac:dyDescent="0.25">
      <c r="A12" s="88" t="b">
        <f>NOT(ISERROR(VLOOKUP(Tabla3[[#This Row],[Selección]],'Porra Eurocopa'!$AC$4:$AC$38,1,FALSE)))</f>
        <v>1</v>
      </c>
      <c r="B12" s="88" t="s">
        <v>426</v>
      </c>
      <c r="C12" s="89">
        <v>11</v>
      </c>
    </row>
    <row r="13" spans="1:3 8829:8829" ht="15" customHeight="1" x14ac:dyDescent="0.25">
      <c r="A13" s="88" t="b">
        <f>NOT(ISERROR(VLOOKUP(Tabla3[[#This Row],[Selección]],'Porra Eurocopa'!$AC$4:$AC$38,1,FALSE)))</f>
        <v>1</v>
      </c>
      <c r="B13" s="88" t="s">
        <v>112</v>
      </c>
      <c r="C13" s="89">
        <v>12</v>
      </c>
    </row>
    <row r="14" spans="1:3 8829:8829" ht="15" customHeight="1" x14ac:dyDescent="0.25">
      <c r="A14" s="88" t="b">
        <f>NOT(ISERROR(VLOOKUP(Tabla3[[#This Row],[Selección]],'Porra Eurocopa'!$AC$4:$AC$38,1,FALSE)))</f>
        <v>1</v>
      </c>
      <c r="B14" s="88" t="s">
        <v>142</v>
      </c>
      <c r="C14" s="89">
        <v>13</v>
      </c>
    </row>
    <row r="15" spans="1:3 8829:8829" ht="15" customHeight="1" x14ac:dyDescent="0.25">
      <c r="A15" s="88" t="b">
        <f>NOT(ISERROR(VLOOKUP(Tabla3[[#This Row],[Selección]],'Porra Eurocopa'!$AC$4:$AC$38,1,FALSE)))</f>
        <v>0</v>
      </c>
      <c r="B15" s="88" t="s">
        <v>181</v>
      </c>
      <c r="C15" s="89">
        <v>14</v>
      </c>
    </row>
    <row r="16" spans="1:3 8829:8829" ht="15" customHeight="1" x14ac:dyDescent="0.25">
      <c r="A16" s="88" t="b">
        <f>NOT(ISERROR(VLOOKUP(Tabla3[[#This Row],[Selección]],'Porra Eurocopa'!$AC$4:$AC$38,1,FALSE)))</f>
        <v>0</v>
      </c>
      <c r="B16" s="88" t="s">
        <v>118</v>
      </c>
      <c r="C16" s="89">
        <v>15</v>
      </c>
    </row>
    <row r="17" spans="1:334 8829:8829" ht="15" customHeight="1" x14ac:dyDescent="0.25">
      <c r="A17" s="88" t="b">
        <f>NOT(ISERROR(VLOOKUP(Tabla3[[#This Row],[Selección]],'Porra Eurocopa'!$AC$4:$AC$38,1,FALSE)))</f>
        <v>1</v>
      </c>
      <c r="B17" s="88" t="s">
        <v>113</v>
      </c>
      <c r="C17" s="89">
        <v>16</v>
      </c>
    </row>
    <row r="18" spans="1:334 8829:8829" ht="15" customHeight="1" x14ac:dyDescent="0.25">
      <c r="A18" s="88" t="b">
        <f>NOT(ISERROR(VLOOKUP(Tabla3[[#This Row],[Selección]],'Porra Eurocopa'!$AC$4:$AC$38,1,FALSE)))</f>
        <v>1</v>
      </c>
      <c r="B18" s="88" t="s">
        <v>114</v>
      </c>
      <c r="C18" s="89">
        <v>17</v>
      </c>
    </row>
    <row r="19" spans="1:334 8829:8829" ht="15" customHeight="1" x14ac:dyDescent="0.25">
      <c r="A19" s="88" t="b">
        <f>NOT(ISERROR(VLOOKUP(Tabla3[[#This Row],[Selección]],'Porra Eurocopa'!$AC$4:$AC$38,1,FALSE)))</f>
        <v>1</v>
      </c>
      <c r="B19" s="88" t="s">
        <v>117</v>
      </c>
      <c r="C19" s="89">
        <v>18</v>
      </c>
    </row>
    <row r="20" spans="1:334 8829:8829" ht="15" customHeight="1" x14ac:dyDescent="0.25">
      <c r="A20" s="88" t="b">
        <f>NOT(ISERROR(VLOOKUP(Tabla3[[#This Row],[Selección]],'Porra Eurocopa'!$AC$4:$AC$38,1,FALSE)))</f>
        <v>0</v>
      </c>
      <c r="B20" s="88" t="s">
        <v>198</v>
      </c>
      <c r="C20" s="89">
        <v>19</v>
      </c>
    </row>
    <row r="21" spans="1:334 8829:8829" ht="15" customHeight="1" x14ac:dyDescent="0.25">
      <c r="A21" s="88" t="b">
        <f>NOT(ISERROR(VLOOKUP(Tabla3[[#This Row],[Selección]],'Porra Eurocopa'!$AC$4:$AC$38,1,FALSE)))</f>
        <v>0</v>
      </c>
      <c r="B21" s="88" t="s">
        <v>191</v>
      </c>
      <c r="C21" s="89">
        <v>20</v>
      </c>
    </row>
    <row r="22" spans="1:334 8829:8829" ht="15" customHeight="1" x14ac:dyDescent="0.25">
      <c r="A22" s="88" t="b">
        <f>NOT(ISERROR(VLOOKUP(Tabla3[[#This Row],[Selección]],'Porra Eurocopa'!$AC$4:$AC$38,1,FALSE)))</f>
        <v>1</v>
      </c>
      <c r="B22" s="88" t="s">
        <v>116</v>
      </c>
      <c r="C22" s="89">
        <v>21</v>
      </c>
    </row>
    <row r="23" spans="1:334 8829:8829" ht="15" customHeight="1" x14ac:dyDescent="0.25">
      <c r="A23" s="88" t="b">
        <f>NOT(ISERROR(VLOOKUP(Tabla3[[#This Row],[Selección]],'Porra Eurocopa'!$AC$4:$AC$38,1,FALSE)))</f>
        <v>0</v>
      </c>
      <c r="B23" s="88" t="s">
        <v>184</v>
      </c>
      <c r="C23" s="89">
        <v>22</v>
      </c>
    </row>
    <row r="24" spans="1:334 8829:8829" ht="15" customHeight="1" x14ac:dyDescent="0.25">
      <c r="A24" s="88" t="b">
        <f>NOT(ISERROR(VLOOKUP(Tabla3[[#This Row],[Selección]],'Porra Eurocopa'!$AC$4:$AC$38,1,FALSE)))</f>
        <v>0</v>
      </c>
      <c r="B24" s="88" t="s">
        <v>185</v>
      </c>
      <c r="C24" s="89">
        <v>23</v>
      </c>
    </row>
    <row r="25" spans="1:334 8829:8829" ht="15" customHeight="1" x14ac:dyDescent="0.25">
      <c r="A25" s="88" t="b">
        <f>NOT(ISERROR(VLOOKUP(Tabla3[[#This Row],[Selección]],'Porra Eurocopa'!$AC$4:$AC$38,1,FALSE)))</f>
        <v>1</v>
      </c>
      <c r="B25" s="88" t="s">
        <v>182</v>
      </c>
      <c r="C25" s="89">
        <v>24</v>
      </c>
    </row>
    <row r="26" spans="1:334 8829:8829" ht="15" customHeight="1" x14ac:dyDescent="0.25">
      <c r="A26" s="88" t="b">
        <f>NOT(ISERROR(VLOOKUP(Tabla3[[#This Row],[Selección]],'Porra Eurocopa'!$AC$4:$AC$38,1,FALSE)))</f>
        <v>1</v>
      </c>
      <c r="B26" s="88" t="s">
        <v>189</v>
      </c>
      <c r="C26" s="89">
        <v>25</v>
      </c>
    </row>
    <row r="27" spans="1:334 8829:8829" ht="15" customHeight="1" x14ac:dyDescent="0.25">
      <c r="A27" s="88" t="b">
        <f>NOT(ISERROR(VLOOKUP(Tabla3[[#This Row],[Selección]],'Porra Eurocopa'!$AC$4:$AC$38,1,FALSE)))</f>
        <v>0</v>
      </c>
      <c r="B27" s="88" t="s">
        <v>200</v>
      </c>
      <c r="C27" s="89">
        <v>26</v>
      </c>
    </row>
    <row r="28" spans="1:334 8829:8829" ht="15" customHeight="1" x14ac:dyDescent="0.25">
      <c r="A28" s="88" t="b">
        <f>NOT(ISERROR(VLOOKUP(Tabla3[[#This Row],[Selección]],'Porra Eurocopa'!$AC$4:$AC$38,1,FALSE)))</f>
        <v>0</v>
      </c>
      <c r="B28" s="88" t="s">
        <v>183</v>
      </c>
      <c r="C28" s="89">
        <v>27</v>
      </c>
      <c r="LV28" s="87" t="s">
        <v>159</v>
      </c>
      <c r="MAO28" s="87" t="s">
        <v>159</v>
      </c>
    </row>
    <row r="29" spans="1:334 8829:8829" ht="15" customHeight="1" x14ac:dyDescent="0.25">
      <c r="A29" s="88" t="b">
        <f>NOT(ISERROR(VLOOKUP(Tabla3[[#This Row],[Selección]],'Porra Eurocopa'!$AC$4:$AC$38,1,FALSE)))</f>
        <v>0</v>
      </c>
      <c r="B29" s="88" t="s">
        <v>209</v>
      </c>
      <c r="C29" s="89">
        <v>28</v>
      </c>
    </row>
    <row r="30" spans="1:334 8829:8829" ht="15" customHeight="1" x14ac:dyDescent="0.25">
      <c r="A30" s="88" t="b">
        <f>NOT(ISERROR(VLOOKUP(Tabla3[[#This Row],[Selección]],'Porra Eurocopa'!$AC$4:$AC$38,1,FALSE)))</f>
        <v>0</v>
      </c>
      <c r="B30" s="88" t="s">
        <v>192</v>
      </c>
      <c r="C30" s="89">
        <v>29</v>
      </c>
    </row>
    <row r="31" spans="1:334 8829:8829" ht="15" customHeight="1" x14ac:dyDescent="0.25">
      <c r="A31" s="88" t="b">
        <f>NOT(ISERROR(VLOOKUP(Tabla3[[#This Row],[Selección]],'Porra Eurocopa'!$AC$4:$AC$38,1,FALSE)))</f>
        <v>0</v>
      </c>
      <c r="B31" s="88" t="s">
        <v>187</v>
      </c>
      <c r="C31" s="89">
        <v>30</v>
      </c>
    </row>
    <row r="32" spans="1:334 8829:8829" ht="15" customHeight="1" x14ac:dyDescent="0.25">
      <c r="A32" s="88" t="b">
        <f>NOT(ISERROR(VLOOKUP(Tabla3[[#This Row],[Selección]],'Porra Eurocopa'!$AC$4:$AC$38,1,FALSE)))</f>
        <v>1</v>
      </c>
      <c r="B32" s="88" t="s">
        <v>119</v>
      </c>
      <c r="C32" s="89">
        <v>31</v>
      </c>
    </row>
    <row r="33" spans="1:3" ht="15" customHeight="1" x14ac:dyDescent="0.25">
      <c r="A33" s="88" t="b">
        <f>NOT(ISERROR(VLOOKUP(Tabla3[[#This Row],[Selección]],'Porra Eurocopa'!$AC$4:$AC$38,1,FALSE)))</f>
        <v>0</v>
      </c>
      <c r="B33" s="88" t="s">
        <v>202</v>
      </c>
      <c r="C33" s="89">
        <v>32</v>
      </c>
    </row>
    <row r="34" spans="1:3" ht="15" customHeight="1" x14ac:dyDescent="0.25">
      <c r="A34" s="88" t="b">
        <f>NOT(ISERROR(VLOOKUP(Tabla3[[#This Row],[Selección]],'Porra Eurocopa'!$AC$4:$AC$38,1,FALSE)))</f>
        <v>1</v>
      </c>
      <c r="B34" s="88" t="s">
        <v>425</v>
      </c>
      <c r="C34" s="89">
        <v>33</v>
      </c>
    </row>
    <row r="35" spans="1:3" ht="15" customHeight="1" x14ac:dyDescent="0.25">
      <c r="A35" s="88" t="b">
        <f>NOT(ISERROR(VLOOKUP(Tabla3[[#This Row],[Selección]],'Porra Eurocopa'!$AC$4:$AC$38,1,FALSE)))</f>
        <v>0</v>
      </c>
      <c r="B35" s="88" t="s">
        <v>199</v>
      </c>
      <c r="C35" s="89">
        <v>34</v>
      </c>
    </row>
    <row r="36" spans="1:3" ht="15" customHeight="1" x14ac:dyDescent="0.25">
      <c r="A36" s="88" t="b">
        <f>NOT(ISERROR(VLOOKUP(Tabla3[[#This Row],[Selección]],'Porra Eurocopa'!$AC$4:$AC$38,1,FALSE)))</f>
        <v>0</v>
      </c>
      <c r="B36" s="88" t="s">
        <v>123</v>
      </c>
      <c r="C36" s="89">
        <v>35</v>
      </c>
    </row>
    <row r="37" spans="1:3" ht="15" customHeight="1" x14ac:dyDescent="0.25">
      <c r="A37" s="88" t="b">
        <f>NOT(ISERROR(VLOOKUP(Tabla3[[#This Row],[Selección]],'Porra Eurocopa'!$AC$4:$AC$38,1,FALSE)))</f>
        <v>0</v>
      </c>
      <c r="B37" s="88" t="s">
        <v>197</v>
      </c>
      <c r="C37" s="89">
        <v>36</v>
      </c>
    </row>
    <row r="38" spans="1:3" ht="15" customHeight="1" x14ac:dyDescent="0.25">
      <c r="A38" s="88" t="b">
        <f>NOT(ISERROR(VLOOKUP(Tabla3[[#This Row],[Selección]],'Porra Eurocopa'!$AC$4:$AC$38,1,FALSE)))</f>
        <v>1</v>
      </c>
      <c r="B38" s="88" t="s">
        <v>188</v>
      </c>
      <c r="C38" s="89">
        <v>37</v>
      </c>
    </row>
    <row r="39" spans="1:3" ht="15" customHeight="1" x14ac:dyDescent="0.25">
      <c r="A39" s="88" t="b">
        <f>NOT(ISERROR(VLOOKUP(Tabla3[[#This Row],[Selección]],'Porra Eurocopa'!$AC$4:$AC$38,1,FALSE)))</f>
        <v>0</v>
      </c>
      <c r="B39" s="88" t="s">
        <v>186</v>
      </c>
      <c r="C39" s="89">
        <v>38</v>
      </c>
    </row>
    <row r="40" spans="1:3" ht="15" customHeight="1" x14ac:dyDescent="0.25">
      <c r="A40" s="88" t="b">
        <f>NOT(ISERROR(VLOOKUP(Tabla3[[#This Row],[Selección]],'Porra Eurocopa'!$AC$4:$AC$38,1,FALSE)))</f>
        <v>0</v>
      </c>
      <c r="B40" s="88" t="s">
        <v>125</v>
      </c>
      <c r="C40" s="89">
        <v>39</v>
      </c>
    </row>
    <row r="41" spans="1:3" ht="15" customHeight="1" x14ac:dyDescent="0.25">
      <c r="A41" s="88" t="b">
        <f>NOT(ISERROR(VLOOKUP(Tabla3[[#This Row],[Selección]],'Porra Eurocopa'!$AC$4:$AC$38,1,FALSE)))</f>
        <v>1</v>
      </c>
      <c r="B41" s="88" t="s">
        <v>419</v>
      </c>
      <c r="C41" s="89">
        <v>40</v>
      </c>
    </row>
    <row r="42" spans="1:3" ht="15" customHeight="1" x14ac:dyDescent="0.25">
      <c r="A42" s="88" t="b">
        <f>NOT(ISERROR(VLOOKUP(Tabla3[[#This Row],[Selección]],'Porra Eurocopa'!$AC$4:$AC$38,1,FALSE)))</f>
        <v>0</v>
      </c>
      <c r="B42" s="88" t="s">
        <v>122</v>
      </c>
      <c r="C42" s="89">
        <v>41</v>
      </c>
    </row>
    <row r="43" spans="1:3" ht="15" customHeight="1" x14ac:dyDescent="0.25">
      <c r="A43" s="88" t="b">
        <f>NOT(ISERROR(VLOOKUP(Tabla3[[#This Row],[Selección]],'Porra Eurocopa'!$AC$4:$AC$38,1,FALSE)))</f>
        <v>0</v>
      </c>
      <c r="B43" s="88" t="s">
        <v>190</v>
      </c>
      <c r="C43" s="89">
        <v>42</v>
      </c>
    </row>
    <row r="44" spans="1:3" ht="15" customHeight="1" x14ac:dyDescent="0.25">
      <c r="A44" s="88" t="b">
        <f>NOT(ISERROR(VLOOKUP(Tabla3[[#This Row],[Selección]],'Porra Eurocopa'!$AC$4:$AC$38,1,FALSE)))</f>
        <v>0</v>
      </c>
      <c r="B44" s="88" t="s">
        <v>201</v>
      </c>
      <c r="C44" s="89">
        <v>43</v>
      </c>
    </row>
    <row r="45" spans="1:3" ht="15" customHeight="1" x14ac:dyDescent="0.25">
      <c r="A45" s="88" t="b">
        <f>NOT(ISERROR(VLOOKUP(Tabla3[[#This Row],[Selección]],'Porra Eurocopa'!$AC$4:$AC$38,1,FALSE)))</f>
        <v>0</v>
      </c>
      <c r="B45" s="88" t="s">
        <v>193</v>
      </c>
      <c r="C45" s="89">
        <v>44</v>
      </c>
    </row>
    <row r="46" spans="1:3" ht="15" customHeight="1" x14ac:dyDescent="0.25">
      <c r="A46" s="88" t="b">
        <f>NOT(ISERROR(VLOOKUP(Tabla3[[#This Row],[Selección]],'Porra Eurocopa'!$AC$4:$AC$38,1,FALSE)))</f>
        <v>0</v>
      </c>
      <c r="B46" s="88" t="s">
        <v>196</v>
      </c>
      <c r="C46" s="89">
        <v>45</v>
      </c>
    </row>
    <row r="47" spans="1:3" ht="15" customHeight="1" x14ac:dyDescent="0.25">
      <c r="A47" s="88" t="b">
        <f>NOT(ISERROR(VLOOKUP(Tabla3[[#This Row],[Selección]],'Porra Eurocopa'!$AC$4:$AC$38,1,FALSE)))</f>
        <v>0</v>
      </c>
      <c r="B47" s="88" t="s">
        <v>126</v>
      </c>
      <c r="C47" s="89">
        <v>46</v>
      </c>
    </row>
    <row r="48" spans="1:3" ht="15" customHeight="1" x14ac:dyDescent="0.25">
      <c r="A48" s="88" t="b">
        <f>NOT(ISERROR(VLOOKUP(Tabla3[[#This Row],[Selección]],'Porra Eurocopa'!$AC$4:$AC$38,1,FALSE)))</f>
        <v>0</v>
      </c>
      <c r="B48" s="88" t="s">
        <v>194</v>
      </c>
      <c r="C48" s="89">
        <v>47</v>
      </c>
    </row>
    <row r="49" spans="1:3" ht="15" customHeight="1" x14ac:dyDescent="0.25">
      <c r="A49" s="88" t="b">
        <f>NOT(ISERROR(VLOOKUP(Tabla3[[#This Row],[Selección]],'Porra Eurocopa'!$AC$4:$AC$38,1,FALSE)))</f>
        <v>0</v>
      </c>
      <c r="B49" s="88" t="s">
        <v>195</v>
      </c>
      <c r="C49" s="89">
        <v>48</v>
      </c>
    </row>
    <row r="50" spans="1:3" ht="15" customHeight="1" x14ac:dyDescent="0.25">
      <c r="A50" s="88" t="b">
        <f>NOT(ISERROR(VLOOKUP(Tabla3[[#This Row],[Selección]],'Porra Eurocopa'!$AC$4:$AC$38,1,FALSE)))</f>
        <v>0</v>
      </c>
      <c r="B50" s="88" t="s">
        <v>203</v>
      </c>
      <c r="C50" s="89">
        <v>49</v>
      </c>
    </row>
    <row r="51" spans="1:3" ht="15" customHeight="1" x14ac:dyDescent="0.25">
      <c r="A51" s="88" t="b">
        <f>NOT(ISERROR(VLOOKUP(Tabla3[[#This Row],[Selección]],'Porra Eurocopa'!$AC$4:$AC$38,1,FALSE)))</f>
        <v>0</v>
      </c>
      <c r="B51" s="88" t="s">
        <v>204</v>
      </c>
      <c r="C51" s="89">
        <v>50</v>
      </c>
    </row>
    <row r="52" spans="1:3" ht="15" customHeight="1" x14ac:dyDescent="0.25">
      <c r="A52" s="88" t="b">
        <f>NOT(ISERROR(VLOOKUP(Tabla3[[#This Row],[Selección]],'Porra Eurocopa'!$AC$4:$AC$38,1,FALSE)))</f>
        <v>1</v>
      </c>
      <c r="B52" s="88" t="s">
        <v>124</v>
      </c>
      <c r="C52" s="89">
        <v>51</v>
      </c>
    </row>
    <row r="53" spans="1:3" ht="15" customHeight="1" x14ac:dyDescent="0.25">
      <c r="A53" s="88" t="b">
        <f>NOT(ISERROR(VLOOKUP(Tabla3[[#This Row],[Selección]],'Porra Eurocopa'!$AC$4:$AC$38,1,FALSE)))</f>
        <v>0</v>
      </c>
      <c r="B53" s="88" t="s">
        <v>207</v>
      </c>
      <c r="C53" s="89">
        <v>52</v>
      </c>
    </row>
    <row r="54" spans="1:3" ht="15" customHeight="1" x14ac:dyDescent="0.25">
      <c r="A54" s="88" t="b">
        <f>NOT(ISERROR(VLOOKUP(Tabla3[[#This Row],[Selección]],'Porra Eurocopa'!$AC$4:$AC$38,1,FALSE)))</f>
        <v>0</v>
      </c>
      <c r="B54" s="88" t="s">
        <v>205</v>
      </c>
      <c r="C54" s="89">
        <v>53</v>
      </c>
    </row>
    <row r="55" spans="1:3" ht="15" customHeight="1" x14ac:dyDescent="0.25">
      <c r="A55" s="88" t="b">
        <f>NOT(ISERROR(VLOOKUP(Tabla3[[#This Row],[Selección]],'Porra Eurocopa'!$AC$4:$AC$38,1,FALSE)))</f>
        <v>0</v>
      </c>
      <c r="B55" s="88" t="s">
        <v>206</v>
      </c>
      <c r="C55" s="89">
        <v>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C111"/>
  <sheetViews>
    <sheetView zoomScale="85" zoomScaleNormal="85" workbookViewId="0">
      <selection activeCell="C3" sqref="C3"/>
    </sheetView>
  </sheetViews>
  <sheetFormatPr baseColWidth="10" defaultRowHeight="15" x14ac:dyDescent="0.25"/>
  <cols>
    <col min="2" max="2" width="31.28515625" bestFit="1" customWidth="1"/>
    <col min="3" max="3" width="22.5703125" customWidth="1"/>
  </cols>
  <sheetData>
    <row r="1" spans="2:3" ht="21" customHeight="1" x14ac:dyDescent="0.25"/>
    <row r="2" spans="2:3" ht="19.5" thickBot="1" x14ac:dyDescent="0.35">
      <c r="B2" s="90" t="s">
        <v>242</v>
      </c>
    </row>
    <row r="3" spans="2:3" ht="15.75" thickBot="1" x14ac:dyDescent="0.3">
      <c r="B3" t="s">
        <v>261</v>
      </c>
      <c r="C3" s="92" t="str">
        <f>'Porra Eurocopa'!F66</f>
        <v>Escribe tu nombre</v>
      </c>
    </row>
    <row r="4" spans="2:3" ht="21" customHeight="1" x14ac:dyDescent="0.25"/>
    <row r="5" spans="2:3" ht="18.75" x14ac:dyDescent="0.3">
      <c r="B5" s="90" t="s">
        <v>139</v>
      </c>
    </row>
    <row r="6" spans="2:3" x14ac:dyDescent="0.25">
      <c r="B6" t="str">
        <f>CONCATENATE('Porra Eurocopa'!F3,"-",'Porra Eurocopa'!K3)</f>
        <v>Turquía-Italia</v>
      </c>
      <c r="C6" t="str">
        <f>CONCATENATE(IF('Porra Eurocopa'!H3&gt;'Porra Eurocopa'!I3,1,IF('Porra Eurocopa'!H3&lt;'Porra Eurocopa'!I3,2,"X")),"|",'Porra Eurocopa'!H3,"-",'Porra Eurocopa'!I3)</f>
        <v>1|1-0</v>
      </c>
    </row>
    <row r="7" spans="2:3" x14ac:dyDescent="0.25">
      <c r="B7" t="str">
        <f>CONCATENATE('Porra Eurocopa'!F4,"-",'Porra Eurocopa'!K4)</f>
        <v>Gales-Suiza</v>
      </c>
      <c r="C7" t="str">
        <f>CONCATENATE(IF('Porra Eurocopa'!H4&gt;'Porra Eurocopa'!I4,1,IF('Porra Eurocopa'!H4&lt;'Porra Eurocopa'!I4,2,"X")),"|",'Porra Eurocopa'!H4,"-",'Porra Eurocopa'!I4)</f>
        <v>1|1-0</v>
      </c>
    </row>
    <row r="8" spans="2:3" x14ac:dyDescent="0.25">
      <c r="B8" t="str">
        <f>CONCATENATE('Porra Eurocopa'!F5,"-",'Porra Eurocopa'!K5)</f>
        <v>Turquía-Gales</v>
      </c>
      <c r="C8" t="str">
        <f>CONCATENATE(IF('Porra Eurocopa'!H5&gt;'Porra Eurocopa'!I5,1,IF('Porra Eurocopa'!H5&lt;'Porra Eurocopa'!I5,2,"X")),"|",'Porra Eurocopa'!H5,"-",'Porra Eurocopa'!I5)</f>
        <v>1|1-0</v>
      </c>
    </row>
    <row r="9" spans="2:3" x14ac:dyDescent="0.25">
      <c r="B9" t="str">
        <f>CONCATENATE('Porra Eurocopa'!F6,"-",'Porra Eurocopa'!K6)</f>
        <v>Italia-Suiza</v>
      </c>
      <c r="C9" t="str">
        <f>CONCATENATE(IF('Porra Eurocopa'!H6&gt;'Porra Eurocopa'!I6,1,IF('Porra Eurocopa'!H6&lt;'Porra Eurocopa'!I6,2,"X")),"|",'Porra Eurocopa'!H6,"-",'Porra Eurocopa'!I6)</f>
        <v>1|1-0</v>
      </c>
    </row>
    <row r="10" spans="2:3" x14ac:dyDescent="0.25">
      <c r="B10" t="str">
        <f>CONCATENATE('Porra Eurocopa'!F7,"-",'Porra Eurocopa'!K7)</f>
        <v>Suiza-Turquía</v>
      </c>
      <c r="C10" t="str">
        <f>CONCATENATE(IF('Porra Eurocopa'!H7&gt;'Porra Eurocopa'!I7,1,IF('Porra Eurocopa'!H7&lt;'Porra Eurocopa'!I7,2,"X")),"|",'Porra Eurocopa'!H7,"-",'Porra Eurocopa'!I7)</f>
        <v>1|1-0</v>
      </c>
    </row>
    <row r="11" spans="2:3" x14ac:dyDescent="0.25">
      <c r="B11" t="str">
        <f>CONCATENATE('Porra Eurocopa'!F8,"-",'Porra Eurocopa'!K8)</f>
        <v>Italia-Gales</v>
      </c>
      <c r="C11" t="str">
        <f>CONCATENATE(IF('Porra Eurocopa'!H8&gt;'Porra Eurocopa'!I8,1,IF('Porra Eurocopa'!H8&lt;'Porra Eurocopa'!I8,2,"X")),"|",'Porra Eurocopa'!H8,"-",'Porra Eurocopa'!I8)</f>
        <v>1|1-0</v>
      </c>
    </row>
    <row r="12" spans="2:3" x14ac:dyDescent="0.25">
      <c r="B12" t="str">
        <f>CONCATENATE('Porra Eurocopa'!F9,"-",'Porra Eurocopa'!K9)</f>
        <v>Dinamarca-Finlandia</v>
      </c>
      <c r="C12" t="str">
        <f>CONCATENATE(IF('Porra Eurocopa'!H9&gt;'Porra Eurocopa'!I9,1,IF('Porra Eurocopa'!H9&lt;'Porra Eurocopa'!I9,2,"X")),"|",'Porra Eurocopa'!H9,"-",'Porra Eurocopa'!I9)</f>
        <v>1|2-0</v>
      </c>
    </row>
    <row r="13" spans="2:3" x14ac:dyDescent="0.25">
      <c r="B13" t="str">
        <f>CONCATENATE('Porra Eurocopa'!F10,"-",'Porra Eurocopa'!K10)</f>
        <v>Bélgica-Rusia</v>
      </c>
      <c r="C13" t="str">
        <f>CONCATENATE(IF('Porra Eurocopa'!H10&gt;'Porra Eurocopa'!I10,1,IF('Porra Eurocopa'!H10&lt;'Porra Eurocopa'!I10,2,"X")),"|",'Porra Eurocopa'!H10,"-",'Porra Eurocopa'!I10)</f>
        <v>1|2-0</v>
      </c>
    </row>
    <row r="14" spans="2:3" x14ac:dyDescent="0.25">
      <c r="B14" t="str">
        <f>CONCATENATE('Porra Eurocopa'!F11,"-",'Porra Eurocopa'!K11)</f>
        <v>Finlandia-Rusia</v>
      </c>
      <c r="C14" t="str">
        <f>CONCATENATE(IF('Porra Eurocopa'!H11&gt;'Porra Eurocopa'!I11,1,IF('Porra Eurocopa'!H11&lt;'Porra Eurocopa'!I11,2,"X")),"|",'Porra Eurocopa'!H11,"-",'Porra Eurocopa'!I11)</f>
        <v>1|2-0</v>
      </c>
    </row>
    <row r="15" spans="2:3" x14ac:dyDescent="0.25">
      <c r="B15" t="str">
        <f>CONCATENATE('Porra Eurocopa'!F12,"-",'Porra Eurocopa'!K12)</f>
        <v>Dinamarca-Bélgica</v>
      </c>
      <c r="C15" t="str">
        <f>CONCATENATE(IF('Porra Eurocopa'!H12&gt;'Porra Eurocopa'!I12,1,IF('Porra Eurocopa'!H12&lt;'Porra Eurocopa'!I12,2,"X")),"|",'Porra Eurocopa'!H12,"-",'Porra Eurocopa'!I12)</f>
        <v>1|2-0</v>
      </c>
    </row>
    <row r="16" spans="2:3" x14ac:dyDescent="0.25">
      <c r="B16" t="str">
        <f>CONCATENATE('Porra Eurocopa'!F13,"-",'Porra Eurocopa'!K13)</f>
        <v>Rusia-Dinamarca</v>
      </c>
      <c r="C16" t="str">
        <f>CONCATENATE(IF('Porra Eurocopa'!H13&gt;'Porra Eurocopa'!I13,1,IF('Porra Eurocopa'!H13&lt;'Porra Eurocopa'!I13,2,"X")),"|",'Porra Eurocopa'!H13,"-",'Porra Eurocopa'!I13)</f>
        <v>1|2-0</v>
      </c>
    </row>
    <row r="17" spans="2:3" x14ac:dyDescent="0.25">
      <c r="B17" t="str">
        <f>CONCATENATE('Porra Eurocopa'!F14,"-",'Porra Eurocopa'!K14)</f>
        <v>Finlandia-Bélgica</v>
      </c>
      <c r="C17" t="str">
        <f>CONCATENATE(IF('Porra Eurocopa'!H14&gt;'Porra Eurocopa'!I14,1,IF('Porra Eurocopa'!H14&lt;'Porra Eurocopa'!I14,2,"X")),"|",'Porra Eurocopa'!H14,"-",'Porra Eurocopa'!I14)</f>
        <v>1|2-0</v>
      </c>
    </row>
    <row r="18" spans="2:3" x14ac:dyDescent="0.25">
      <c r="B18" t="str">
        <f>CONCATENATE('Porra Eurocopa'!F15,"-",'Porra Eurocopa'!K15)</f>
        <v>Austria-Macedonia N</v>
      </c>
      <c r="C18" t="str">
        <f>CONCATENATE(IF('Porra Eurocopa'!H15&gt;'Porra Eurocopa'!I15,1,IF('Porra Eurocopa'!H15&lt;'Porra Eurocopa'!I15,2,"X")),"|",'Porra Eurocopa'!H15,"-",'Porra Eurocopa'!I15)</f>
        <v>1|3-2</v>
      </c>
    </row>
    <row r="19" spans="2:3" x14ac:dyDescent="0.25">
      <c r="B19" t="str">
        <f>CONCATENATE('Porra Eurocopa'!F16,"-",'Porra Eurocopa'!K16)</f>
        <v>Países Bajos-Ucrania</v>
      </c>
      <c r="C19" t="str">
        <f>CONCATENATE(IF('Porra Eurocopa'!H16&gt;'Porra Eurocopa'!I16,1,IF('Porra Eurocopa'!H16&lt;'Porra Eurocopa'!I16,2,"X")),"|",'Porra Eurocopa'!H16,"-",'Porra Eurocopa'!I16)</f>
        <v>1|3-1</v>
      </c>
    </row>
    <row r="20" spans="2:3" x14ac:dyDescent="0.25">
      <c r="B20" t="str">
        <f>CONCATENATE('Porra Eurocopa'!F17,"-",'Porra Eurocopa'!K17)</f>
        <v>Ucrania-Macedonia N</v>
      </c>
      <c r="C20" t="str">
        <f>CONCATENATE(IF('Porra Eurocopa'!H17&gt;'Porra Eurocopa'!I17,1,IF('Porra Eurocopa'!H17&lt;'Porra Eurocopa'!I17,2,"X")),"|",'Porra Eurocopa'!H17,"-",'Porra Eurocopa'!I17)</f>
        <v>X|3-3</v>
      </c>
    </row>
    <row r="21" spans="2:3" x14ac:dyDescent="0.25">
      <c r="B21" t="str">
        <f>CONCATENATE('Porra Eurocopa'!F18,"-",'Porra Eurocopa'!K18)</f>
        <v>Países Bajos-Austria</v>
      </c>
      <c r="C21" t="str">
        <f>CONCATENATE(IF('Porra Eurocopa'!H18&gt;'Porra Eurocopa'!I18,1,IF('Porra Eurocopa'!H18&lt;'Porra Eurocopa'!I18,2,"X")),"|",'Porra Eurocopa'!H18,"-",'Porra Eurocopa'!I18)</f>
        <v>1|3-2</v>
      </c>
    </row>
    <row r="22" spans="2:3" x14ac:dyDescent="0.25">
      <c r="B22" t="str">
        <f>CONCATENATE('Porra Eurocopa'!F19,"-",'Porra Eurocopa'!K19)</f>
        <v>Macedonia N-Países Bajos</v>
      </c>
      <c r="C22" t="str">
        <f>CONCATENATE(IF('Porra Eurocopa'!H19&gt;'Porra Eurocopa'!I19,1,IF('Porra Eurocopa'!H19&lt;'Porra Eurocopa'!I19,2,"X")),"|",'Porra Eurocopa'!H19,"-",'Porra Eurocopa'!I19)</f>
        <v>1|3-1</v>
      </c>
    </row>
    <row r="23" spans="2:3" x14ac:dyDescent="0.25">
      <c r="B23" t="str">
        <f>CONCATENATE('Porra Eurocopa'!F20,"-",'Porra Eurocopa'!K20)</f>
        <v>Ucrania-Austria</v>
      </c>
      <c r="C23" t="str">
        <f>CONCATENATE(IF('Porra Eurocopa'!H20&gt;'Porra Eurocopa'!I20,1,IF('Porra Eurocopa'!H20&lt;'Porra Eurocopa'!I20,2,"X")),"|",'Porra Eurocopa'!H20,"-",'Porra Eurocopa'!I20)</f>
        <v>X|3-3</v>
      </c>
    </row>
    <row r="24" spans="2:3" x14ac:dyDescent="0.25">
      <c r="B24" t="str">
        <f>CONCATENATE('Porra Eurocopa'!F21,"-",'Porra Eurocopa'!K21)</f>
        <v>Inglaterra-Croacia</v>
      </c>
      <c r="C24" t="str">
        <f>CONCATENATE(IF('Porra Eurocopa'!H21&gt;'Porra Eurocopa'!I21,1,IF('Porra Eurocopa'!H21&lt;'Porra Eurocopa'!I21,2,"X")),"|",'Porra Eurocopa'!H21,"-",'Porra Eurocopa'!I21)</f>
        <v>2|4-7</v>
      </c>
    </row>
    <row r="25" spans="2:3" x14ac:dyDescent="0.25">
      <c r="B25" t="str">
        <f>CONCATENATE('Porra Eurocopa'!F22,"-",'Porra Eurocopa'!K22)</f>
        <v>Escocia-Rep. Checa</v>
      </c>
      <c r="C25" t="str">
        <f>CONCATENATE(IF('Porra Eurocopa'!H22&gt;'Porra Eurocopa'!I22,1,IF('Porra Eurocopa'!H22&lt;'Porra Eurocopa'!I22,2,"X")),"|",'Porra Eurocopa'!H22,"-",'Porra Eurocopa'!I22)</f>
        <v>2|4-6</v>
      </c>
    </row>
    <row r="26" spans="2:3" x14ac:dyDescent="0.25">
      <c r="B26" t="str">
        <f>CONCATENATE('Porra Eurocopa'!F23,"-",'Porra Eurocopa'!K23)</f>
        <v>Croacia-Rep. Checa</v>
      </c>
      <c r="C26" t="str">
        <f>CONCATENATE(IF('Porra Eurocopa'!H23&gt;'Porra Eurocopa'!I23,1,IF('Porra Eurocopa'!H23&lt;'Porra Eurocopa'!I23,2,"X")),"|",'Porra Eurocopa'!H23,"-",'Porra Eurocopa'!I23)</f>
        <v>2|4-5</v>
      </c>
    </row>
    <row r="27" spans="2:3" x14ac:dyDescent="0.25">
      <c r="B27" t="str">
        <f>CONCATENATE('Porra Eurocopa'!F24,"-",'Porra Eurocopa'!K24)</f>
        <v>Inglaterra-Escocia</v>
      </c>
      <c r="C27" t="str">
        <f>CONCATENATE(IF('Porra Eurocopa'!H24&gt;'Porra Eurocopa'!I24,1,IF('Porra Eurocopa'!H24&lt;'Porra Eurocopa'!I24,2,"X")),"|",'Porra Eurocopa'!H24,"-",'Porra Eurocopa'!I24)</f>
        <v>X|4-4</v>
      </c>
    </row>
    <row r="28" spans="2:3" x14ac:dyDescent="0.25">
      <c r="B28" t="str">
        <f>CONCATENATE('Porra Eurocopa'!F25,"-",'Porra Eurocopa'!K25)</f>
        <v>Croacia-Escocia</v>
      </c>
      <c r="C28" t="str">
        <f>CONCATENATE(IF('Porra Eurocopa'!H25&gt;'Porra Eurocopa'!I25,1,IF('Porra Eurocopa'!H25&lt;'Porra Eurocopa'!I25,2,"X")),"|",'Porra Eurocopa'!H25,"-",'Porra Eurocopa'!I25)</f>
        <v>2|4-23</v>
      </c>
    </row>
    <row r="29" spans="2:3" x14ac:dyDescent="0.25">
      <c r="B29" t="str">
        <f>CONCATENATE('Porra Eurocopa'!F26,"-",'Porra Eurocopa'!K26)</f>
        <v>Rep. Checa-Inglaterra</v>
      </c>
      <c r="C29" t="str">
        <f>CONCATENATE(IF('Porra Eurocopa'!H26&gt;'Porra Eurocopa'!I26,1,IF('Porra Eurocopa'!H26&lt;'Porra Eurocopa'!I26,2,"X")),"|",'Porra Eurocopa'!H26,"-",'Porra Eurocopa'!I26)</f>
        <v>1|4-1</v>
      </c>
    </row>
    <row r="30" spans="2:3" x14ac:dyDescent="0.25">
      <c r="B30" t="str">
        <f>CONCATENATE('Porra Eurocopa'!F27,"-",'Porra Eurocopa'!K27)</f>
        <v>Polonia-Eslovaquia</v>
      </c>
      <c r="C30" t="str">
        <f>CONCATENATE(IF('Porra Eurocopa'!H27&gt;'Porra Eurocopa'!I27,1,IF('Porra Eurocopa'!H27&lt;'Porra Eurocopa'!I27,2,"X")),"|",'Porra Eurocopa'!H27,"-",'Porra Eurocopa'!I27)</f>
        <v>1|1-0</v>
      </c>
    </row>
    <row r="31" spans="2:3" x14ac:dyDescent="0.25">
      <c r="B31" t="str">
        <f>CONCATENATE('Porra Eurocopa'!F28,"-",'Porra Eurocopa'!K28)</f>
        <v>España-Suecia</v>
      </c>
      <c r="C31" t="str">
        <f>CONCATENATE(IF('Porra Eurocopa'!H28&gt;'Porra Eurocopa'!I28,1,IF('Porra Eurocopa'!H28&lt;'Porra Eurocopa'!I28,2,"X")),"|",'Porra Eurocopa'!H28,"-",'Porra Eurocopa'!I28)</f>
        <v>X|0-0</v>
      </c>
    </row>
    <row r="32" spans="2:3" x14ac:dyDescent="0.25">
      <c r="B32" t="str">
        <f>CONCATENATE('Porra Eurocopa'!F29,"-",'Porra Eurocopa'!K29)</f>
        <v>Suecia-Eslovaquia</v>
      </c>
      <c r="C32" t="str">
        <f>CONCATENATE(IF('Porra Eurocopa'!H29&gt;'Porra Eurocopa'!I29,1,IF('Porra Eurocopa'!H29&lt;'Porra Eurocopa'!I29,2,"X")),"|",'Porra Eurocopa'!H29,"-",'Porra Eurocopa'!I29)</f>
        <v>X|0-0</v>
      </c>
    </row>
    <row r="33" spans="2:3" x14ac:dyDescent="0.25">
      <c r="B33" t="str">
        <f>CONCATENATE('Porra Eurocopa'!F30,"-",'Porra Eurocopa'!K30)</f>
        <v>España-Polonia</v>
      </c>
      <c r="C33" t="str">
        <f>CONCATENATE(IF('Porra Eurocopa'!H30&gt;'Porra Eurocopa'!I30,1,IF('Porra Eurocopa'!H30&lt;'Porra Eurocopa'!I30,2,"X")),"|",'Porra Eurocopa'!H30,"-",'Porra Eurocopa'!I30)</f>
        <v>X|0-0</v>
      </c>
    </row>
    <row r="34" spans="2:3" x14ac:dyDescent="0.25">
      <c r="B34" t="str">
        <f>CONCATENATE('Porra Eurocopa'!F31,"-",'Porra Eurocopa'!K31)</f>
        <v>Eslovaquia-España</v>
      </c>
      <c r="C34" t="str">
        <f>CONCATENATE(IF('Porra Eurocopa'!H31&gt;'Porra Eurocopa'!I31,1,IF('Porra Eurocopa'!H31&lt;'Porra Eurocopa'!I31,2,"X")),"|",'Porra Eurocopa'!H31,"-",'Porra Eurocopa'!I31)</f>
        <v>X|0-0</v>
      </c>
    </row>
    <row r="35" spans="2:3" x14ac:dyDescent="0.25">
      <c r="B35" t="str">
        <f>CONCATENATE('Porra Eurocopa'!F32,"-",'Porra Eurocopa'!K32)</f>
        <v>Suecia-Polonia</v>
      </c>
      <c r="C35" t="str">
        <f>CONCATENATE(IF('Porra Eurocopa'!H32&gt;'Porra Eurocopa'!I32,1,IF('Porra Eurocopa'!H32&lt;'Porra Eurocopa'!I32,2,"X")),"|",'Porra Eurocopa'!H32,"-",'Porra Eurocopa'!I32)</f>
        <v>X|0-0</v>
      </c>
    </row>
    <row r="36" spans="2:3" x14ac:dyDescent="0.25">
      <c r="B36" t="str">
        <f>CONCATENATE('Porra Eurocopa'!F33,"-",'Porra Eurocopa'!K33)</f>
        <v>Hungría-Portugal</v>
      </c>
      <c r="C36" t="str">
        <f>CONCATENATE(IF('Porra Eurocopa'!H33&gt;'Porra Eurocopa'!I33,1,IF('Porra Eurocopa'!H33&lt;'Porra Eurocopa'!I33,2,"X")),"|",'Porra Eurocopa'!H33,"-",'Porra Eurocopa'!I33)</f>
        <v>1|4-1</v>
      </c>
    </row>
    <row r="37" spans="2:3" x14ac:dyDescent="0.25">
      <c r="B37" t="str">
        <f>CONCATENATE('Porra Eurocopa'!F34,"-",'Porra Eurocopa'!K34)</f>
        <v>Francia-Alemania</v>
      </c>
      <c r="C37" t="str">
        <f>CONCATENATE(IF('Porra Eurocopa'!H34&gt;'Porra Eurocopa'!I34,1,IF('Porra Eurocopa'!H34&lt;'Porra Eurocopa'!I34,2,"X")),"|",'Porra Eurocopa'!H34,"-",'Porra Eurocopa'!I34)</f>
        <v>X|1-1</v>
      </c>
    </row>
    <row r="38" spans="2:3" x14ac:dyDescent="0.25">
      <c r="B38" t="str">
        <f>CONCATENATE('Porra Eurocopa'!F35,"-",'Porra Eurocopa'!K35)</f>
        <v>Hungría-Francia</v>
      </c>
      <c r="C38" t="str">
        <f>CONCATENATE(IF('Porra Eurocopa'!H35&gt;'Porra Eurocopa'!I35,1,IF('Porra Eurocopa'!H35&lt;'Porra Eurocopa'!I35,2,"X")),"|",'Porra Eurocopa'!H35,"-",'Porra Eurocopa'!I35)</f>
        <v>1|23-1</v>
      </c>
    </row>
    <row r="39" spans="2:3" x14ac:dyDescent="0.25">
      <c r="B39" t="str">
        <f>CONCATENATE('Porra Eurocopa'!F36,"-",'Porra Eurocopa'!K36)</f>
        <v>Portugal-Alemania</v>
      </c>
      <c r="C39" t="str">
        <f>CONCATENATE(IF('Porra Eurocopa'!H36&gt;'Porra Eurocopa'!I36,1,IF('Porra Eurocopa'!H36&lt;'Porra Eurocopa'!I36,2,"X")),"|",'Porra Eurocopa'!H36,"-",'Porra Eurocopa'!I36)</f>
        <v>1|4-1</v>
      </c>
    </row>
    <row r="40" spans="2:3" x14ac:dyDescent="0.25">
      <c r="B40" t="str">
        <f>CONCATENATE('Porra Eurocopa'!F37,"-",'Porra Eurocopa'!K37)</f>
        <v>Portugal-Francia</v>
      </c>
      <c r="C40" t="str">
        <f>CONCATENATE(IF('Porra Eurocopa'!H37&gt;'Porra Eurocopa'!I37,1,IF('Porra Eurocopa'!H37&lt;'Porra Eurocopa'!I37,2,"X")),"|",'Porra Eurocopa'!H37,"-",'Porra Eurocopa'!I37)</f>
        <v>X|1-1</v>
      </c>
    </row>
    <row r="41" spans="2:3" x14ac:dyDescent="0.25">
      <c r="B41" t="str">
        <f>CONCATENATE('Porra Eurocopa'!F38,"-",'Porra Eurocopa'!K38)</f>
        <v>Alemania-Hungría</v>
      </c>
      <c r="C41" t="str">
        <f>CONCATENATE(IF('Porra Eurocopa'!H38&gt;'Porra Eurocopa'!I38,1,IF('Porra Eurocopa'!H38&lt;'Porra Eurocopa'!I38,2,"X")),"|",'Porra Eurocopa'!H38,"-",'Porra Eurocopa'!I38)</f>
        <v>X|1-1</v>
      </c>
    </row>
    <row r="43" spans="2:3" ht="18.75" x14ac:dyDescent="0.3">
      <c r="B43" s="90" t="s">
        <v>210</v>
      </c>
    </row>
    <row r="44" spans="2:3" x14ac:dyDescent="0.25">
      <c r="B44" t="s">
        <v>211</v>
      </c>
      <c r="C44" t="str">
        <f ca="1">'Porra Eurocopa'!P5</f>
        <v>Turquía</v>
      </c>
    </row>
    <row r="45" spans="2:3" x14ac:dyDescent="0.25">
      <c r="B45" t="s">
        <v>212</v>
      </c>
      <c r="C45" t="str">
        <f ca="1">'Porra Eurocopa'!P6</f>
        <v>Italia</v>
      </c>
    </row>
    <row r="46" spans="2:3" x14ac:dyDescent="0.25">
      <c r="B46" t="s">
        <v>213</v>
      </c>
      <c r="C46" t="str">
        <f ca="1">'Porra Eurocopa'!P7</f>
        <v>Gales</v>
      </c>
    </row>
    <row r="47" spans="2:3" x14ac:dyDescent="0.25">
      <c r="B47" t="s">
        <v>214</v>
      </c>
      <c r="C47" t="str">
        <f ca="1">'Porra Eurocopa'!P8</f>
        <v>Suiza</v>
      </c>
    </row>
    <row r="48" spans="2:3" x14ac:dyDescent="0.25">
      <c r="B48" t="s">
        <v>215</v>
      </c>
      <c r="C48" t="str">
        <f ca="1">'Porra Eurocopa'!P11</f>
        <v>Dinamarca</v>
      </c>
    </row>
    <row r="49" spans="2:3" x14ac:dyDescent="0.25">
      <c r="B49" t="s">
        <v>218</v>
      </c>
      <c r="C49" t="str">
        <f ca="1">'Porra Eurocopa'!P12</f>
        <v>Finlandia</v>
      </c>
    </row>
    <row r="50" spans="2:3" x14ac:dyDescent="0.25">
      <c r="B50" t="s">
        <v>217</v>
      </c>
      <c r="C50" t="str">
        <f ca="1">'Porra Eurocopa'!P13</f>
        <v>Bélgica</v>
      </c>
    </row>
    <row r="51" spans="2:3" x14ac:dyDescent="0.25">
      <c r="B51" t="s">
        <v>219</v>
      </c>
      <c r="C51" t="str">
        <f ca="1">'Porra Eurocopa'!P14</f>
        <v>Rusia</v>
      </c>
    </row>
    <row r="52" spans="2:3" x14ac:dyDescent="0.25">
      <c r="B52" t="s">
        <v>220</v>
      </c>
      <c r="C52" t="str">
        <f ca="1">'Porra Eurocopa'!P17</f>
        <v>Países Bajos</v>
      </c>
    </row>
    <row r="53" spans="2:3" x14ac:dyDescent="0.25">
      <c r="B53" t="s">
        <v>216</v>
      </c>
      <c r="C53" t="str">
        <f ca="1">'Porra Eurocopa'!P18</f>
        <v>Austria</v>
      </c>
    </row>
    <row r="54" spans="2:3" x14ac:dyDescent="0.25">
      <c r="B54" t="s">
        <v>221</v>
      </c>
      <c r="C54" t="str">
        <f ca="1">'Porra Eurocopa'!P19</f>
        <v>Macedonia N</v>
      </c>
    </row>
    <row r="55" spans="2:3" x14ac:dyDescent="0.25">
      <c r="B55" t="s">
        <v>222</v>
      </c>
      <c r="C55" t="str">
        <f ca="1">'Porra Eurocopa'!P20</f>
        <v>Ucrania</v>
      </c>
    </row>
    <row r="56" spans="2:3" x14ac:dyDescent="0.25">
      <c r="B56" t="s">
        <v>223</v>
      </c>
      <c r="C56" t="str">
        <f ca="1">'Porra Eurocopa'!P23</f>
        <v>Rep. Checa</v>
      </c>
    </row>
    <row r="57" spans="2:3" x14ac:dyDescent="0.25">
      <c r="B57" t="s">
        <v>224</v>
      </c>
      <c r="C57" t="str">
        <f ca="1">'Porra Eurocopa'!P24</f>
        <v>Escocia</v>
      </c>
    </row>
    <row r="58" spans="2:3" x14ac:dyDescent="0.25">
      <c r="B58" t="s">
        <v>225</v>
      </c>
      <c r="C58" t="str">
        <f ca="1">'Porra Eurocopa'!P25</f>
        <v>Croacia</v>
      </c>
    </row>
    <row r="59" spans="2:3" x14ac:dyDescent="0.25">
      <c r="B59" t="s">
        <v>226</v>
      </c>
      <c r="C59" t="str">
        <f ca="1">'Porra Eurocopa'!P26</f>
        <v>Inglaterra</v>
      </c>
    </row>
    <row r="60" spans="2:3" x14ac:dyDescent="0.25">
      <c r="B60" t="s">
        <v>227</v>
      </c>
      <c r="C60" t="str">
        <f ca="1">'Porra Eurocopa'!P29</f>
        <v>Polonia</v>
      </c>
    </row>
    <row r="61" spans="2:3" x14ac:dyDescent="0.25">
      <c r="B61" t="s">
        <v>228</v>
      </c>
      <c r="C61" t="str">
        <f ca="1">'Porra Eurocopa'!P30</f>
        <v>España</v>
      </c>
    </row>
    <row r="62" spans="2:3" x14ac:dyDescent="0.25">
      <c r="B62" t="s">
        <v>229</v>
      </c>
      <c r="C62" t="str">
        <f ca="1">'Porra Eurocopa'!P31</f>
        <v>Suecia</v>
      </c>
    </row>
    <row r="63" spans="2:3" x14ac:dyDescent="0.25">
      <c r="B63" t="s">
        <v>230</v>
      </c>
      <c r="C63" t="str">
        <f ca="1">'Porra Eurocopa'!P32</f>
        <v>Eslovaquia</v>
      </c>
    </row>
    <row r="64" spans="2:3" x14ac:dyDescent="0.25">
      <c r="B64" t="s">
        <v>231</v>
      </c>
      <c r="C64" t="str">
        <f ca="1">'Porra Eurocopa'!P35</f>
        <v>Hungría</v>
      </c>
    </row>
    <row r="65" spans="2:3" x14ac:dyDescent="0.25">
      <c r="B65" t="s">
        <v>232</v>
      </c>
      <c r="C65" t="str">
        <f ca="1">'Porra Eurocopa'!P36</f>
        <v>Portugal</v>
      </c>
    </row>
    <row r="66" spans="2:3" x14ac:dyDescent="0.25">
      <c r="B66" t="s">
        <v>233</v>
      </c>
      <c r="C66" t="str">
        <f ca="1">'Porra Eurocopa'!P37</f>
        <v>Francia</v>
      </c>
    </row>
    <row r="67" spans="2:3" x14ac:dyDescent="0.25">
      <c r="B67" t="s">
        <v>234</v>
      </c>
      <c r="C67" t="str">
        <f ca="1">'Porra Eurocopa'!P38</f>
        <v>Alemania</v>
      </c>
    </row>
    <row r="69" spans="2:3" ht="18.75" x14ac:dyDescent="0.3">
      <c r="B69" s="90" t="s">
        <v>237</v>
      </c>
    </row>
    <row r="70" spans="2:3" x14ac:dyDescent="0.25">
      <c r="B70" t="s">
        <v>235</v>
      </c>
      <c r="C70" t="str">
        <f>'Porra Eurocopa'!F41</f>
        <v>Italia</v>
      </c>
    </row>
    <row r="71" spans="2:3" x14ac:dyDescent="0.25">
      <c r="B71" t="s">
        <v>235</v>
      </c>
      <c r="C71" t="str">
        <f>'Porra Eurocopa'!F42</f>
        <v>Turquía</v>
      </c>
    </row>
    <row r="72" spans="2:3" x14ac:dyDescent="0.25">
      <c r="B72" t="s">
        <v>235</v>
      </c>
      <c r="C72" t="str">
        <f>'Porra Eurocopa'!F43</f>
        <v>Países Bajos</v>
      </c>
    </row>
    <row r="73" spans="2:3" x14ac:dyDescent="0.25">
      <c r="B73" t="s">
        <v>235</v>
      </c>
      <c r="C73" t="str">
        <f>'Porra Eurocopa'!F44</f>
        <v>Dinamarca</v>
      </c>
    </row>
    <row r="74" spans="2:3" x14ac:dyDescent="0.25">
      <c r="B74" t="s">
        <v>235</v>
      </c>
      <c r="C74" t="str">
        <f>'Porra Eurocopa'!F45</f>
        <v>Austria</v>
      </c>
    </row>
    <row r="75" spans="2:3" x14ac:dyDescent="0.25">
      <c r="B75" t="s">
        <v>235</v>
      </c>
      <c r="C75" t="str">
        <f>'Porra Eurocopa'!F46</f>
        <v>Hungría</v>
      </c>
    </row>
    <row r="76" spans="2:3" x14ac:dyDescent="0.25">
      <c r="B76" t="s">
        <v>235</v>
      </c>
      <c r="C76" t="str">
        <f>'Porra Eurocopa'!F47</f>
        <v>Rep. Checa</v>
      </c>
    </row>
    <row r="77" spans="2:3" x14ac:dyDescent="0.25">
      <c r="B77" t="s">
        <v>235</v>
      </c>
      <c r="C77" t="str">
        <f>'Porra Eurocopa'!F48</f>
        <v>Polonia</v>
      </c>
    </row>
    <row r="78" spans="2:3" x14ac:dyDescent="0.25">
      <c r="B78" t="s">
        <v>235</v>
      </c>
      <c r="C78" t="str">
        <f>'Porra Eurocopa'!K41</f>
        <v>Finlandia</v>
      </c>
    </row>
    <row r="79" spans="2:3" x14ac:dyDescent="0.25">
      <c r="B79" t="s">
        <v>235</v>
      </c>
      <c r="C79" t="str">
        <f>'Porra Eurocopa'!K42</f>
        <v>Austria</v>
      </c>
    </row>
    <row r="80" spans="2:3" x14ac:dyDescent="0.25">
      <c r="B80" t="s">
        <v>235</v>
      </c>
      <c r="C80" t="str">
        <f>'Porra Eurocopa'!K43</f>
        <v>Suecia</v>
      </c>
    </row>
    <row r="81" spans="2:3" x14ac:dyDescent="0.25">
      <c r="B81" t="s">
        <v>235</v>
      </c>
      <c r="C81" t="str">
        <f>'Porra Eurocopa'!K44</f>
        <v>Macedonia N</v>
      </c>
    </row>
    <row r="82" spans="2:3" x14ac:dyDescent="0.25">
      <c r="B82" t="s">
        <v>235</v>
      </c>
      <c r="C82" t="str">
        <f>'Porra Eurocopa'!K45</f>
        <v>España</v>
      </c>
    </row>
    <row r="83" spans="2:3" x14ac:dyDescent="0.25">
      <c r="B83" t="s">
        <v>235</v>
      </c>
      <c r="C83" t="str">
        <f>'Porra Eurocopa'!K46</f>
        <v>Macedonia N</v>
      </c>
    </row>
    <row r="84" spans="2:3" x14ac:dyDescent="0.25">
      <c r="B84" t="s">
        <v>235</v>
      </c>
      <c r="C84" t="str">
        <f>'Porra Eurocopa'!K47</f>
        <v>Portugal</v>
      </c>
    </row>
    <row r="85" spans="2:3" x14ac:dyDescent="0.25">
      <c r="B85" t="s">
        <v>235</v>
      </c>
      <c r="C85" t="str">
        <f>'Porra Eurocopa'!K48</f>
        <v>Macedonia N</v>
      </c>
    </row>
    <row r="87" spans="2:3" ht="18.75" x14ac:dyDescent="0.3">
      <c r="B87" s="90" t="s">
        <v>236</v>
      </c>
    </row>
    <row r="88" spans="2:3" x14ac:dyDescent="0.25">
      <c r="B88" t="s">
        <v>238</v>
      </c>
      <c r="C88" t="str">
        <f>'Porra Eurocopa'!F51</f>
        <v>W41</v>
      </c>
    </row>
    <row r="89" spans="2:3" x14ac:dyDescent="0.25">
      <c r="B89" t="s">
        <v>238</v>
      </c>
      <c r="C89" t="str">
        <f>'Porra Eurocopa'!F52</f>
        <v>W39</v>
      </c>
    </row>
    <row r="90" spans="2:3" x14ac:dyDescent="0.25">
      <c r="B90" t="s">
        <v>238</v>
      </c>
      <c r="C90" t="str">
        <f>'Porra Eurocopa'!F53</f>
        <v>W40</v>
      </c>
    </row>
    <row r="91" spans="2:3" x14ac:dyDescent="0.25">
      <c r="B91" t="s">
        <v>238</v>
      </c>
      <c r="C91" t="str">
        <f>'Porra Eurocopa'!F54</f>
        <v>W43</v>
      </c>
    </row>
    <row r="92" spans="2:3" x14ac:dyDescent="0.25">
      <c r="B92" t="s">
        <v>238</v>
      </c>
      <c r="C92" t="str">
        <f>'Porra Eurocopa'!K51</f>
        <v>W42</v>
      </c>
    </row>
    <row r="93" spans="2:3" x14ac:dyDescent="0.25">
      <c r="B93" t="s">
        <v>238</v>
      </c>
      <c r="C93" t="str">
        <f>'Porra Eurocopa'!K52</f>
        <v>W37</v>
      </c>
    </row>
    <row r="94" spans="2:3" x14ac:dyDescent="0.25">
      <c r="B94" t="s">
        <v>238</v>
      </c>
      <c r="C94" t="str">
        <f>'Porra Eurocopa'!K53</f>
        <v>W38</v>
      </c>
    </row>
    <row r="95" spans="2:3" x14ac:dyDescent="0.25">
      <c r="B95" t="s">
        <v>238</v>
      </c>
      <c r="C95" t="str">
        <f>'Porra Eurocopa'!K54</f>
        <v>W44</v>
      </c>
    </row>
    <row r="97" spans="2:3" ht="18.75" x14ac:dyDescent="0.3">
      <c r="B97" s="90" t="s">
        <v>239</v>
      </c>
    </row>
    <row r="98" spans="2:3" x14ac:dyDescent="0.25">
      <c r="B98" t="s">
        <v>240</v>
      </c>
      <c r="C98" t="str">
        <f>'Porra Eurocopa'!F57</f>
        <v>W45</v>
      </c>
    </row>
    <row r="99" spans="2:3" x14ac:dyDescent="0.25">
      <c r="B99" t="s">
        <v>240</v>
      </c>
      <c r="C99" t="str">
        <f>'Porra Eurocopa'!F58</f>
        <v>W47</v>
      </c>
    </row>
    <row r="100" spans="2:3" x14ac:dyDescent="0.25">
      <c r="B100" t="s">
        <v>240</v>
      </c>
      <c r="C100" t="str">
        <f>'Porra Eurocopa'!K57</f>
        <v>W46</v>
      </c>
    </row>
    <row r="101" spans="2:3" x14ac:dyDescent="0.25">
      <c r="B101" t="s">
        <v>240</v>
      </c>
      <c r="C101" t="str">
        <f>'Porra Eurocopa'!K58</f>
        <v>W48</v>
      </c>
    </row>
    <row r="103" spans="2:3" ht="18.75" x14ac:dyDescent="0.3">
      <c r="B103" s="90" t="s">
        <v>241</v>
      </c>
    </row>
    <row r="104" spans="2:3" x14ac:dyDescent="0.25">
      <c r="B104" t="s">
        <v>243</v>
      </c>
      <c r="C104" t="str">
        <f>'Porra Eurocopa'!F61</f>
        <v>W49</v>
      </c>
    </row>
    <row r="105" spans="2:3" x14ac:dyDescent="0.25">
      <c r="B105" t="s">
        <v>243</v>
      </c>
      <c r="C105" t="str">
        <f>'Porra Eurocopa'!K61</f>
        <v>W50</v>
      </c>
    </row>
    <row r="107" spans="2:3" ht="18.75" x14ac:dyDescent="0.3">
      <c r="B107" s="90" t="s">
        <v>244</v>
      </c>
    </row>
    <row r="108" spans="2:3" ht="18.75" x14ac:dyDescent="0.3">
      <c r="B108" s="91" t="s">
        <v>245</v>
      </c>
      <c r="C108" t="str">
        <f>'Porra Eurocopa'!F63</f>
        <v>W51</v>
      </c>
    </row>
    <row r="110" spans="2:3" ht="18.75" x14ac:dyDescent="0.3">
      <c r="B110" s="91" t="s">
        <v>316</v>
      </c>
      <c r="C110" t="str">
        <f>'Porra Eurocopa'!F64</f>
        <v>Escoge un Jugador</v>
      </c>
    </row>
    <row r="111" spans="2:3" x14ac:dyDescent="0.25">
      <c r="B111" t="s">
        <v>317</v>
      </c>
      <c r="C111" t="str">
        <f>'Porra Eurocopa'!F65</f>
        <v>Escoge un Jugador</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DC111"/>
  <sheetViews>
    <sheetView zoomScale="77" zoomScaleNormal="77" workbookViewId="0"/>
  </sheetViews>
  <sheetFormatPr baseColWidth="10" defaultRowHeight="15" x14ac:dyDescent="0.25"/>
  <cols>
    <col min="1" max="1" width="22" bestFit="1" customWidth="1"/>
    <col min="2" max="7" width="3.85546875" customWidth="1"/>
    <col min="8" max="10" width="5.7109375" customWidth="1"/>
    <col min="11" max="11" width="6.42578125" style="97" customWidth="1"/>
    <col min="12" max="12" width="36" style="186" bestFit="1" customWidth="1"/>
    <col min="13" max="13" width="8.5703125" style="97" customWidth="1"/>
    <col min="15" max="15" width="23" customWidth="1"/>
    <col min="16" max="16" width="16.140625" bestFit="1" customWidth="1"/>
    <col min="17" max="17" width="5.28515625" customWidth="1"/>
    <col min="18" max="18" width="13" style="97" customWidth="1"/>
    <col min="19" max="19" width="4.28515625" style="97" customWidth="1"/>
    <col min="20" max="20" width="13" style="97" customWidth="1"/>
    <col min="21" max="21" width="4.28515625" style="97" customWidth="1"/>
    <col min="22" max="22" width="13" style="97" customWidth="1"/>
    <col min="23" max="23" width="4.28515625" style="97" customWidth="1"/>
    <col min="24" max="24" width="13" style="97" customWidth="1"/>
    <col min="25" max="25" width="4.28515625" style="97" customWidth="1"/>
    <col min="26" max="26" width="13" style="97" customWidth="1"/>
    <col min="27" max="27" width="4.28515625" style="97" customWidth="1"/>
    <col min="28" max="28" width="13" style="97" customWidth="1"/>
    <col min="29" max="29" width="4.28515625" style="97" customWidth="1"/>
    <col min="31" max="31" width="4.28515625" style="97" customWidth="1"/>
    <col min="33" max="33" width="4.28515625" style="97" customWidth="1"/>
    <col min="35" max="35" width="4.28515625" style="97" customWidth="1"/>
    <col min="37" max="37" width="4.28515625" style="97" customWidth="1"/>
    <col min="39" max="39" width="4.28515625" style="97" customWidth="1"/>
    <col min="41" max="41" width="4.28515625" style="97" customWidth="1"/>
    <col min="43" max="43" width="4.28515625" style="97" customWidth="1"/>
    <col min="45" max="45" width="4.28515625" style="97" customWidth="1"/>
    <col min="47" max="47" width="4.28515625" style="97" customWidth="1"/>
    <col min="49" max="49" width="4.28515625" style="97" customWidth="1"/>
    <col min="51" max="51" width="4.28515625" style="97" customWidth="1"/>
    <col min="53" max="53" width="4.28515625" style="97" customWidth="1"/>
    <col min="55" max="55" width="4.28515625" style="97" customWidth="1"/>
    <col min="57" max="57" width="4.28515625" style="97" customWidth="1"/>
    <col min="59" max="59" width="4.28515625" style="97" customWidth="1"/>
    <col min="61" max="61" width="4.28515625" style="97" customWidth="1"/>
    <col min="63" max="63" width="4.28515625" style="97" customWidth="1"/>
    <col min="65" max="65" width="4.28515625" style="97" customWidth="1"/>
    <col min="67" max="67" width="4.28515625" style="97" customWidth="1"/>
    <col min="69" max="69" width="4.28515625" style="97" customWidth="1"/>
    <col min="71" max="71" width="4.28515625" style="97" customWidth="1"/>
    <col min="73" max="73" width="4.28515625" style="97" customWidth="1"/>
    <col min="75" max="75" width="4.28515625" style="97" customWidth="1"/>
    <col min="77" max="77" width="4.28515625" style="97" customWidth="1"/>
    <col min="79" max="79" width="4.28515625" style="97" customWidth="1"/>
    <col min="81" max="81" width="4.28515625" style="97" customWidth="1"/>
    <col min="83" max="83" width="4.28515625" style="97" customWidth="1"/>
    <col min="85" max="85" width="4.28515625" style="200" customWidth="1"/>
    <col min="87" max="87" width="4.28515625" style="200" customWidth="1"/>
    <col min="89" max="89" width="4.28515625" style="200" customWidth="1"/>
    <col min="91" max="91" width="4.28515625" style="200" customWidth="1"/>
    <col min="93" max="93" width="4.28515625" style="200" customWidth="1"/>
    <col min="95" max="95" width="4.28515625" style="200" customWidth="1"/>
    <col min="97" max="97" width="4.28515625" style="200" customWidth="1"/>
    <col min="99" max="99" width="4.28515625" style="200" customWidth="1"/>
    <col min="101" max="101" width="4.28515625" style="200" customWidth="1"/>
    <col min="103" max="103" width="4.28515625" style="200" customWidth="1"/>
    <col min="105" max="105" width="4.28515625" style="200" customWidth="1"/>
    <col min="107" max="107" width="22.5703125" style="197" customWidth="1"/>
  </cols>
  <sheetData>
    <row r="1" spans="1:107" x14ac:dyDescent="0.25">
      <c r="R1" s="98">
        <f>RANK(R5,$R$5:$X$5,0)</f>
        <v>3</v>
      </c>
      <c r="S1" s="98"/>
      <c r="T1" s="98">
        <f>RANK(T5,$R$5:$X$5,0)</f>
        <v>1</v>
      </c>
      <c r="U1" s="98"/>
      <c r="V1" s="98">
        <f>RANK(V5,$R$5:$X$5,0)</f>
        <v>4</v>
      </c>
      <c r="W1" s="98"/>
      <c r="X1" s="98">
        <f>RANK(X5,$R$5:$X$5,0)</f>
        <v>2</v>
      </c>
      <c r="Y1" s="98"/>
      <c r="Z1" s="98" t="e">
        <f>RANK(Z5,$R$5:$X$5,0)</f>
        <v>#N/A</v>
      </c>
      <c r="AA1" s="98"/>
      <c r="AB1" s="98" t="e">
        <f>RANK(AB5,$R$5:$X$5,0)</f>
        <v>#N/A</v>
      </c>
    </row>
    <row r="2" spans="1:107" ht="19.5" thickBot="1" x14ac:dyDescent="0.35">
      <c r="O2" s="90"/>
      <c r="R2" s="98">
        <f>RANK(R4,$R$4:$X$4,0)</f>
        <v>3</v>
      </c>
      <c r="S2" s="98"/>
      <c r="T2" s="98">
        <f>RANK(T4,$R$4:$X$4,0)</f>
        <v>1</v>
      </c>
      <c r="U2" s="98"/>
      <c r="V2" s="98">
        <f>RANK(V4,$R$4:$X$4,0)</f>
        <v>3</v>
      </c>
      <c r="W2" s="98"/>
      <c r="X2" s="98">
        <f>RANK(X4,$R$4:$X$4,0)</f>
        <v>1</v>
      </c>
      <c r="Y2" s="98"/>
      <c r="Z2" s="98">
        <f>RANK(Z4,$R$4:$X$4,0)</f>
        <v>3</v>
      </c>
      <c r="AA2" s="98"/>
      <c r="AB2" s="98">
        <f>RANK(AB4,$R$4:$X$4,0)</f>
        <v>3</v>
      </c>
    </row>
    <row r="3" spans="1:107" ht="21.75" thickBot="1" x14ac:dyDescent="0.4">
      <c r="L3" s="186" t="s">
        <v>260</v>
      </c>
      <c r="M3" s="97" t="s">
        <v>259</v>
      </c>
      <c r="O3" s="221" t="s">
        <v>309</v>
      </c>
      <c r="P3" s="221"/>
      <c r="R3" s="92" t="s">
        <v>319</v>
      </c>
      <c r="T3" s="92" t="s">
        <v>328</v>
      </c>
      <c r="V3" s="92" t="s">
        <v>329</v>
      </c>
      <c r="X3" s="92" t="s">
        <v>331</v>
      </c>
      <c r="Z3" s="92" t="s">
        <v>332</v>
      </c>
      <c r="AB3" s="92" t="s">
        <v>333</v>
      </c>
      <c r="AD3" s="92" t="s">
        <v>348</v>
      </c>
      <c r="AF3" s="92" t="s">
        <v>350</v>
      </c>
      <c r="AH3" s="92" t="s">
        <v>352</v>
      </c>
      <c r="AJ3" s="92" t="s">
        <v>354</v>
      </c>
      <c r="AL3" s="92" t="s">
        <v>357</v>
      </c>
      <c r="AN3" s="92" t="s">
        <v>360</v>
      </c>
      <c r="AP3" s="92" t="s">
        <v>361</v>
      </c>
      <c r="AR3" s="92" t="s">
        <v>363</v>
      </c>
      <c r="AT3" s="92" t="s">
        <v>365</v>
      </c>
      <c r="AV3" s="92" t="s">
        <v>366</v>
      </c>
      <c r="AX3" s="92" t="s">
        <v>368</v>
      </c>
      <c r="AZ3" s="92" t="s">
        <v>371</v>
      </c>
      <c r="BB3" s="92" t="s">
        <v>372</v>
      </c>
      <c r="BD3" s="92" t="s">
        <v>374</v>
      </c>
      <c r="BF3" s="196" t="s">
        <v>375</v>
      </c>
      <c r="BH3" s="196" t="s">
        <v>376</v>
      </c>
      <c r="BJ3" s="196" t="s">
        <v>377</v>
      </c>
      <c r="BL3" s="196" t="s">
        <v>379</v>
      </c>
      <c r="BN3" s="196" t="s">
        <v>380</v>
      </c>
      <c r="BP3" s="196" t="s">
        <v>381</v>
      </c>
      <c r="BR3" s="196" t="s">
        <v>384</v>
      </c>
      <c r="BT3" s="196" t="s">
        <v>385</v>
      </c>
      <c r="BV3" s="196" t="s">
        <v>386</v>
      </c>
      <c r="BX3" s="196" t="s">
        <v>387</v>
      </c>
      <c r="BZ3" s="196" t="s">
        <v>388</v>
      </c>
      <c r="CB3" s="196" t="s">
        <v>390</v>
      </c>
      <c r="CD3" s="196" t="s">
        <v>391</v>
      </c>
      <c r="CF3" s="198" t="s">
        <v>392</v>
      </c>
      <c r="CH3" s="198" t="s">
        <v>393</v>
      </c>
      <c r="CJ3" s="198" t="s">
        <v>394</v>
      </c>
      <c r="CL3" s="198" t="s">
        <v>396</v>
      </c>
      <c r="CN3" s="198" t="s">
        <v>397</v>
      </c>
      <c r="CP3" s="198" t="s">
        <v>400</v>
      </c>
      <c r="CR3" s="198" t="s">
        <v>402</v>
      </c>
      <c r="CT3" s="198" t="s">
        <v>404</v>
      </c>
      <c r="CV3" s="198" t="s">
        <v>406</v>
      </c>
      <c r="CX3" s="198" t="s">
        <v>408</v>
      </c>
      <c r="CZ3" s="198" t="s">
        <v>409</v>
      </c>
      <c r="DC3" s="198"/>
    </row>
    <row r="4" spans="1:107" ht="15" customHeight="1" thickBot="1" x14ac:dyDescent="0.3">
      <c r="L4" s="187" t="s">
        <v>248</v>
      </c>
      <c r="M4" s="185">
        <v>2</v>
      </c>
      <c r="R4" s="93">
        <f>SUM(S6:S111)</f>
        <v>2</v>
      </c>
      <c r="T4" s="93">
        <f>SUM(U6:U111)</f>
        <v>3</v>
      </c>
      <c r="V4" s="93">
        <f>SUM(W6:W111)</f>
        <v>2</v>
      </c>
      <c r="X4" s="93">
        <f>SUM(Y6:Y111)</f>
        <v>3</v>
      </c>
      <c r="Z4" s="93">
        <f>SUM(AA6:AA111)</f>
        <v>2</v>
      </c>
      <c r="AB4" s="93">
        <f>SUM(AC6:AC111)</f>
        <v>2</v>
      </c>
      <c r="AD4" s="93">
        <f>SUM(AE6:AE111)</f>
        <v>0</v>
      </c>
      <c r="AF4" s="93">
        <f>SUM(AG6:AG111)</f>
        <v>3</v>
      </c>
      <c r="AH4" s="93">
        <f>SUM(AI6:AI111)</f>
        <v>3</v>
      </c>
      <c r="AJ4" s="93">
        <f>SUM(AK6:AK111)</f>
        <v>2</v>
      </c>
      <c r="AL4" s="93">
        <f>SUM(AM6:AM111)</f>
        <v>2</v>
      </c>
      <c r="AN4" s="93">
        <f>SUM(AO6:AO111)</f>
        <v>0</v>
      </c>
      <c r="AP4" s="93">
        <f>SUM(AQ6:AQ111)</f>
        <v>3</v>
      </c>
      <c r="AR4" s="93">
        <f>SUM(AS6:AS111)</f>
        <v>3</v>
      </c>
      <c r="AT4" s="93">
        <f>SUM(AU6:AU111)</f>
        <v>2</v>
      </c>
      <c r="AV4" s="93">
        <f>SUM(AW6:AW111)</f>
        <v>3</v>
      </c>
      <c r="AX4" s="93">
        <f>SUM(AY6:AY111)</f>
        <v>2</v>
      </c>
      <c r="AZ4" s="93">
        <f>SUM(BA6:BA111)</f>
        <v>3</v>
      </c>
      <c r="BB4" s="93">
        <f>SUM(BC6:BC111)</f>
        <v>3</v>
      </c>
      <c r="BD4" s="93">
        <f>SUM(BE6:BE111)</f>
        <v>3</v>
      </c>
      <c r="BF4" s="93">
        <f>SUM(BG6:BG111)</f>
        <v>2</v>
      </c>
      <c r="BH4" s="93">
        <f>SUM(BI6:BI111)</f>
        <v>2</v>
      </c>
      <c r="BJ4" s="93">
        <f>SUM(BK6:BK111)</f>
        <v>2</v>
      </c>
      <c r="BL4" s="93">
        <f>SUM(BM6:BM111)</f>
        <v>2</v>
      </c>
      <c r="BN4" s="93">
        <f>SUM(BO6:BO111)</f>
        <v>2</v>
      </c>
      <c r="BP4" s="93">
        <f>SUM(BQ6:BQ111)</f>
        <v>3</v>
      </c>
      <c r="BR4" s="93">
        <f>SUM(BS6:BS111)</f>
        <v>2</v>
      </c>
      <c r="BT4" s="93">
        <f>SUM(BU6:BU111)</f>
        <v>3</v>
      </c>
      <c r="BV4" s="93">
        <f>SUM(BW6:BW111)</f>
        <v>3</v>
      </c>
      <c r="BX4" s="93">
        <f>SUM(BY6:BY111)</f>
        <v>3</v>
      </c>
      <c r="BZ4" s="93">
        <f>SUM(CA6:CA111)</f>
        <v>3</v>
      </c>
      <c r="CB4" s="93">
        <f>SUM(CC6:CC111)</f>
        <v>2</v>
      </c>
      <c r="CD4" s="93">
        <f>SUM(CE6:CE111)</f>
        <v>3</v>
      </c>
      <c r="CF4" s="199">
        <f>SUM(CG6:CG111)</f>
        <v>2</v>
      </c>
      <c r="CH4" s="199">
        <f>SUM(CI6:CI111)</f>
        <v>2</v>
      </c>
      <c r="CJ4" s="199">
        <f>SUM(CK6:CK111)</f>
        <v>2</v>
      </c>
      <c r="CL4" s="199">
        <f>SUM(CM6:CM111)</f>
        <v>2</v>
      </c>
      <c r="CN4" s="199">
        <f>SUM(CO6:CO111)</f>
        <v>3</v>
      </c>
      <c r="CP4" s="199">
        <f>SUM(CQ6:CQ111)</f>
        <v>2</v>
      </c>
      <c r="CR4" s="199">
        <f>SUM(CS6:CS111)</f>
        <v>2</v>
      </c>
      <c r="CT4" s="199">
        <f>SUM(CU6:CU111)</f>
        <v>2</v>
      </c>
      <c r="CV4" s="199">
        <f>SUM(CW6:CW111)</f>
        <v>2</v>
      </c>
      <c r="CX4" s="199">
        <f>SUM(CY6:CY111)</f>
        <v>2</v>
      </c>
      <c r="CZ4" s="199">
        <f>SUM(DA6:DA111)</f>
        <v>3</v>
      </c>
    </row>
    <row r="5" spans="1:107" ht="15" customHeight="1" x14ac:dyDescent="0.35">
      <c r="L5" s="187" t="s">
        <v>247</v>
      </c>
      <c r="M5" s="185">
        <v>1</v>
      </c>
      <c r="O5" s="96" t="s">
        <v>139</v>
      </c>
      <c r="R5" s="98">
        <f>R4-(COLUMN()/1000)</f>
        <v>1.982</v>
      </c>
      <c r="S5" s="98"/>
      <c r="T5" s="98">
        <f t="shared" ref="T5:X5" si="0">T4-(COLUMN()/1000)</f>
        <v>2.98</v>
      </c>
      <c r="U5" s="98"/>
      <c r="V5" s="98">
        <f t="shared" si="0"/>
        <v>1.978</v>
      </c>
      <c r="W5" s="98"/>
      <c r="X5" s="98">
        <f t="shared" si="0"/>
        <v>2.976</v>
      </c>
      <c r="Y5" s="98"/>
      <c r="Z5" s="98">
        <f t="shared" ref="Z5" si="1">Z4-(COLUMN()/1000)</f>
        <v>1.974</v>
      </c>
      <c r="AA5" s="98"/>
      <c r="AB5" s="98"/>
      <c r="AC5" s="98"/>
      <c r="AE5" s="98"/>
      <c r="AG5" s="98"/>
      <c r="AI5" s="98"/>
      <c r="AK5" s="98"/>
      <c r="AM5" s="98"/>
      <c r="AO5" s="98"/>
      <c r="AQ5" s="98"/>
      <c r="AS5" s="98"/>
      <c r="AU5" s="98"/>
      <c r="AW5" s="98"/>
      <c r="AY5" s="98"/>
      <c r="BA5" s="98"/>
      <c r="BC5" s="98"/>
      <c r="BE5" s="98"/>
      <c r="BG5" s="98"/>
      <c r="BI5" s="98"/>
      <c r="BK5" s="98"/>
      <c r="BM5" s="98"/>
      <c r="BO5" s="98"/>
      <c r="BQ5" s="98"/>
      <c r="BS5" s="98"/>
      <c r="BU5" s="98"/>
      <c r="BW5" s="98"/>
      <c r="BY5" s="98"/>
      <c r="CA5" s="98"/>
      <c r="CC5" s="98"/>
      <c r="CE5" s="98"/>
      <c r="CG5" s="201"/>
      <c r="CI5" s="201"/>
      <c r="CK5" s="201"/>
      <c r="CM5" s="201"/>
      <c r="CO5" s="201"/>
      <c r="CQ5" s="201"/>
      <c r="CS5" s="201"/>
      <c r="CU5" s="201"/>
      <c r="CW5" s="201"/>
      <c r="CY5" s="201"/>
      <c r="DA5" s="201"/>
    </row>
    <row r="6" spans="1:107" ht="15" customHeight="1" x14ac:dyDescent="0.25">
      <c r="L6" s="187" t="s">
        <v>255</v>
      </c>
      <c r="M6" s="185">
        <v>4</v>
      </c>
      <c r="O6" s="10" t="s">
        <v>272</v>
      </c>
      <c r="P6" s="10" t="s">
        <v>322</v>
      </c>
      <c r="Q6" s="5"/>
      <c r="R6" s="97" t="s">
        <v>320</v>
      </c>
      <c r="S6" s="97">
        <f>IF(ISBLANK($P6),0,SUM(IF(LEFT($P6,1)=LEFT(R6,1),$M$4),IF(RIGHT($P6,LEN($P6)-2)=RIGHT(R6,LEN(R6)-2),$M$5)))</f>
        <v>2</v>
      </c>
      <c r="T6" s="97" t="s">
        <v>322</v>
      </c>
      <c r="U6" s="200">
        <f>IF(ISBLANK($P6),0,SUM(IF(LEFT($P6,1)=LEFT(T6,1),$M$4),IF(RIGHT($P6,LEN($P6)-2)=RIGHT(T6,LEN(T6)-2),$M$5)))</f>
        <v>3</v>
      </c>
      <c r="V6" s="97" t="s">
        <v>308</v>
      </c>
      <c r="W6" s="200">
        <f>IF(ISBLANK($P6),0,SUM(IF(LEFT($P6,1)=LEFT(V6,1),$M$4),IF(RIGHT($P6,LEN($P6)-2)=RIGHT(V6,LEN(V6)-2),$M$5)))</f>
        <v>2</v>
      </c>
      <c r="X6" s="97" t="s">
        <v>322</v>
      </c>
      <c r="Y6" s="200">
        <f>IF(ISBLANK($P6),0,SUM(IF(LEFT($P6,1)=LEFT(X6,1),$M$4),IF(RIGHT($P6,LEN($P6)-2)=RIGHT(X6,LEN(X6)-2),$M$5)))</f>
        <v>3</v>
      </c>
      <c r="Z6" s="97" t="s">
        <v>267</v>
      </c>
      <c r="AA6" s="200">
        <f>IF(ISBLANK($P6),0,SUM(IF(LEFT($P6,1)=LEFT(Z6,1),$M$4),IF(RIGHT($P6,LEN($P6)-2)=RIGHT(Z6,LEN(Z6)-2),$M$5)))</f>
        <v>2</v>
      </c>
      <c r="AB6" s="97" t="s">
        <v>266</v>
      </c>
      <c r="AC6" s="200">
        <f>IF(ISBLANK($P6),0,SUM(IF(LEFT($P6,1)=LEFT(AB6,1),$M$4),IF(RIGHT($P6,LEN($P6)-2)=RIGHT(AB6,LEN(AB6)-2),$M$5)))</f>
        <v>2</v>
      </c>
      <c r="AD6" t="s">
        <v>321</v>
      </c>
      <c r="AE6" s="200">
        <f>IF(ISBLANK($P6),0,SUM(IF(LEFT($P6,1)=LEFT(AD6,1),$M$4),IF(RIGHT($P6,LEN($P6)-2)=RIGHT(AD6,LEN(AD6)-2),$M$5)))</f>
        <v>0</v>
      </c>
      <c r="AF6" t="s">
        <v>322</v>
      </c>
      <c r="AG6" s="200">
        <f>IF(ISBLANK($P6),0,SUM(IF(LEFT($P6,1)=LEFT(AF6,1),$M$4),IF(RIGHT($P6,LEN($P6)-2)=RIGHT(AF6,LEN(AF6)-2),$M$5)))</f>
        <v>3</v>
      </c>
      <c r="AH6" t="s">
        <v>322</v>
      </c>
      <c r="AI6" s="200">
        <f>IF(ISBLANK($P6),0,SUM(IF(LEFT($P6,1)=LEFT(AH6,1),$M$4),IF(RIGHT($P6,LEN($P6)-2)=RIGHT(AH6,LEN(AH6)-2),$M$5)))</f>
        <v>3</v>
      </c>
      <c r="AJ6" t="s">
        <v>266</v>
      </c>
      <c r="AK6" s="200">
        <f>IF(ISBLANK($P6),0,SUM(IF(LEFT($P6,1)=LEFT(AJ6,1),$M$4),IF(RIGHT($P6,LEN($P6)-2)=RIGHT(AJ6,LEN(AJ6)-2),$M$5)))</f>
        <v>2</v>
      </c>
      <c r="AL6" t="s">
        <v>267</v>
      </c>
      <c r="AM6" s="200">
        <f>IF(ISBLANK($P6),0,SUM(IF(LEFT($P6,1)=LEFT(AL6,1),$M$4),IF(RIGHT($P6,LEN($P6)-2)=RIGHT(AL6,LEN(AL6)-2),$M$5)))</f>
        <v>2</v>
      </c>
      <c r="AN6" t="s">
        <v>271</v>
      </c>
      <c r="AO6" s="200">
        <f>IF(ISBLANK($P6),0,SUM(IF(LEFT($P6,1)=LEFT(AN6,1),$M$4),IF(RIGHT($P6,LEN($P6)-2)=RIGHT(AN6,LEN(AN6)-2),$M$5)))</f>
        <v>0</v>
      </c>
      <c r="AP6" t="s">
        <v>322</v>
      </c>
      <c r="AQ6" s="200">
        <f>IF(ISBLANK($P6),0,SUM(IF(LEFT($P6,1)=LEFT(AP6,1),$M$4),IF(RIGHT($P6,LEN($P6)-2)=RIGHT(AP6,LEN(AP6)-2),$M$5)))</f>
        <v>3</v>
      </c>
      <c r="AR6" t="s">
        <v>322</v>
      </c>
      <c r="AS6" s="200">
        <f>IF(ISBLANK($P6),0,SUM(IF(LEFT($P6,1)=LEFT(AR6,1),$M$4),IF(RIGHT($P6,LEN($P6)-2)=RIGHT(AR6,LEN(AR6)-2),$M$5)))</f>
        <v>3</v>
      </c>
      <c r="AT6" t="s">
        <v>266</v>
      </c>
      <c r="AU6" s="200">
        <f>IF(ISBLANK($P6),0,SUM(IF(LEFT($P6,1)=LEFT(AT6,1),$M$4),IF(RIGHT($P6,LEN($P6)-2)=RIGHT(AT6,LEN(AT6)-2),$M$5)))</f>
        <v>2</v>
      </c>
      <c r="AV6" t="s">
        <v>322</v>
      </c>
      <c r="AW6" s="200">
        <f>IF(ISBLANK($P6),0,SUM(IF(LEFT($P6,1)=LEFT(AV6,1),$M$4),IF(RIGHT($P6,LEN($P6)-2)=RIGHT(AV6,LEN(AV6)-2),$M$5)))</f>
        <v>3</v>
      </c>
      <c r="AX6" t="s">
        <v>320</v>
      </c>
      <c r="AY6" s="200">
        <f>IF(ISBLANK($P6),0,SUM(IF(LEFT($P6,1)=LEFT(AX6,1),$M$4),IF(RIGHT($P6,LEN($P6)-2)=RIGHT(AX6,LEN(AX6)-2),$M$5)))</f>
        <v>2</v>
      </c>
      <c r="AZ6" t="s">
        <v>322</v>
      </c>
      <c r="BA6" s="200">
        <f>IF(ISBLANK($P6),0,SUM(IF(LEFT($P6,1)=LEFT(AZ6,1),$M$4),IF(RIGHT($P6,LEN($P6)-2)=RIGHT(AZ6,LEN(AZ6)-2),$M$5)))</f>
        <v>3</v>
      </c>
      <c r="BB6" t="s">
        <v>322</v>
      </c>
      <c r="BC6" s="200">
        <f>IF(ISBLANK($P6),0,SUM(IF(LEFT($P6,1)=LEFT(BB6,1),$M$4),IF(RIGHT($P6,LEN($P6)-2)=RIGHT(BB6,LEN(BB6)-2),$M$5)))</f>
        <v>3</v>
      </c>
      <c r="BD6" t="s">
        <v>322</v>
      </c>
      <c r="BE6" s="200">
        <f>IF(ISBLANK($P6),0,SUM(IF(LEFT($P6,1)=LEFT(BD6,1),$M$4),IF(RIGHT($P6,LEN($P6)-2)=RIGHT(BD6,LEN(BD6)-2),$M$5)))</f>
        <v>3</v>
      </c>
      <c r="BF6" t="s">
        <v>267</v>
      </c>
      <c r="BG6" s="200">
        <f>IF(ISBLANK($P6),0,SUM(IF(LEFT($P6,1)=LEFT(BF6,1),$M$4),IF(RIGHT($P6,LEN($P6)-2)=RIGHT(BF6,LEN(BF6)-2),$M$5)))</f>
        <v>2</v>
      </c>
      <c r="BH6" t="s">
        <v>320</v>
      </c>
      <c r="BI6" s="200">
        <f>IF(ISBLANK($P6),0,SUM(IF(LEFT($P6,1)=LEFT(BH6,1),$M$4),IF(RIGHT($P6,LEN($P6)-2)=RIGHT(BH6,LEN(BH6)-2),$M$5)))</f>
        <v>2</v>
      </c>
      <c r="BJ6" t="s">
        <v>320</v>
      </c>
      <c r="BK6" s="200">
        <f>IF(ISBLANK($P6),0,SUM(IF(LEFT($P6,1)=LEFT(BJ6,1),$M$4),IF(RIGHT($P6,LEN($P6)-2)=RIGHT(BJ6,LEN(BJ6)-2),$M$5)))</f>
        <v>2</v>
      </c>
      <c r="BL6" t="s">
        <v>320</v>
      </c>
      <c r="BM6" s="200">
        <f>IF(ISBLANK($P6),0,SUM(IF(LEFT($P6,1)=LEFT(BL6,1),$M$4),IF(RIGHT($P6,LEN($P6)-2)=RIGHT(BL6,LEN(BL6)-2),$M$5)))</f>
        <v>2</v>
      </c>
      <c r="BN6" t="s">
        <v>308</v>
      </c>
      <c r="BO6" s="200">
        <f>IF(ISBLANK($P6),0,SUM(IF(LEFT($P6,1)=LEFT(BN6,1),$M$4),IF(RIGHT($P6,LEN($P6)-2)=RIGHT(BN6,LEN(BN6)-2),$M$5)))</f>
        <v>2</v>
      </c>
      <c r="BP6" t="s">
        <v>322</v>
      </c>
      <c r="BQ6" s="200">
        <f>IF(ISBLANK($P6),0,SUM(IF(LEFT($P6,1)=LEFT(BP6,1),$M$4),IF(RIGHT($P6,LEN($P6)-2)=RIGHT(BP6,LEN(BP6)-2),$M$5)))</f>
        <v>3</v>
      </c>
      <c r="BR6" t="s">
        <v>308</v>
      </c>
      <c r="BS6" s="200">
        <f>IF(ISBLANK($P6),0,SUM(IF(LEFT($P6,1)=LEFT(BR6,1),$M$4),IF(RIGHT($P6,LEN($P6)-2)=RIGHT(BR6,LEN(BR6)-2),$M$5)))</f>
        <v>2</v>
      </c>
      <c r="BT6" t="s">
        <v>322</v>
      </c>
      <c r="BU6" s="200">
        <f>IF(ISBLANK($P6),0,SUM(IF(LEFT($P6,1)=LEFT(BT6,1),$M$4),IF(RIGHT($P6,LEN($P6)-2)=RIGHT(BT6,LEN(BT6)-2),$M$5)))</f>
        <v>3</v>
      </c>
      <c r="BV6" t="s">
        <v>322</v>
      </c>
      <c r="BW6" s="200">
        <f>IF(ISBLANK($P6),0,SUM(IF(LEFT($P6,1)=LEFT(BV6,1),$M$4),IF(RIGHT($P6,LEN($P6)-2)=RIGHT(BV6,LEN(BV6)-2),$M$5)))</f>
        <v>3</v>
      </c>
      <c r="BX6" t="s">
        <v>322</v>
      </c>
      <c r="BY6" s="200">
        <f>IF(ISBLANK($P6),0,SUM(IF(LEFT($P6,1)=LEFT(BX6,1),$M$4),IF(RIGHT($P6,LEN($P6)-2)=RIGHT(BX6,LEN(BX6)-2),$M$5)))</f>
        <v>3</v>
      </c>
      <c r="BZ6" t="s">
        <v>322</v>
      </c>
      <c r="CA6" s="200">
        <f>IF(ISBLANK($P6),0,SUM(IF(LEFT($P6,1)=LEFT(BZ6,1),$M$4),IF(RIGHT($P6,LEN($P6)-2)=RIGHT(BZ6,LEN(BZ6)-2),$M$5)))</f>
        <v>3</v>
      </c>
      <c r="CB6" t="s">
        <v>266</v>
      </c>
      <c r="CC6" s="200">
        <f>IF(ISBLANK($P6),0,SUM(IF(LEFT($P6,1)=LEFT(CB6,1),$M$4),IF(RIGHT($P6,LEN($P6)-2)=RIGHT(CB6,LEN(CB6)-2),$M$5)))</f>
        <v>2</v>
      </c>
      <c r="CD6" t="s">
        <v>322</v>
      </c>
      <c r="CE6" s="200">
        <f>IF(ISBLANK($P6),0,SUM(IF(LEFT($P6,1)=LEFT(CD6,1),$M$4),IF(RIGHT($P6,LEN($P6)-2)=RIGHT(CD6,LEN(CD6)-2),$M$5)))</f>
        <v>3</v>
      </c>
      <c r="CF6" s="197" t="s">
        <v>308</v>
      </c>
      <c r="CG6" s="200">
        <f>IF(ISBLANK($P6),0,SUM(IF(LEFT($P6,1)=LEFT(CF6,1),$M$4),IF(RIGHT($P6,LEN($P6)-2)=RIGHT(CF6,LEN(CF6)-2),$M$5)))</f>
        <v>2</v>
      </c>
      <c r="CH6" t="s">
        <v>266</v>
      </c>
      <c r="CI6" s="200">
        <f>IF(ISBLANK($P6),0,SUM(IF(LEFT($P6,1)=LEFT(CH6,1),$M$4),IF(RIGHT($P6,LEN($P6)-2)=RIGHT(CH6,LEN(CH6)-2),$M$5)))</f>
        <v>2</v>
      </c>
      <c r="CJ6" t="s">
        <v>320</v>
      </c>
      <c r="CK6" s="200">
        <f>IF(ISBLANK($P6),0,SUM(IF(LEFT($P6,1)=LEFT(CJ6,1),$M$4),IF(RIGHT($P6,LEN($P6)-2)=RIGHT(CJ6,LEN(CJ6)-2),$M$5)))</f>
        <v>2</v>
      </c>
      <c r="CL6" s="197" t="s">
        <v>320</v>
      </c>
      <c r="CM6" s="200">
        <f>IF(ISBLANK($P6),0,SUM(IF(LEFT($P6,1)=LEFT(CL6,1),$M$4),IF(RIGHT($P6,LEN($P6)-2)=RIGHT(CL6,LEN(CL6)-2),$M$5)))</f>
        <v>2</v>
      </c>
      <c r="CN6" t="s">
        <v>322</v>
      </c>
      <c r="CO6" s="200">
        <f>IF(ISBLANK($P6),0,SUM(IF(LEFT($P6,1)=LEFT(CN6,1),$M$4),IF(RIGHT($P6,LEN($P6)-2)=RIGHT(CN6,LEN(CN6)-2),$M$5)))</f>
        <v>3</v>
      </c>
      <c r="CP6" t="s">
        <v>308</v>
      </c>
      <c r="CQ6" s="200">
        <f>IF(ISBLANK($P6),0,SUM(IF(LEFT($P6,1)=LEFT(CP6,1),$M$4),IF(RIGHT($P6,LEN($P6)-2)=RIGHT(CP6,LEN(CP6)-2),$M$5)))</f>
        <v>2</v>
      </c>
      <c r="CR6" t="s">
        <v>266</v>
      </c>
      <c r="CS6" s="200">
        <f>IF(ISBLANK($P6),0,SUM(IF(LEFT($P6,1)=LEFT(CR6,1),$M$4),IF(RIGHT($P6,LEN($P6)-2)=RIGHT(CR6,LEN(CR6)-2),$M$5)))</f>
        <v>2</v>
      </c>
      <c r="CT6" s="197" t="s">
        <v>308</v>
      </c>
      <c r="CU6" s="200">
        <f>IF(ISBLANK($P6),0,SUM(IF(LEFT($P6,1)=LEFT(CT6,1),$M$4),IF(RIGHT($P6,LEN($P6)-2)=RIGHT(CT6,LEN(CT6)-2),$M$5)))</f>
        <v>2</v>
      </c>
      <c r="CV6" s="197" t="s">
        <v>267</v>
      </c>
      <c r="CW6" s="200">
        <f>IF(ISBLANK($P6),0,SUM(IF(LEFT($P6,1)=LEFT(CV6,1),$M$4),IF(RIGHT($P6,LEN($P6)-2)=RIGHT(CV6,LEN(CV6)-2),$M$5)))</f>
        <v>2</v>
      </c>
      <c r="CX6" s="197" t="s">
        <v>320</v>
      </c>
      <c r="CY6" s="200">
        <f>IF(ISBLANK($P6),0,SUM(IF(LEFT($P6,1)=LEFT(CX6,1),$M$4),IF(RIGHT($P6,LEN($P6)-2)=RIGHT(CX6,LEN(CX6)-2),$M$5)))</f>
        <v>2</v>
      </c>
      <c r="CZ6" s="197" t="s">
        <v>322</v>
      </c>
      <c r="DA6" s="200">
        <f>IF(ISBLANK($P6),0,SUM(IF(LEFT($P6,1)=LEFT(CZ6,1),$M$4),IF(RIGHT($P6,LEN($P6)-2)=RIGHT(CZ6,LEN(CZ6)-2),$M$5)))</f>
        <v>3</v>
      </c>
    </row>
    <row r="7" spans="1:107" ht="15" customHeight="1" x14ac:dyDescent="0.25">
      <c r="L7" s="187" t="s">
        <v>256</v>
      </c>
      <c r="M7" s="185">
        <v>3</v>
      </c>
      <c r="O7" s="10" t="s">
        <v>273</v>
      </c>
      <c r="P7" s="10"/>
      <c r="Q7" s="5"/>
      <c r="R7" s="97" t="s">
        <v>262</v>
      </c>
      <c r="S7" s="200">
        <f>IF(ISBLANK($P7),0,SUM(IF(LEFT($P7,1)=LEFT(R7,1),$M$4),IF(RIGHT($P7,LEN($P7)-2)=RIGHT(R7,LEN(R7)-2),$M$5)))</f>
        <v>0</v>
      </c>
      <c r="T7" s="97" t="s">
        <v>323</v>
      </c>
      <c r="U7" s="200">
        <f>IF(ISBLANK($P7),0,SUM(IF(LEFT($P7,1)=LEFT(T7,1),$M$4),IF(RIGHT($P7,LEN($P7)-2)=RIGHT(T7,LEN(T7)-2),$M$5)))</f>
        <v>0</v>
      </c>
      <c r="V7" s="97" t="s">
        <v>330</v>
      </c>
      <c r="W7" s="200">
        <f>IF(ISBLANK($P7),0,SUM(IF(LEFT($P7,1)=LEFT(V7,1),$M$4),IF(RIGHT($P7,LEN($P7)-2)=RIGHT(V7,LEN(V7)-2),$M$5)))</f>
        <v>0</v>
      </c>
      <c r="X7" s="97" t="s">
        <v>271</v>
      </c>
      <c r="Y7" s="200">
        <f>IF(ISBLANK($P7),0,SUM(IF(LEFT($P7,1)=LEFT(X7,1),$M$4),IF(RIGHT($P7,LEN($P7)-2)=RIGHT(X7,LEN(X7)-2),$M$5)))</f>
        <v>0</v>
      </c>
      <c r="Z7" s="97" t="s">
        <v>323</v>
      </c>
      <c r="AA7" s="200">
        <f>IF(ISBLANK($P7),0,SUM(IF(LEFT($P7,1)=LEFT(Z7,1),$M$4),IF(RIGHT($P7,LEN($P7)-2)=RIGHT(Z7,LEN(Z7)-2),$M$5)))</f>
        <v>0</v>
      </c>
      <c r="AB7" s="97" t="s">
        <v>262</v>
      </c>
      <c r="AC7" s="200">
        <f>IF(ISBLANK($P7),0,SUM(IF(LEFT($P7,1)=LEFT(AB7,1),$M$4),IF(RIGHT($P7,LEN($P7)-2)=RIGHT(AB7,LEN(AB7)-2),$M$5)))</f>
        <v>0</v>
      </c>
      <c r="AD7" t="s">
        <v>330</v>
      </c>
      <c r="AE7" s="200">
        <f>IF(ISBLANK($P7),0,SUM(IF(LEFT($P7,1)=LEFT(AD7,1),$M$4),IF(RIGHT($P7,LEN($P7)-2)=RIGHT(AD7,LEN(AD7)-2),$M$5)))</f>
        <v>0</v>
      </c>
      <c r="AF7" t="s">
        <v>271</v>
      </c>
      <c r="AG7" s="200">
        <f>IF(ISBLANK($P7),0,SUM(IF(LEFT($P7,1)=LEFT(AF7,1),$M$4),IF(RIGHT($P7,LEN($P7)-2)=RIGHT(AF7,LEN(AF7)-2),$M$5)))</f>
        <v>0</v>
      </c>
      <c r="AH7" t="s">
        <v>323</v>
      </c>
      <c r="AI7" s="200">
        <f>IF(ISBLANK($P7),0,SUM(IF(LEFT($P7,1)=LEFT(AH7,1),$M$4),IF(RIGHT($P7,LEN($P7)-2)=RIGHT(AH7,LEN(AH7)-2),$M$5)))</f>
        <v>0</v>
      </c>
      <c r="AJ7" t="s">
        <v>330</v>
      </c>
      <c r="AK7" s="200">
        <f>IF(ISBLANK($P7),0,SUM(IF(LEFT($P7,1)=LEFT(AJ7,1),$M$4),IF(RIGHT($P7,LEN($P7)-2)=RIGHT(AJ7,LEN(AJ7)-2),$M$5)))</f>
        <v>0</v>
      </c>
      <c r="AL7" t="s">
        <v>267</v>
      </c>
      <c r="AM7" s="200">
        <f>IF(ISBLANK($P7),0,SUM(IF(LEFT($P7,1)=LEFT(AL7,1),$M$4),IF(RIGHT($P7,LEN($P7)-2)=RIGHT(AL7,LEN(AL7)-2),$M$5)))</f>
        <v>0</v>
      </c>
      <c r="AN7" t="s">
        <v>330</v>
      </c>
      <c r="AO7" s="200">
        <f>IF(ISBLANK($P7),0,SUM(IF(LEFT($P7,1)=LEFT(AN7,1),$M$4),IF(RIGHT($P7,LEN($P7)-2)=RIGHT(AN7,LEN(AN7)-2),$M$5)))</f>
        <v>0</v>
      </c>
      <c r="AP7" t="s">
        <v>346</v>
      </c>
      <c r="AQ7" s="200">
        <f>IF(ISBLANK($P7),0,SUM(IF(LEFT($P7,1)=LEFT(AP7,1),$M$4),IF(RIGHT($P7,LEN($P7)-2)=RIGHT(AP7,LEN(AP7)-2),$M$5)))</f>
        <v>0</v>
      </c>
      <c r="AR7" t="s">
        <v>262</v>
      </c>
      <c r="AS7" s="200">
        <f>IF(ISBLANK($P7),0,SUM(IF(LEFT($P7,1)=LEFT(AR7,1),$M$4),IF(RIGHT($P7,LEN($P7)-2)=RIGHT(AR7,LEN(AR7)-2),$M$5)))</f>
        <v>0</v>
      </c>
      <c r="AT7" t="s">
        <v>321</v>
      </c>
      <c r="AU7" s="200">
        <f>IF(ISBLANK($P7),0,SUM(IF(LEFT($P7,1)=LEFT(AT7,1),$M$4),IF(RIGHT($P7,LEN($P7)-2)=RIGHT(AT7,LEN(AT7)-2),$M$5)))</f>
        <v>0</v>
      </c>
      <c r="AV7" t="s">
        <v>323</v>
      </c>
      <c r="AW7" s="200">
        <f>IF(ISBLANK($P7),0,SUM(IF(LEFT($P7,1)=LEFT(AV7,1),$M$4),IF(RIGHT($P7,LEN($P7)-2)=RIGHT(AV7,LEN(AV7)-2),$M$5)))</f>
        <v>0</v>
      </c>
      <c r="AX7" t="s">
        <v>323</v>
      </c>
      <c r="AY7" s="200">
        <f>IF(ISBLANK($P7),0,SUM(IF(LEFT($P7,1)=LEFT(AX7,1),$M$4),IF(RIGHT($P7,LEN($P7)-2)=RIGHT(AX7,LEN(AX7)-2),$M$5)))</f>
        <v>0</v>
      </c>
      <c r="AZ7" t="s">
        <v>330</v>
      </c>
      <c r="BA7" s="200">
        <f>IF(ISBLANK($P7),0,SUM(IF(LEFT($P7,1)=LEFT(AZ7,1),$M$4),IF(RIGHT($P7,LEN($P7)-2)=RIGHT(AZ7,LEN(AZ7)-2),$M$5)))</f>
        <v>0</v>
      </c>
      <c r="BB7" t="s">
        <v>323</v>
      </c>
      <c r="BC7" s="200">
        <f>IF(ISBLANK($P7),0,SUM(IF(LEFT($P7,1)=LEFT(BB7,1),$M$4),IF(RIGHT($P7,LEN($P7)-2)=RIGHT(BB7,LEN(BB7)-2),$M$5)))</f>
        <v>0</v>
      </c>
      <c r="BD7" t="s">
        <v>323</v>
      </c>
      <c r="BE7" s="200">
        <f>IF(ISBLANK($P7),0,SUM(IF(LEFT($P7,1)=LEFT(BD7,1),$M$4),IF(RIGHT($P7,LEN($P7)-2)=RIGHT(BD7,LEN(BD7)-2),$M$5)))</f>
        <v>0</v>
      </c>
      <c r="BF7" t="s">
        <v>268</v>
      </c>
      <c r="BG7" s="200">
        <f>IF(ISBLANK($P7),0,SUM(IF(LEFT($P7,1)=LEFT(BF7,1),$M$4),IF(RIGHT($P7,LEN($P7)-2)=RIGHT(BF7,LEN(BF7)-2),$M$5)))</f>
        <v>0</v>
      </c>
      <c r="BH7" t="s">
        <v>262</v>
      </c>
      <c r="BI7" s="200">
        <f>IF(ISBLANK($P7),0,SUM(IF(LEFT($P7,1)=LEFT(BH7,1),$M$4),IF(RIGHT($P7,LEN($P7)-2)=RIGHT(BH7,LEN(BH7)-2),$M$5)))</f>
        <v>0</v>
      </c>
      <c r="BJ7" t="s">
        <v>330</v>
      </c>
      <c r="BK7" s="200">
        <f>IF(ISBLANK($P7),0,SUM(IF(LEFT($P7,1)=LEFT(BJ7,1),$M$4),IF(RIGHT($P7,LEN($P7)-2)=RIGHT(BJ7,LEN(BJ7)-2),$M$5)))</f>
        <v>0</v>
      </c>
      <c r="BL7" t="s">
        <v>262</v>
      </c>
      <c r="BM7" s="200">
        <f>IF(ISBLANK($P7),0,SUM(IF(LEFT($P7,1)=LEFT(BL7,1),$M$4),IF(RIGHT($P7,LEN($P7)-2)=RIGHT(BL7,LEN(BL7)-2),$M$5)))</f>
        <v>0</v>
      </c>
      <c r="BN7" t="s">
        <v>346</v>
      </c>
      <c r="BO7" s="200">
        <f>IF(ISBLANK($P7),0,SUM(IF(LEFT($P7,1)=LEFT(BN7,1),$M$4),IF(RIGHT($P7,LEN($P7)-2)=RIGHT(BN7,LEN(BN7)-2),$M$5)))</f>
        <v>0</v>
      </c>
      <c r="BP7" t="s">
        <v>330</v>
      </c>
      <c r="BQ7" s="200">
        <f>IF(ISBLANK($P7),0,SUM(IF(LEFT($P7,1)=LEFT(BP7,1),$M$4),IF(RIGHT($P7,LEN($P7)-2)=RIGHT(BP7,LEN(BP7)-2),$M$5)))</f>
        <v>0</v>
      </c>
      <c r="BR7" t="s">
        <v>323</v>
      </c>
      <c r="BS7" s="200">
        <f>IF(ISBLANK($P7),0,SUM(IF(LEFT($P7,1)=LEFT(BR7,1),$M$4),IF(RIGHT($P7,LEN($P7)-2)=RIGHT(BR7,LEN(BR7)-2),$M$5)))</f>
        <v>0</v>
      </c>
      <c r="BT7" t="s">
        <v>323</v>
      </c>
      <c r="BU7" s="200">
        <f>IF(ISBLANK($P7),0,SUM(IF(LEFT($P7,1)=LEFT(BT7,1),$M$4),IF(RIGHT($P7,LEN($P7)-2)=RIGHT(BT7,LEN(BT7)-2),$M$5)))</f>
        <v>0</v>
      </c>
      <c r="BV7" t="s">
        <v>323</v>
      </c>
      <c r="BW7" s="200">
        <f>IF(ISBLANK($P7),0,SUM(IF(LEFT($P7,1)=LEFT(BV7,1),$M$4),IF(RIGHT($P7,LEN($P7)-2)=RIGHT(BV7,LEN(BV7)-2),$M$5)))</f>
        <v>0</v>
      </c>
      <c r="BX7" t="s">
        <v>330</v>
      </c>
      <c r="BY7" s="200">
        <f>IF(ISBLANK($P7),0,SUM(IF(LEFT($P7,1)=LEFT(BX7,1),$M$4),IF(RIGHT($P7,LEN($P7)-2)=RIGHT(BX7,LEN(BX7)-2),$M$5)))</f>
        <v>0</v>
      </c>
      <c r="BZ7" t="s">
        <v>323</v>
      </c>
      <c r="CA7" s="200">
        <f>IF(ISBLANK($P7),0,SUM(IF(LEFT($P7,1)=LEFT(BZ7,1),$M$4),IF(RIGHT($P7,LEN($P7)-2)=RIGHT(BZ7,LEN(BZ7)-2),$M$5)))</f>
        <v>0</v>
      </c>
      <c r="CB7" t="s">
        <v>323</v>
      </c>
      <c r="CC7" s="200">
        <f>IF(ISBLANK($P7),0,SUM(IF(LEFT($P7,1)=LEFT(CB7,1),$M$4),IF(RIGHT($P7,LEN($P7)-2)=RIGHT(CB7,LEN(CB7)-2),$M$5)))</f>
        <v>0</v>
      </c>
      <c r="CD7" t="s">
        <v>323</v>
      </c>
      <c r="CE7" s="200">
        <f>IF(ISBLANK($P7),0,SUM(IF(LEFT($P7,1)=LEFT(CD7,1),$M$4),IF(RIGHT($P7,LEN($P7)-2)=RIGHT(CD7,LEN(CD7)-2),$M$5)))</f>
        <v>0</v>
      </c>
      <c r="CF7" s="197" t="s">
        <v>323</v>
      </c>
      <c r="CG7" s="200">
        <f>IF(ISBLANK($P7),0,SUM(IF(LEFT($P7,1)=LEFT(CF7,1),$M$4),IF(RIGHT($P7,LEN($P7)-2)=RIGHT(CF7,LEN(CF7)-2),$M$5)))</f>
        <v>0</v>
      </c>
      <c r="CH7" t="s">
        <v>330</v>
      </c>
      <c r="CI7" s="200">
        <f>IF(ISBLANK($P7),0,SUM(IF(LEFT($P7,1)=LEFT(CH7,1),$M$4),IF(RIGHT($P7,LEN($P7)-2)=RIGHT(CH7,LEN(CH7)-2),$M$5)))</f>
        <v>0</v>
      </c>
      <c r="CJ7" t="s">
        <v>330</v>
      </c>
      <c r="CK7" s="200">
        <f>IF(ISBLANK($P7),0,SUM(IF(LEFT($P7,1)=LEFT(CJ7,1),$M$4),IF(RIGHT($P7,LEN($P7)-2)=RIGHT(CJ7,LEN(CJ7)-2),$M$5)))</f>
        <v>0</v>
      </c>
      <c r="CL7" s="197" t="s">
        <v>330</v>
      </c>
      <c r="CM7" s="200">
        <f>IF(ISBLANK($P7),0,SUM(IF(LEFT($P7,1)=LEFT(CL7,1),$M$4),IF(RIGHT($P7,LEN($P7)-2)=RIGHT(CL7,LEN(CL7)-2),$M$5)))</f>
        <v>0</v>
      </c>
      <c r="CN7" t="s">
        <v>326</v>
      </c>
      <c r="CO7" s="200">
        <f>IF(ISBLANK($P7),0,SUM(IF(LEFT($P7,1)=LEFT(CN7,1),$M$4),IF(RIGHT($P7,LEN($P7)-2)=RIGHT(CN7,LEN(CN7)-2),$M$5)))</f>
        <v>0</v>
      </c>
      <c r="CP7" t="s">
        <v>323</v>
      </c>
      <c r="CQ7" s="200">
        <f>IF(ISBLANK($P7),0,SUM(IF(LEFT($P7,1)=LEFT(CP7,1),$M$4),IF(RIGHT($P7,LEN($P7)-2)=RIGHT(CP7,LEN(CP7)-2),$M$5)))</f>
        <v>0</v>
      </c>
      <c r="CR7" t="s">
        <v>271</v>
      </c>
      <c r="CS7" s="200">
        <f>IF(ISBLANK($P7),0,SUM(IF(LEFT($P7,1)=LEFT(CR7,1),$M$4),IF(RIGHT($P7,LEN($P7)-2)=RIGHT(CR7,LEN(CR7)-2),$M$5)))</f>
        <v>0</v>
      </c>
      <c r="CT7" s="197" t="s">
        <v>321</v>
      </c>
      <c r="CU7" s="200">
        <f>IF(ISBLANK($P7),0,SUM(IF(LEFT($P7,1)=LEFT(CT7,1),$M$4),IF(RIGHT($P7,LEN($P7)-2)=RIGHT(CT7,LEN(CT7)-2),$M$5)))</f>
        <v>0</v>
      </c>
      <c r="CV7" s="197" t="s">
        <v>323</v>
      </c>
      <c r="CW7" s="200">
        <f>IF(ISBLANK($P7),0,SUM(IF(LEFT($P7,1)=LEFT(CV7,1),$M$4),IF(RIGHT($P7,LEN($P7)-2)=RIGHT(CV7,LEN(CV7)-2),$M$5)))</f>
        <v>0</v>
      </c>
      <c r="CX7" s="197" t="s">
        <v>323</v>
      </c>
      <c r="CY7" s="200">
        <f>IF(ISBLANK($P7),0,SUM(IF(LEFT($P7,1)=LEFT(CX7,1),$M$4),IF(RIGHT($P7,LEN($P7)-2)=RIGHT(CX7,LEN(CX7)-2),$M$5)))</f>
        <v>0</v>
      </c>
      <c r="CZ7" s="197" t="s">
        <v>330</v>
      </c>
      <c r="DA7" s="200">
        <f>IF(ISBLANK($P7),0,SUM(IF(LEFT($P7,1)=LEFT(CZ7,1),$M$4),IF(RIGHT($P7,LEN($P7)-2)=RIGHT(CZ7,LEN(CZ7)-2),$M$5)))</f>
        <v>0</v>
      </c>
    </row>
    <row r="8" spans="1:107" x14ac:dyDescent="0.25">
      <c r="L8" s="187" t="s">
        <v>257</v>
      </c>
      <c r="M8" s="185">
        <v>2</v>
      </c>
      <c r="O8" s="10" t="s">
        <v>274</v>
      </c>
      <c r="P8" s="10"/>
      <c r="Q8" s="5"/>
      <c r="R8" s="97" t="s">
        <v>321</v>
      </c>
      <c r="S8" s="200">
        <f t="shared" ref="S8:U41" si="2">IF(ISBLANK($P8),0,SUM(IF(LEFT($P8,1)=LEFT(R8,1),$M$4),IF(RIGHT($P8,LEN($P8)-2)=RIGHT(R8,LEN(R8)-2),$M$5)))</f>
        <v>0</v>
      </c>
      <c r="T8" s="97" t="s">
        <v>323</v>
      </c>
      <c r="U8" s="200">
        <f t="shared" si="2"/>
        <v>0</v>
      </c>
      <c r="V8" s="97" t="s">
        <v>271</v>
      </c>
      <c r="W8" s="200">
        <f t="shared" ref="W8" si="3">IF(ISBLANK($P8),0,SUM(IF(LEFT($P8,1)=LEFT(V8,1),$M$4),IF(RIGHT($P8,LEN($P8)-2)=RIGHT(V8,LEN(V8)-2),$M$5)))</f>
        <v>0</v>
      </c>
      <c r="X8" s="97" t="s">
        <v>271</v>
      </c>
      <c r="Y8" s="200">
        <f t="shared" ref="Y8" si="4">IF(ISBLANK($P8),0,SUM(IF(LEFT($P8,1)=LEFT(X8,1),$M$4),IF(RIGHT($P8,LEN($P8)-2)=RIGHT(X8,LEN(X8)-2),$M$5)))</f>
        <v>0</v>
      </c>
      <c r="Z8" s="97" t="s">
        <v>271</v>
      </c>
      <c r="AA8" s="200">
        <f t="shared" ref="AA8" si="5">IF(ISBLANK($P8),0,SUM(IF(LEFT($P8,1)=LEFT(Z8,1),$M$4),IF(RIGHT($P8,LEN($P8)-2)=RIGHT(Z8,LEN(Z8)-2),$M$5)))</f>
        <v>0</v>
      </c>
      <c r="AB8" s="97" t="s">
        <v>262</v>
      </c>
      <c r="AC8" s="200">
        <f t="shared" ref="AC8" si="6">IF(ISBLANK($P8),0,SUM(IF(LEFT($P8,1)=LEFT(AB8,1),$M$4),IF(RIGHT($P8,LEN($P8)-2)=RIGHT(AB8,LEN(AB8)-2),$M$5)))</f>
        <v>0</v>
      </c>
      <c r="AD8" t="s">
        <v>262</v>
      </c>
      <c r="AE8" s="200">
        <f t="shared" ref="AE8" si="7">IF(ISBLANK($P8),0,SUM(IF(LEFT($P8,1)=LEFT(AD8,1),$M$4),IF(RIGHT($P8,LEN($P8)-2)=RIGHT(AD8,LEN(AD8)-2),$M$5)))</f>
        <v>0</v>
      </c>
      <c r="AF8" t="s">
        <v>262</v>
      </c>
      <c r="AG8" s="200">
        <f t="shared" ref="AG8" si="8">IF(ISBLANK($P8),0,SUM(IF(LEFT($P8,1)=LEFT(AF8,1),$M$4),IF(RIGHT($P8,LEN($P8)-2)=RIGHT(AF8,LEN(AF8)-2),$M$5)))</f>
        <v>0</v>
      </c>
      <c r="AH8" t="s">
        <v>271</v>
      </c>
      <c r="AI8" s="200">
        <f t="shared" ref="AI8" si="9">IF(ISBLANK($P8),0,SUM(IF(LEFT($P8,1)=LEFT(AH8,1),$M$4),IF(RIGHT($P8,LEN($P8)-2)=RIGHT(AH8,LEN(AH8)-2),$M$5)))</f>
        <v>0</v>
      </c>
      <c r="AJ8" t="s">
        <v>271</v>
      </c>
      <c r="AK8" s="200">
        <f t="shared" ref="AK8" si="10">IF(ISBLANK($P8),0,SUM(IF(LEFT($P8,1)=LEFT(AJ8,1),$M$4),IF(RIGHT($P8,LEN($P8)-2)=RIGHT(AJ8,LEN(AJ8)-2),$M$5)))</f>
        <v>0</v>
      </c>
      <c r="AL8" t="s">
        <v>271</v>
      </c>
      <c r="AM8" s="200">
        <f t="shared" ref="AM8" si="11">IF(ISBLANK($P8),0,SUM(IF(LEFT($P8,1)=LEFT(AL8,1),$M$4),IF(RIGHT($P8,LEN($P8)-2)=RIGHT(AL8,LEN(AL8)-2),$M$5)))</f>
        <v>0</v>
      </c>
      <c r="AN8" t="s">
        <v>262</v>
      </c>
      <c r="AO8" s="200">
        <f t="shared" ref="AO8" si="12">IF(ISBLANK($P8),0,SUM(IF(LEFT($P8,1)=LEFT(AN8,1),$M$4),IF(RIGHT($P8,LEN($P8)-2)=RIGHT(AN8,LEN(AN8)-2),$M$5)))</f>
        <v>0</v>
      </c>
      <c r="AP8" t="s">
        <v>323</v>
      </c>
      <c r="AQ8" s="200">
        <f t="shared" ref="AQ8" si="13">IF(ISBLANK($P8),0,SUM(IF(LEFT($P8,1)=LEFT(AP8,1),$M$4),IF(RIGHT($P8,LEN($P8)-2)=RIGHT(AP8,LEN(AP8)-2),$M$5)))</f>
        <v>0</v>
      </c>
      <c r="AR8" t="s">
        <v>321</v>
      </c>
      <c r="AS8" s="200">
        <f t="shared" ref="AS8" si="14">IF(ISBLANK($P8),0,SUM(IF(LEFT($P8,1)=LEFT(AR8,1),$M$4),IF(RIGHT($P8,LEN($P8)-2)=RIGHT(AR8,LEN(AR8)-2),$M$5)))</f>
        <v>0</v>
      </c>
      <c r="AT8" t="s">
        <v>262</v>
      </c>
      <c r="AU8" s="200">
        <f t="shared" ref="AU8" si="15">IF(ISBLANK($P8),0,SUM(IF(LEFT($P8,1)=LEFT(AT8,1),$M$4),IF(RIGHT($P8,LEN($P8)-2)=RIGHT(AT8,LEN(AT8)-2),$M$5)))</f>
        <v>0</v>
      </c>
      <c r="AV8" t="s">
        <v>323</v>
      </c>
      <c r="AW8" s="200">
        <f t="shared" ref="AW8" si="16">IF(ISBLANK($P8),0,SUM(IF(LEFT($P8,1)=LEFT(AV8,1),$M$4),IF(RIGHT($P8,LEN($P8)-2)=RIGHT(AV8,LEN(AV8)-2),$M$5)))</f>
        <v>0</v>
      </c>
      <c r="AX8" t="s">
        <v>268</v>
      </c>
      <c r="AY8" s="200">
        <f t="shared" ref="AY8" si="17">IF(ISBLANK($P8),0,SUM(IF(LEFT($P8,1)=LEFT(AX8,1),$M$4),IF(RIGHT($P8,LEN($P8)-2)=RIGHT(AX8,LEN(AX8)-2),$M$5)))</f>
        <v>0</v>
      </c>
      <c r="AZ8" t="s">
        <v>268</v>
      </c>
      <c r="BA8" s="200">
        <f t="shared" ref="BA8" si="18">IF(ISBLANK($P8),0,SUM(IF(LEFT($P8,1)=LEFT(AZ8,1),$M$4),IF(RIGHT($P8,LEN($P8)-2)=RIGHT(AZ8,LEN(AZ8)-2),$M$5)))</f>
        <v>0</v>
      </c>
      <c r="BB8" t="s">
        <v>321</v>
      </c>
      <c r="BC8" s="200">
        <f t="shared" ref="BC8" si="19">IF(ISBLANK($P8),0,SUM(IF(LEFT($P8,1)=LEFT(BB8,1),$M$4),IF(RIGHT($P8,LEN($P8)-2)=RIGHT(BB8,LEN(BB8)-2),$M$5)))</f>
        <v>0</v>
      </c>
      <c r="BD8" t="s">
        <v>271</v>
      </c>
      <c r="BE8" s="200">
        <f t="shared" ref="BE8" si="20">IF(ISBLANK($P8),0,SUM(IF(LEFT($P8,1)=LEFT(BD8,1),$M$4),IF(RIGHT($P8,LEN($P8)-2)=RIGHT(BD8,LEN(BD8)-2),$M$5)))</f>
        <v>0</v>
      </c>
      <c r="BF8" t="s">
        <v>271</v>
      </c>
      <c r="BG8" s="200">
        <f t="shared" ref="BG8" si="21">IF(ISBLANK($P8),0,SUM(IF(LEFT($P8,1)=LEFT(BF8,1),$M$4),IF(RIGHT($P8,LEN($P8)-2)=RIGHT(BF8,LEN(BF8)-2),$M$5)))</f>
        <v>0</v>
      </c>
      <c r="BH8" t="s">
        <v>271</v>
      </c>
      <c r="BI8" s="200">
        <f t="shared" ref="BI8" si="22">IF(ISBLANK($P8),0,SUM(IF(LEFT($P8,1)=LEFT(BH8,1),$M$4),IF(RIGHT($P8,LEN($P8)-2)=RIGHT(BH8,LEN(BH8)-2),$M$5)))</f>
        <v>0</v>
      </c>
      <c r="BJ8" t="s">
        <v>262</v>
      </c>
      <c r="BK8" s="200">
        <f t="shared" ref="BK8" si="23">IF(ISBLANK($P8),0,SUM(IF(LEFT($P8,1)=LEFT(BJ8,1),$M$4),IF(RIGHT($P8,LEN($P8)-2)=RIGHT(BJ8,LEN(BJ8)-2),$M$5)))</f>
        <v>0</v>
      </c>
      <c r="BL8" t="s">
        <v>323</v>
      </c>
      <c r="BM8" s="200">
        <f t="shared" ref="BM8" si="24">IF(ISBLANK($P8),0,SUM(IF(LEFT($P8,1)=LEFT(BL8,1),$M$4),IF(RIGHT($P8,LEN($P8)-2)=RIGHT(BL8,LEN(BL8)-2),$M$5)))</f>
        <v>0</v>
      </c>
      <c r="BN8" t="s">
        <v>323</v>
      </c>
      <c r="BO8" s="200">
        <f t="shared" ref="BO8" si="25">IF(ISBLANK($P8),0,SUM(IF(LEFT($P8,1)=LEFT(BN8,1),$M$4),IF(RIGHT($P8,LEN($P8)-2)=RIGHT(BN8,LEN(BN8)-2),$M$5)))</f>
        <v>0</v>
      </c>
      <c r="BP8" t="s">
        <v>271</v>
      </c>
      <c r="BQ8" s="200">
        <f t="shared" ref="BQ8" si="26">IF(ISBLANK($P8),0,SUM(IF(LEFT($P8,1)=LEFT(BP8,1),$M$4),IF(RIGHT($P8,LEN($P8)-2)=RIGHT(BP8,LEN(BP8)-2),$M$5)))</f>
        <v>0</v>
      </c>
      <c r="BR8" t="s">
        <v>321</v>
      </c>
      <c r="BS8" s="200">
        <f t="shared" ref="BS8" si="27">IF(ISBLANK($P8),0,SUM(IF(LEFT($P8,1)=LEFT(BR8,1),$M$4),IF(RIGHT($P8,LEN($P8)-2)=RIGHT(BR8,LEN(BR8)-2),$M$5)))</f>
        <v>0</v>
      </c>
      <c r="BT8" t="s">
        <v>271</v>
      </c>
      <c r="BU8" s="200">
        <f t="shared" ref="BU8" si="28">IF(ISBLANK($P8),0,SUM(IF(LEFT($P8,1)=LEFT(BT8,1),$M$4),IF(RIGHT($P8,LEN($P8)-2)=RIGHT(BT8,LEN(BT8)-2),$M$5)))</f>
        <v>0</v>
      </c>
      <c r="BV8" t="s">
        <v>323</v>
      </c>
      <c r="BW8" s="200">
        <f t="shared" ref="BW8" si="29">IF(ISBLANK($P8),0,SUM(IF(LEFT($P8,1)=LEFT(BV8,1),$M$4),IF(RIGHT($P8,LEN($P8)-2)=RIGHT(BV8,LEN(BV8)-2),$M$5)))</f>
        <v>0</v>
      </c>
      <c r="BX8" t="s">
        <v>330</v>
      </c>
      <c r="BY8" s="200">
        <f t="shared" ref="BY8" si="30">IF(ISBLANK($P8),0,SUM(IF(LEFT($P8,1)=LEFT(BX8,1),$M$4),IF(RIGHT($P8,LEN($P8)-2)=RIGHT(BX8,LEN(BX8)-2),$M$5)))</f>
        <v>0</v>
      </c>
      <c r="BZ8" t="s">
        <v>271</v>
      </c>
      <c r="CA8" s="200">
        <f t="shared" ref="CA8" si="31">IF(ISBLANK($P8),0,SUM(IF(LEFT($P8,1)=LEFT(BZ8,1),$M$4),IF(RIGHT($P8,LEN($P8)-2)=RIGHT(BZ8,LEN(BZ8)-2),$M$5)))</f>
        <v>0</v>
      </c>
      <c r="CB8" t="s">
        <v>271</v>
      </c>
      <c r="CC8" s="200">
        <f t="shared" ref="CC8" si="32">IF(ISBLANK($P8),0,SUM(IF(LEFT($P8,1)=LEFT(CB8,1),$M$4),IF(RIGHT($P8,LEN($P8)-2)=RIGHT(CB8,LEN(CB8)-2),$M$5)))</f>
        <v>0</v>
      </c>
      <c r="CD8" t="s">
        <v>271</v>
      </c>
      <c r="CE8" s="200">
        <f t="shared" ref="CE8" si="33">IF(ISBLANK($P8),0,SUM(IF(LEFT($P8,1)=LEFT(CD8,1),$M$4),IF(RIGHT($P8,LEN($P8)-2)=RIGHT(CD8,LEN(CD8)-2),$M$5)))</f>
        <v>0</v>
      </c>
      <c r="CF8" s="197" t="s">
        <v>323</v>
      </c>
      <c r="CG8" s="200">
        <f t="shared" ref="CG8" si="34">IF(ISBLANK($P8),0,SUM(IF(LEFT($P8,1)=LEFT(CF8,1),$M$4),IF(RIGHT($P8,LEN($P8)-2)=RIGHT(CF8,LEN(CF8)-2),$M$5)))</f>
        <v>0</v>
      </c>
      <c r="CH8" t="s">
        <v>323</v>
      </c>
      <c r="CI8" s="200">
        <f t="shared" ref="CI8" si="35">IF(ISBLANK($P8),0,SUM(IF(LEFT($P8,1)=LEFT(CH8,1),$M$4),IF(RIGHT($P8,LEN($P8)-2)=RIGHT(CH8,LEN(CH8)-2),$M$5)))</f>
        <v>0</v>
      </c>
      <c r="CJ8" t="s">
        <v>330</v>
      </c>
      <c r="CK8" s="200">
        <f t="shared" ref="CK8" si="36">IF(ISBLANK($P8),0,SUM(IF(LEFT($P8,1)=LEFT(CJ8,1),$M$4),IF(RIGHT($P8,LEN($P8)-2)=RIGHT(CJ8,LEN(CJ8)-2),$M$5)))</f>
        <v>0</v>
      </c>
      <c r="CL8" s="197" t="s">
        <v>323</v>
      </c>
      <c r="CM8" s="200">
        <f t="shared" ref="CM8" si="37">IF(ISBLANK($P8),0,SUM(IF(LEFT($P8,1)=LEFT(CL8,1),$M$4),IF(RIGHT($P8,LEN($P8)-2)=RIGHT(CL8,LEN(CL8)-2),$M$5)))</f>
        <v>0</v>
      </c>
      <c r="CN8" t="s">
        <v>271</v>
      </c>
      <c r="CO8" s="200">
        <f t="shared" ref="CO8" si="38">IF(ISBLANK($P8),0,SUM(IF(LEFT($P8,1)=LEFT(CN8,1),$M$4),IF(RIGHT($P8,LEN($P8)-2)=RIGHT(CN8,LEN(CN8)-2),$M$5)))</f>
        <v>0</v>
      </c>
      <c r="CP8" t="s">
        <v>308</v>
      </c>
      <c r="CQ8" s="200">
        <f t="shared" ref="CQ8" si="39">IF(ISBLANK($P8),0,SUM(IF(LEFT($P8,1)=LEFT(CP8,1),$M$4),IF(RIGHT($P8,LEN($P8)-2)=RIGHT(CP8,LEN(CP8)-2),$M$5)))</f>
        <v>0</v>
      </c>
      <c r="CR8" t="s">
        <v>308</v>
      </c>
      <c r="CS8" s="200">
        <f t="shared" ref="CS8" si="40">IF(ISBLANK($P8),0,SUM(IF(LEFT($P8,1)=LEFT(CR8,1),$M$4),IF(RIGHT($P8,LEN($P8)-2)=RIGHT(CR8,LEN(CR8)-2),$M$5)))</f>
        <v>0</v>
      </c>
      <c r="CT8" s="197" t="s">
        <v>322</v>
      </c>
      <c r="CU8" s="200">
        <f t="shared" ref="CU8" si="41">IF(ISBLANK($P8),0,SUM(IF(LEFT($P8,1)=LEFT(CT8,1),$M$4),IF(RIGHT($P8,LEN($P8)-2)=RIGHT(CT8,LEN(CT8)-2),$M$5)))</f>
        <v>0</v>
      </c>
      <c r="CV8" s="197" t="s">
        <v>271</v>
      </c>
      <c r="CW8" s="200">
        <f t="shared" ref="CW8" si="42">IF(ISBLANK($P8),0,SUM(IF(LEFT($P8,1)=LEFT(CV8,1),$M$4),IF(RIGHT($P8,LEN($P8)-2)=RIGHT(CV8,LEN(CV8)-2),$M$5)))</f>
        <v>0</v>
      </c>
      <c r="CX8" s="197" t="s">
        <v>321</v>
      </c>
      <c r="CY8" s="200">
        <f t="shared" ref="CY8" si="43">IF(ISBLANK($P8),0,SUM(IF(LEFT($P8,1)=LEFT(CX8,1),$M$4),IF(RIGHT($P8,LEN($P8)-2)=RIGHT(CX8,LEN(CX8)-2),$M$5)))</f>
        <v>0</v>
      </c>
      <c r="CZ8" s="197" t="s">
        <v>271</v>
      </c>
      <c r="DA8" s="200">
        <f t="shared" ref="DA8" si="44">IF(ISBLANK($P8),0,SUM(IF(LEFT($P8,1)=LEFT(CZ8,1),$M$4),IF(RIGHT($P8,LEN($P8)-2)=RIGHT(CZ8,LEN(CZ8)-2),$M$5)))</f>
        <v>0</v>
      </c>
    </row>
    <row r="9" spans="1:107" x14ac:dyDescent="0.25">
      <c r="L9" s="187" t="s">
        <v>258</v>
      </c>
      <c r="M9" s="185">
        <v>1</v>
      </c>
      <c r="O9" s="10" t="s">
        <v>275</v>
      </c>
      <c r="P9" s="10"/>
      <c r="Q9" s="5"/>
      <c r="R9" s="97" t="s">
        <v>322</v>
      </c>
      <c r="S9" s="200">
        <f t="shared" si="2"/>
        <v>0</v>
      </c>
      <c r="T9" s="97" t="s">
        <v>320</v>
      </c>
      <c r="U9" s="200">
        <f t="shared" si="2"/>
        <v>0</v>
      </c>
      <c r="V9" s="97" t="s">
        <v>320</v>
      </c>
      <c r="W9" s="200">
        <f t="shared" ref="W9" si="45">IF(ISBLANK($P9),0,SUM(IF(LEFT($P9,1)=LEFT(V9,1),$M$4),IF(RIGHT($P9,LEN($P9)-2)=RIGHT(V9,LEN(V9)-2),$M$5)))</f>
        <v>0</v>
      </c>
      <c r="X9" s="97" t="s">
        <v>320</v>
      </c>
      <c r="Y9" s="200">
        <f t="shared" ref="Y9" si="46">IF(ISBLANK($P9),0,SUM(IF(LEFT($P9,1)=LEFT(X9,1),$M$4),IF(RIGHT($P9,LEN($P9)-2)=RIGHT(X9,LEN(X9)-2),$M$5)))</f>
        <v>0</v>
      </c>
      <c r="Z9" s="97" t="s">
        <v>263</v>
      </c>
      <c r="AA9" s="200">
        <f t="shared" ref="AA9" si="47">IF(ISBLANK($P9),0,SUM(IF(LEFT($P9,1)=LEFT(Z9,1),$M$4),IF(RIGHT($P9,LEN($P9)-2)=RIGHT(Z9,LEN(Z9)-2),$M$5)))</f>
        <v>0</v>
      </c>
      <c r="AB9" s="97" t="s">
        <v>334</v>
      </c>
      <c r="AC9" s="200">
        <f t="shared" ref="AC9" si="48">IF(ISBLANK($P9),0,SUM(IF(LEFT($P9,1)=LEFT(AB9,1),$M$4),IF(RIGHT($P9,LEN($P9)-2)=RIGHT(AB9,LEN(AB9)-2),$M$5)))</f>
        <v>0</v>
      </c>
      <c r="AD9" t="s">
        <v>334</v>
      </c>
      <c r="AE9" s="200">
        <f t="shared" ref="AE9" si="49">IF(ISBLANK($P9),0,SUM(IF(LEFT($P9,1)=LEFT(AD9,1),$M$4),IF(RIGHT($P9,LEN($P9)-2)=RIGHT(AD9,LEN(AD9)-2),$M$5)))</f>
        <v>0</v>
      </c>
      <c r="AF9" t="s">
        <v>322</v>
      </c>
      <c r="AG9" s="200">
        <f t="shared" ref="AG9" si="50">IF(ISBLANK($P9),0,SUM(IF(LEFT($P9,1)=LEFT(AF9,1),$M$4),IF(RIGHT($P9,LEN($P9)-2)=RIGHT(AF9,LEN(AF9)-2),$M$5)))</f>
        <v>0</v>
      </c>
      <c r="AH9" t="s">
        <v>320</v>
      </c>
      <c r="AI9" s="200">
        <f t="shared" ref="AI9" si="51">IF(ISBLANK($P9),0,SUM(IF(LEFT($P9,1)=LEFT(AH9,1),$M$4),IF(RIGHT($P9,LEN($P9)-2)=RIGHT(AH9,LEN(AH9)-2),$M$5)))</f>
        <v>0</v>
      </c>
      <c r="AJ9" t="s">
        <v>322</v>
      </c>
      <c r="AK9" s="200">
        <f t="shared" ref="AK9" si="52">IF(ISBLANK($P9),0,SUM(IF(LEFT($P9,1)=LEFT(AJ9,1),$M$4),IF(RIGHT($P9,LEN($P9)-2)=RIGHT(AJ9,LEN(AJ9)-2),$M$5)))</f>
        <v>0</v>
      </c>
      <c r="AL9" t="s">
        <v>271</v>
      </c>
      <c r="AM9" s="200">
        <f t="shared" ref="AM9" si="53">IF(ISBLANK($P9),0,SUM(IF(LEFT($P9,1)=LEFT(AL9,1),$M$4),IF(RIGHT($P9,LEN($P9)-2)=RIGHT(AL9,LEN(AL9)-2),$M$5)))</f>
        <v>0</v>
      </c>
      <c r="AN9" t="s">
        <v>334</v>
      </c>
      <c r="AO9" s="200">
        <f t="shared" ref="AO9" si="54">IF(ISBLANK($P9),0,SUM(IF(LEFT($P9,1)=LEFT(AN9,1),$M$4),IF(RIGHT($P9,LEN($P9)-2)=RIGHT(AN9,LEN(AN9)-2),$M$5)))</f>
        <v>0</v>
      </c>
      <c r="AP9" t="s">
        <v>334</v>
      </c>
      <c r="AQ9" s="200">
        <f t="shared" ref="AQ9" si="55">IF(ISBLANK($P9),0,SUM(IF(LEFT($P9,1)=LEFT(AP9,1),$M$4),IF(RIGHT($P9,LEN($P9)-2)=RIGHT(AP9,LEN(AP9)-2),$M$5)))</f>
        <v>0</v>
      </c>
      <c r="AR9" t="s">
        <v>320</v>
      </c>
      <c r="AS9" s="200">
        <f t="shared" ref="AS9" si="56">IF(ISBLANK($P9),0,SUM(IF(LEFT($P9,1)=LEFT(AR9,1),$M$4),IF(RIGHT($P9,LEN($P9)-2)=RIGHT(AR9,LEN(AR9)-2),$M$5)))</f>
        <v>0</v>
      </c>
      <c r="AT9" t="s">
        <v>322</v>
      </c>
      <c r="AU9" s="200">
        <f t="shared" ref="AU9" si="57">IF(ISBLANK($P9),0,SUM(IF(LEFT($P9,1)=LEFT(AT9,1),$M$4),IF(RIGHT($P9,LEN($P9)-2)=RIGHT(AT9,LEN(AT9)-2),$M$5)))</f>
        <v>0</v>
      </c>
      <c r="AV9" t="s">
        <v>322</v>
      </c>
      <c r="AW9" s="200">
        <f t="shared" ref="AW9" si="58">IF(ISBLANK($P9),0,SUM(IF(LEFT($P9,1)=LEFT(AV9,1),$M$4),IF(RIGHT($P9,LEN($P9)-2)=RIGHT(AV9,LEN(AV9)-2),$M$5)))</f>
        <v>0</v>
      </c>
      <c r="AX9" t="s">
        <v>334</v>
      </c>
      <c r="AY9" s="200">
        <f t="shared" ref="AY9" si="59">IF(ISBLANK($P9),0,SUM(IF(LEFT($P9,1)=LEFT(AX9,1),$M$4),IF(RIGHT($P9,LEN($P9)-2)=RIGHT(AX9,LEN(AX9)-2),$M$5)))</f>
        <v>0</v>
      </c>
      <c r="AZ9" t="s">
        <v>320</v>
      </c>
      <c r="BA9" s="200">
        <f t="shared" ref="BA9" si="60">IF(ISBLANK($P9),0,SUM(IF(LEFT($P9,1)=LEFT(AZ9,1),$M$4),IF(RIGHT($P9,LEN($P9)-2)=RIGHT(AZ9,LEN(AZ9)-2),$M$5)))</f>
        <v>0</v>
      </c>
      <c r="BB9" t="s">
        <v>334</v>
      </c>
      <c r="BC9" s="200">
        <f t="shared" ref="BC9" si="61">IF(ISBLANK($P9),0,SUM(IF(LEFT($P9,1)=LEFT(BB9,1),$M$4),IF(RIGHT($P9,LEN($P9)-2)=RIGHT(BB9,LEN(BB9)-2),$M$5)))</f>
        <v>0</v>
      </c>
      <c r="BD9" t="s">
        <v>320</v>
      </c>
      <c r="BE9" s="200">
        <f t="shared" ref="BE9" si="62">IF(ISBLANK($P9),0,SUM(IF(LEFT($P9,1)=LEFT(BD9,1),$M$4),IF(RIGHT($P9,LEN($P9)-2)=RIGHT(BD9,LEN(BD9)-2),$M$5)))</f>
        <v>0</v>
      </c>
      <c r="BF9" t="s">
        <v>320</v>
      </c>
      <c r="BG9" s="200">
        <f t="shared" ref="BG9" si="63">IF(ISBLANK($P9),0,SUM(IF(LEFT($P9,1)=LEFT(BF9,1),$M$4),IF(RIGHT($P9,LEN($P9)-2)=RIGHT(BF9,LEN(BF9)-2),$M$5)))</f>
        <v>0</v>
      </c>
      <c r="BH9" t="s">
        <v>267</v>
      </c>
      <c r="BI9" s="200">
        <f t="shared" ref="BI9" si="64">IF(ISBLANK($P9),0,SUM(IF(LEFT($P9,1)=LEFT(BH9,1),$M$4),IF(RIGHT($P9,LEN($P9)-2)=RIGHT(BH9,LEN(BH9)-2),$M$5)))</f>
        <v>0</v>
      </c>
      <c r="BJ9" t="s">
        <v>263</v>
      </c>
      <c r="BK9" s="200">
        <f t="shared" ref="BK9" si="65">IF(ISBLANK($P9),0,SUM(IF(LEFT($P9,1)=LEFT(BJ9,1),$M$4),IF(RIGHT($P9,LEN($P9)-2)=RIGHT(BJ9,LEN(BJ9)-2),$M$5)))</f>
        <v>0</v>
      </c>
      <c r="BL9" t="s">
        <v>322</v>
      </c>
      <c r="BM9" s="200">
        <f t="shared" ref="BM9" si="66">IF(ISBLANK($P9),0,SUM(IF(LEFT($P9,1)=LEFT(BL9,1),$M$4),IF(RIGHT($P9,LEN($P9)-2)=RIGHT(BL9,LEN(BL9)-2),$M$5)))</f>
        <v>0</v>
      </c>
      <c r="BN9" t="s">
        <v>320</v>
      </c>
      <c r="BO9" s="200">
        <f t="shared" ref="BO9" si="67">IF(ISBLANK($P9),0,SUM(IF(LEFT($P9,1)=LEFT(BN9,1),$M$4),IF(RIGHT($P9,LEN($P9)-2)=RIGHT(BN9,LEN(BN9)-2),$M$5)))</f>
        <v>0</v>
      </c>
      <c r="BP9" t="s">
        <v>334</v>
      </c>
      <c r="BQ9" s="200">
        <f t="shared" ref="BQ9" si="68">IF(ISBLANK($P9),0,SUM(IF(LEFT($P9,1)=LEFT(BP9,1),$M$4),IF(RIGHT($P9,LEN($P9)-2)=RIGHT(BP9,LEN(BP9)-2),$M$5)))</f>
        <v>0</v>
      </c>
      <c r="BR9" t="s">
        <v>320</v>
      </c>
      <c r="BS9" s="200">
        <f t="shared" ref="BS9" si="69">IF(ISBLANK($P9),0,SUM(IF(LEFT($P9,1)=LEFT(BR9,1),$M$4),IF(RIGHT($P9,LEN($P9)-2)=RIGHT(BR9,LEN(BR9)-2),$M$5)))</f>
        <v>0</v>
      </c>
      <c r="BT9" t="s">
        <v>266</v>
      </c>
      <c r="BU9" s="200">
        <f t="shared" ref="BU9" si="70">IF(ISBLANK($P9),0,SUM(IF(LEFT($P9,1)=LEFT(BT9,1),$M$4),IF(RIGHT($P9,LEN($P9)-2)=RIGHT(BT9,LEN(BT9)-2),$M$5)))</f>
        <v>0</v>
      </c>
      <c r="BV9" t="s">
        <v>322</v>
      </c>
      <c r="BW9" s="200">
        <f t="shared" ref="BW9" si="71">IF(ISBLANK($P9),0,SUM(IF(LEFT($P9,1)=LEFT(BV9,1),$M$4),IF(RIGHT($P9,LEN($P9)-2)=RIGHT(BV9,LEN(BV9)-2),$M$5)))</f>
        <v>0</v>
      </c>
      <c r="BX9" t="s">
        <v>308</v>
      </c>
      <c r="BY9" s="200">
        <f t="shared" ref="BY9" si="72">IF(ISBLANK($P9),0,SUM(IF(LEFT($P9,1)=LEFT(BX9,1),$M$4),IF(RIGHT($P9,LEN($P9)-2)=RIGHT(BX9,LEN(BX9)-2),$M$5)))</f>
        <v>0</v>
      </c>
      <c r="BZ9" t="s">
        <v>320</v>
      </c>
      <c r="CA9" s="200">
        <f t="shared" ref="CA9" si="73">IF(ISBLANK($P9),0,SUM(IF(LEFT($P9,1)=LEFT(BZ9,1),$M$4),IF(RIGHT($P9,LEN($P9)-2)=RIGHT(BZ9,LEN(BZ9)-2),$M$5)))</f>
        <v>0</v>
      </c>
      <c r="CB9" t="s">
        <v>334</v>
      </c>
      <c r="CC9" s="200">
        <f t="shared" ref="CC9" si="74">IF(ISBLANK($P9),0,SUM(IF(LEFT($P9,1)=LEFT(CB9,1),$M$4),IF(RIGHT($P9,LEN($P9)-2)=RIGHT(CB9,LEN(CB9)-2),$M$5)))</f>
        <v>0</v>
      </c>
      <c r="CD9" t="s">
        <v>267</v>
      </c>
      <c r="CE9" s="200">
        <f t="shared" ref="CE9" si="75">IF(ISBLANK($P9),0,SUM(IF(LEFT($P9,1)=LEFT(CD9,1),$M$4),IF(RIGHT($P9,LEN($P9)-2)=RIGHT(CD9,LEN(CD9)-2),$M$5)))</f>
        <v>0</v>
      </c>
      <c r="CF9" s="197" t="s">
        <v>322</v>
      </c>
      <c r="CG9" s="200">
        <f t="shared" ref="CG9" si="76">IF(ISBLANK($P9),0,SUM(IF(LEFT($P9,1)=LEFT(CF9,1),$M$4),IF(RIGHT($P9,LEN($P9)-2)=RIGHT(CF9,LEN(CF9)-2),$M$5)))</f>
        <v>0</v>
      </c>
      <c r="CH9" t="s">
        <v>320</v>
      </c>
      <c r="CI9" s="200">
        <f t="shared" ref="CI9" si="77">IF(ISBLANK($P9),0,SUM(IF(LEFT($P9,1)=LEFT(CH9,1),$M$4),IF(RIGHT($P9,LEN($P9)-2)=RIGHT(CH9,LEN(CH9)-2),$M$5)))</f>
        <v>0</v>
      </c>
      <c r="CJ9" t="s">
        <v>334</v>
      </c>
      <c r="CK9" s="200">
        <f t="shared" ref="CK9" si="78">IF(ISBLANK($P9),0,SUM(IF(LEFT($P9,1)=LEFT(CJ9,1),$M$4),IF(RIGHT($P9,LEN($P9)-2)=RIGHT(CJ9,LEN(CJ9)-2),$M$5)))</f>
        <v>0</v>
      </c>
      <c r="CL9" s="197" t="s">
        <v>266</v>
      </c>
      <c r="CM9" s="200">
        <f t="shared" ref="CM9" si="79">IF(ISBLANK($P9),0,SUM(IF(LEFT($P9,1)=LEFT(CL9,1),$M$4),IF(RIGHT($P9,LEN($P9)-2)=RIGHT(CL9,LEN(CL9)-2),$M$5)))</f>
        <v>0</v>
      </c>
      <c r="CN9" t="s">
        <v>266</v>
      </c>
      <c r="CO9" s="200">
        <f t="shared" ref="CO9" si="80">IF(ISBLANK($P9),0,SUM(IF(LEFT($P9,1)=LEFT(CN9,1),$M$4),IF(RIGHT($P9,LEN($P9)-2)=RIGHT(CN9,LEN(CN9)-2),$M$5)))</f>
        <v>0</v>
      </c>
      <c r="CP9" t="s">
        <v>334</v>
      </c>
      <c r="CQ9" s="200">
        <f t="shared" ref="CQ9" si="81">IF(ISBLANK($P9),0,SUM(IF(LEFT($P9,1)=LEFT(CP9,1),$M$4),IF(RIGHT($P9,LEN($P9)-2)=RIGHT(CP9,LEN(CP9)-2),$M$5)))</f>
        <v>0</v>
      </c>
      <c r="CR9" t="s">
        <v>322</v>
      </c>
      <c r="CS9" s="200">
        <f t="shared" ref="CS9" si="82">IF(ISBLANK($P9),0,SUM(IF(LEFT($P9,1)=LEFT(CR9,1),$M$4),IF(RIGHT($P9,LEN($P9)-2)=RIGHT(CR9,LEN(CR9)-2),$M$5)))</f>
        <v>0</v>
      </c>
      <c r="CT9" s="197" t="s">
        <v>320</v>
      </c>
      <c r="CU9" s="200">
        <f t="shared" ref="CU9" si="83">IF(ISBLANK($P9),0,SUM(IF(LEFT($P9,1)=LEFT(CT9,1),$M$4),IF(RIGHT($P9,LEN($P9)-2)=RIGHT(CT9,LEN(CT9)-2),$M$5)))</f>
        <v>0</v>
      </c>
      <c r="CV9" s="197" t="s">
        <v>320</v>
      </c>
      <c r="CW9" s="200">
        <f t="shared" ref="CW9" si="84">IF(ISBLANK($P9),0,SUM(IF(LEFT($P9,1)=LEFT(CV9,1),$M$4),IF(RIGHT($P9,LEN($P9)-2)=RIGHT(CV9,LEN(CV9)-2),$M$5)))</f>
        <v>0</v>
      </c>
      <c r="CX9" s="197" t="s">
        <v>320</v>
      </c>
      <c r="CY9" s="200">
        <f t="shared" ref="CY9" si="85">IF(ISBLANK($P9),0,SUM(IF(LEFT($P9,1)=LEFT(CX9,1),$M$4),IF(RIGHT($P9,LEN($P9)-2)=RIGHT(CX9,LEN(CX9)-2),$M$5)))</f>
        <v>0</v>
      </c>
      <c r="CZ9" s="197" t="s">
        <v>263</v>
      </c>
      <c r="DA9" s="200">
        <f t="shared" ref="DA9" si="86">IF(ISBLANK($P9),0,SUM(IF(LEFT($P9,1)=LEFT(CZ9,1),$M$4),IF(RIGHT($P9,LEN($P9)-2)=RIGHT(CZ9,LEN(CZ9)-2),$M$5)))</f>
        <v>0</v>
      </c>
    </row>
    <row r="10" spans="1:107" x14ac:dyDescent="0.25">
      <c r="L10" s="187" t="s">
        <v>250</v>
      </c>
      <c r="M10" s="185">
        <v>2</v>
      </c>
      <c r="O10" s="10" t="s">
        <v>276</v>
      </c>
      <c r="P10" s="10"/>
      <c r="Q10" s="5"/>
      <c r="R10" s="97" t="s">
        <v>308</v>
      </c>
      <c r="S10" s="200">
        <f t="shared" si="2"/>
        <v>0</v>
      </c>
      <c r="T10" s="97" t="s">
        <v>268</v>
      </c>
      <c r="U10" s="200">
        <f t="shared" si="2"/>
        <v>0</v>
      </c>
      <c r="V10" s="97" t="s">
        <v>267</v>
      </c>
      <c r="W10" s="200">
        <f t="shared" ref="W10" si="87">IF(ISBLANK($P10),0,SUM(IF(LEFT($P10,1)=LEFT(V10,1),$M$4),IF(RIGHT($P10,LEN($P10)-2)=RIGHT(V10,LEN(V10)-2),$M$5)))</f>
        <v>0</v>
      </c>
      <c r="X10" s="97" t="s">
        <v>322</v>
      </c>
      <c r="Y10" s="200">
        <f t="shared" ref="Y10" si="88">IF(ISBLANK($P10),0,SUM(IF(LEFT($P10,1)=LEFT(X10,1),$M$4),IF(RIGHT($P10,LEN($P10)-2)=RIGHT(X10,LEN(X10)-2),$M$5)))</f>
        <v>0</v>
      </c>
      <c r="Z10" s="97" t="s">
        <v>308</v>
      </c>
      <c r="AA10" s="200">
        <f t="shared" ref="AA10" si="89">IF(ISBLANK($P10),0,SUM(IF(LEFT($P10,1)=LEFT(Z10,1),$M$4),IF(RIGHT($P10,LEN($P10)-2)=RIGHT(Z10,LEN(Z10)-2),$M$5)))</f>
        <v>0</v>
      </c>
      <c r="AB10" s="97" t="s">
        <v>308</v>
      </c>
      <c r="AC10" s="200">
        <f t="shared" ref="AC10" si="90">IF(ISBLANK($P10),0,SUM(IF(LEFT($P10,1)=LEFT(AB10,1),$M$4),IF(RIGHT($P10,LEN($P10)-2)=RIGHT(AB10,LEN(AB10)-2),$M$5)))</f>
        <v>0</v>
      </c>
      <c r="AD10" t="s">
        <v>308</v>
      </c>
      <c r="AE10" s="200">
        <f t="shared" ref="AE10" si="91">IF(ISBLANK($P10),0,SUM(IF(LEFT($P10,1)=LEFT(AD10,1),$M$4),IF(RIGHT($P10,LEN($P10)-2)=RIGHT(AD10,LEN(AD10)-2),$M$5)))</f>
        <v>0</v>
      </c>
      <c r="AF10" t="s">
        <v>323</v>
      </c>
      <c r="AG10" s="200">
        <f t="shared" ref="AG10" si="92">IF(ISBLANK($P10),0,SUM(IF(LEFT($P10,1)=LEFT(AF10,1),$M$4),IF(RIGHT($P10,LEN($P10)-2)=RIGHT(AF10,LEN(AF10)-2),$M$5)))</f>
        <v>0</v>
      </c>
      <c r="AH10" t="s">
        <v>267</v>
      </c>
      <c r="AI10" s="200">
        <f t="shared" ref="AI10" si="93">IF(ISBLANK($P10),0,SUM(IF(LEFT($P10,1)=LEFT(AH10,1),$M$4),IF(RIGHT($P10,LEN($P10)-2)=RIGHT(AH10,LEN(AH10)-2),$M$5)))</f>
        <v>0</v>
      </c>
      <c r="AJ10" t="s">
        <v>308</v>
      </c>
      <c r="AK10" s="200">
        <f t="shared" ref="AK10" si="94">IF(ISBLANK($P10),0,SUM(IF(LEFT($P10,1)=LEFT(AJ10,1),$M$4),IF(RIGHT($P10,LEN($P10)-2)=RIGHT(AJ10,LEN(AJ10)-2),$M$5)))</f>
        <v>0</v>
      </c>
      <c r="AL10" t="s">
        <v>262</v>
      </c>
      <c r="AM10" s="200">
        <f t="shared" ref="AM10" si="95">IF(ISBLANK($P10),0,SUM(IF(LEFT($P10,1)=LEFT(AL10,1),$M$4),IF(RIGHT($P10,LEN($P10)-2)=RIGHT(AL10,LEN(AL10)-2),$M$5)))</f>
        <v>0</v>
      </c>
      <c r="AN10" t="s">
        <v>267</v>
      </c>
      <c r="AO10" s="200">
        <f t="shared" ref="AO10" si="96">IF(ISBLANK($P10),0,SUM(IF(LEFT($P10,1)=LEFT(AN10,1),$M$4),IF(RIGHT($P10,LEN($P10)-2)=RIGHT(AN10,LEN(AN10)-2),$M$5)))</f>
        <v>0</v>
      </c>
      <c r="AP10" t="s">
        <v>322</v>
      </c>
      <c r="AQ10" s="200">
        <f t="shared" ref="AQ10" si="97">IF(ISBLANK($P10),0,SUM(IF(LEFT($P10,1)=LEFT(AP10,1),$M$4),IF(RIGHT($P10,LEN($P10)-2)=RIGHT(AP10,LEN(AP10)-2),$M$5)))</f>
        <v>0</v>
      </c>
      <c r="AR10" t="s">
        <v>271</v>
      </c>
      <c r="AS10" s="200">
        <f t="shared" ref="AS10" si="98">IF(ISBLANK($P10),0,SUM(IF(LEFT($P10,1)=LEFT(AR10,1),$M$4),IF(RIGHT($P10,LEN($P10)-2)=RIGHT(AR10,LEN(AR10)-2),$M$5)))</f>
        <v>0</v>
      </c>
      <c r="AT10" t="s">
        <v>271</v>
      </c>
      <c r="AU10" s="200">
        <f t="shared" ref="AU10" si="99">IF(ISBLANK($P10),0,SUM(IF(LEFT($P10,1)=LEFT(AT10,1),$M$4),IF(RIGHT($P10,LEN($P10)-2)=RIGHT(AT10,LEN(AT10)-2),$M$5)))</f>
        <v>0</v>
      </c>
      <c r="AV10" t="s">
        <v>323</v>
      </c>
      <c r="AW10" s="200">
        <f t="shared" ref="AW10" si="100">IF(ISBLANK($P10),0,SUM(IF(LEFT($P10,1)=LEFT(AV10,1),$M$4),IF(RIGHT($P10,LEN($P10)-2)=RIGHT(AV10,LEN(AV10)-2),$M$5)))</f>
        <v>0</v>
      </c>
      <c r="AX10" t="s">
        <v>271</v>
      </c>
      <c r="AY10" s="200">
        <f t="shared" ref="AY10" si="101">IF(ISBLANK($P10),0,SUM(IF(LEFT($P10,1)=LEFT(AX10,1),$M$4),IF(RIGHT($P10,LEN($P10)-2)=RIGHT(AX10,LEN(AX10)-2),$M$5)))</f>
        <v>0</v>
      </c>
      <c r="AZ10" t="s">
        <v>322</v>
      </c>
      <c r="BA10" s="200">
        <f t="shared" ref="BA10" si="102">IF(ISBLANK($P10),0,SUM(IF(LEFT($P10,1)=LEFT(AZ10,1),$M$4),IF(RIGHT($P10,LEN($P10)-2)=RIGHT(AZ10,LEN(AZ10)-2),$M$5)))</f>
        <v>0</v>
      </c>
      <c r="BB10" t="s">
        <v>308</v>
      </c>
      <c r="BC10" s="200">
        <f t="shared" ref="BC10" si="103">IF(ISBLANK($P10),0,SUM(IF(LEFT($P10,1)=LEFT(BB10,1),$M$4),IF(RIGHT($P10,LEN($P10)-2)=RIGHT(BB10,LEN(BB10)-2),$M$5)))</f>
        <v>0</v>
      </c>
      <c r="BD10" t="s">
        <v>322</v>
      </c>
      <c r="BE10" s="200">
        <f t="shared" ref="BE10" si="104">IF(ISBLANK($P10),0,SUM(IF(LEFT($P10,1)=LEFT(BD10,1),$M$4),IF(RIGHT($P10,LEN($P10)-2)=RIGHT(BD10,LEN(BD10)-2),$M$5)))</f>
        <v>0</v>
      </c>
      <c r="BF10" t="s">
        <v>271</v>
      </c>
      <c r="BG10" s="200">
        <f t="shared" ref="BG10" si="105">IF(ISBLANK($P10),0,SUM(IF(LEFT($P10,1)=LEFT(BF10,1),$M$4),IF(RIGHT($P10,LEN($P10)-2)=RIGHT(BF10,LEN(BF10)-2),$M$5)))</f>
        <v>0</v>
      </c>
      <c r="BH10" t="s">
        <v>262</v>
      </c>
      <c r="BI10" s="200">
        <f t="shared" ref="BI10" si="106">IF(ISBLANK($P10),0,SUM(IF(LEFT($P10,1)=LEFT(BH10,1),$M$4),IF(RIGHT($P10,LEN($P10)-2)=RIGHT(BH10,LEN(BH10)-2),$M$5)))</f>
        <v>0</v>
      </c>
      <c r="BJ10" t="s">
        <v>271</v>
      </c>
      <c r="BK10" s="200">
        <f t="shared" ref="BK10" si="107">IF(ISBLANK($P10),0,SUM(IF(LEFT($P10,1)=LEFT(BJ10,1),$M$4),IF(RIGHT($P10,LEN($P10)-2)=RIGHT(BJ10,LEN(BJ10)-2),$M$5)))</f>
        <v>0</v>
      </c>
      <c r="BL10" t="s">
        <v>271</v>
      </c>
      <c r="BM10" s="200">
        <f t="shared" ref="BM10" si="108">IF(ISBLANK($P10),0,SUM(IF(LEFT($P10,1)=LEFT(BL10,1),$M$4),IF(RIGHT($P10,LEN($P10)-2)=RIGHT(BL10,LEN(BL10)-2),$M$5)))</f>
        <v>0</v>
      </c>
      <c r="BN10" t="s">
        <v>320</v>
      </c>
      <c r="BO10" s="200">
        <f t="shared" ref="BO10" si="109">IF(ISBLANK($P10),0,SUM(IF(LEFT($P10,1)=LEFT(BN10,1),$M$4),IF(RIGHT($P10,LEN($P10)-2)=RIGHT(BN10,LEN(BN10)-2),$M$5)))</f>
        <v>0</v>
      </c>
      <c r="BP10" t="s">
        <v>308</v>
      </c>
      <c r="BQ10" s="200">
        <f t="shared" ref="BQ10" si="110">IF(ISBLANK($P10),0,SUM(IF(LEFT($P10,1)=LEFT(BP10,1),$M$4),IF(RIGHT($P10,LEN($P10)-2)=RIGHT(BP10,LEN(BP10)-2),$M$5)))</f>
        <v>0</v>
      </c>
      <c r="BR10" t="s">
        <v>308</v>
      </c>
      <c r="BS10" s="200">
        <f t="shared" ref="BS10" si="111">IF(ISBLANK($P10),0,SUM(IF(LEFT($P10,1)=LEFT(BR10,1),$M$4),IF(RIGHT($P10,LEN($P10)-2)=RIGHT(BR10,LEN(BR10)-2),$M$5)))</f>
        <v>0</v>
      </c>
      <c r="BT10" t="s">
        <v>267</v>
      </c>
      <c r="BU10" s="200">
        <f t="shared" ref="BU10" si="112">IF(ISBLANK($P10),0,SUM(IF(LEFT($P10,1)=LEFT(BT10,1),$M$4),IF(RIGHT($P10,LEN($P10)-2)=RIGHT(BT10,LEN(BT10)-2),$M$5)))</f>
        <v>0</v>
      </c>
      <c r="BV10" t="s">
        <v>322</v>
      </c>
      <c r="BW10" s="200">
        <f t="shared" ref="BW10" si="113">IF(ISBLANK($P10),0,SUM(IF(LEFT($P10,1)=LEFT(BV10,1),$M$4),IF(RIGHT($P10,LEN($P10)-2)=RIGHT(BV10,LEN(BV10)-2),$M$5)))</f>
        <v>0</v>
      </c>
      <c r="BX10" t="s">
        <v>323</v>
      </c>
      <c r="BY10" s="200">
        <f t="shared" ref="BY10" si="114">IF(ISBLANK($P10),0,SUM(IF(LEFT($P10,1)=LEFT(BX10,1),$M$4),IF(RIGHT($P10,LEN($P10)-2)=RIGHT(BX10,LEN(BX10)-2),$M$5)))</f>
        <v>0</v>
      </c>
      <c r="BZ10" t="s">
        <v>322</v>
      </c>
      <c r="CA10" s="200">
        <f t="shared" ref="CA10" si="115">IF(ISBLANK($P10),0,SUM(IF(LEFT($P10,1)=LEFT(BZ10,1),$M$4),IF(RIGHT($P10,LEN($P10)-2)=RIGHT(BZ10,LEN(BZ10)-2),$M$5)))</f>
        <v>0</v>
      </c>
      <c r="CB10" t="s">
        <v>308</v>
      </c>
      <c r="CC10" s="200">
        <f t="shared" ref="CC10" si="116">IF(ISBLANK($P10),0,SUM(IF(LEFT($P10,1)=LEFT(CB10,1),$M$4),IF(RIGHT($P10,LEN($P10)-2)=RIGHT(CB10,LEN(CB10)-2),$M$5)))</f>
        <v>0</v>
      </c>
      <c r="CD10" t="s">
        <v>308</v>
      </c>
      <c r="CE10" s="200">
        <f t="shared" ref="CE10" si="117">IF(ISBLANK($P10),0,SUM(IF(LEFT($P10,1)=LEFT(CD10,1),$M$4),IF(RIGHT($P10,LEN($P10)-2)=RIGHT(CD10,LEN(CD10)-2),$M$5)))</f>
        <v>0</v>
      </c>
      <c r="CF10" s="197" t="s">
        <v>308</v>
      </c>
      <c r="CG10" s="200">
        <f t="shared" ref="CG10" si="118">IF(ISBLANK($P10),0,SUM(IF(LEFT($P10,1)=LEFT(CF10,1),$M$4),IF(RIGHT($P10,LEN($P10)-2)=RIGHT(CF10,LEN(CF10)-2),$M$5)))</f>
        <v>0</v>
      </c>
      <c r="CH10" t="s">
        <v>330</v>
      </c>
      <c r="CI10" s="200">
        <f t="shared" ref="CI10" si="119">IF(ISBLANK($P10),0,SUM(IF(LEFT($P10,1)=LEFT(CH10,1),$M$4),IF(RIGHT($P10,LEN($P10)-2)=RIGHT(CH10,LEN(CH10)-2),$M$5)))</f>
        <v>0</v>
      </c>
      <c r="CJ10" t="s">
        <v>308</v>
      </c>
      <c r="CK10" s="200">
        <f t="shared" ref="CK10" si="120">IF(ISBLANK($P10),0,SUM(IF(LEFT($P10,1)=LEFT(CJ10,1),$M$4),IF(RIGHT($P10,LEN($P10)-2)=RIGHT(CJ10,LEN(CJ10)-2),$M$5)))</f>
        <v>0</v>
      </c>
      <c r="CL10" s="197" t="s">
        <v>308</v>
      </c>
      <c r="CM10" s="200">
        <f t="shared" ref="CM10" si="121">IF(ISBLANK($P10),0,SUM(IF(LEFT($P10,1)=LEFT(CL10,1),$M$4),IF(RIGHT($P10,LEN($P10)-2)=RIGHT(CL10,LEN(CL10)-2),$M$5)))</f>
        <v>0</v>
      </c>
      <c r="CN10" t="s">
        <v>268</v>
      </c>
      <c r="CO10" s="200">
        <f t="shared" ref="CO10" si="122">IF(ISBLANK($P10),0,SUM(IF(LEFT($P10,1)=LEFT(CN10,1),$M$4),IF(RIGHT($P10,LEN($P10)-2)=RIGHT(CN10,LEN(CN10)-2),$M$5)))</f>
        <v>0</v>
      </c>
      <c r="CP10" t="s">
        <v>308</v>
      </c>
      <c r="CQ10" s="200">
        <f t="shared" ref="CQ10" si="123">IF(ISBLANK($P10),0,SUM(IF(LEFT($P10,1)=LEFT(CP10,1),$M$4),IF(RIGHT($P10,LEN($P10)-2)=RIGHT(CP10,LEN(CP10)-2),$M$5)))</f>
        <v>0</v>
      </c>
      <c r="CR10" t="s">
        <v>264</v>
      </c>
      <c r="CS10" s="200">
        <f t="shared" ref="CS10" si="124">IF(ISBLANK($P10),0,SUM(IF(LEFT($P10,1)=LEFT(CR10,1),$M$4),IF(RIGHT($P10,LEN($P10)-2)=RIGHT(CR10,LEN(CR10)-2),$M$5)))</f>
        <v>0</v>
      </c>
      <c r="CT10" s="197" t="s">
        <v>308</v>
      </c>
      <c r="CU10" s="200">
        <f t="shared" ref="CU10" si="125">IF(ISBLANK($P10),0,SUM(IF(LEFT($P10,1)=LEFT(CT10,1),$M$4),IF(RIGHT($P10,LEN($P10)-2)=RIGHT(CT10,LEN(CT10)-2),$M$5)))</f>
        <v>0</v>
      </c>
      <c r="CV10" s="197" t="s">
        <v>322</v>
      </c>
      <c r="CW10" s="200">
        <f t="shared" ref="CW10" si="126">IF(ISBLANK($P10),0,SUM(IF(LEFT($P10,1)=LEFT(CV10,1),$M$4),IF(RIGHT($P10,LEN($P10)-2)=RIGHT(CV10,LEN(CV10)-2),$M$5)))</f>
        <v>0</v>
      </c>
      <c r="CX10" s="197" t="s">
        <v>271</v>
      </c>
      <c r="CY10" s="200">
        <f t="shared" ref="CY10" si="127">IF(ISBLANK($P10),0,SUM(IF(LEFT($P10,1)=LEFT(CX10,1),$M$4),IF(RIGHT($P10,LEN($P10)-2)=RIGHT(CX10,LEN(CX10)-2),$M$5)))</f>
        <v>0</v>
      </c>
      <c r="CZ10" s="197" t="s">
        <v>322</v>
      </c>
      <c r="DA10" s="200">
        <f t="shared" ref="DA10" si="128">IF(ISBLANK($P10),0,SUM(IF(LEFT($P10,1)=LEFT(CZ10,1),$M$4),IF(RIGHT($P10,LEN($P10)-2)=RIGHT(CZ10,LEN(CZ10)-2),$M$5)))</f>
        <v>0</v>
      </c>
    </row>
    <row r="11" spans="1:107" x14ac:dyDescent="0.25">
      <c r="L11" s="187" t="s">
        <v>249</v>
      </c>
      <c r="M11" s="185">
        <v>5</v>
      </c>
      <c r="O11" s="10" t="s">
        <v>277</v>
      </c>
      <c r="P11" s="10"/>
      <c r="Q11" s="5"/>
      <c r="R11" s="97" t="s">
        <v>262</v>
      </c>
      <c r="S11" s="200">
        <f t="shared" si="2"/>
        <v>0</v>
      </c>
      <c r="T11" s="97" t="s">
        <v>326</v>
      </c>
      <c r="U11" s="200">
        <f t="shared" si="2"/>
        <v>0</v>
      </c>
      <c r="V11" s="97" t="s">
        <v>271</v>
      </c>
      <c r="W11" s="200">
        <f t="shared" ref="W11" si="129">IF(ISBLANK($P11),0,SUM(IF(LEFT($P11,1)=LEFT(V11,1),$M$4),IF(RIGHT($P11,LEN($P11)-2)=RIGHT(V11,LEN(V11)-2),$M$5)))</f>
        <v>0</v>
      </c>
      <c r="X11" s="97" t="s">
        <v>262</v>
      </c>
      <c r="Y11" s="200">
        <f t="shared" ref="Y11" si="130">IF(ISBLANK($P11),0,SUM(IF(LEFT($P11,1)=LEFT(X11,1),$M$4),IF(RIGHT($P11,LEN($P11)-2)=RIGHT(X11,LEN(X11)-2),$M$5)))</f>
        <v>0</v>
      </c>
      <c r="Z11" s="97" t="s">
        <v>321</v>
      </c>
      <c r="AA11" s="200">
        <f t="shared" ref="AA11" si="131">IF(ISBLANK($P11),0,SUM(IF(LEFT($P11,1)=LEFT(Z11,1),$M$4),IF(RIGHT($P11,LEN($P11)-2)=RIGHT(Z11,LEN(Z11)-2),$M$5)))</f>
        <v>0</v>
      </c>
      <c r="AB11" s="97" t="s">
        <v>335</v>
      </c>
      <c r="AC11" s="200">
        <f t="shared" ref="AC11" si="132">IF(ISBLANK($P11),0,SUM(IF(LEFT($P11,1)=LEFT(AB11,1),$M$4),IF(RIGHT($P11,LEN($P11)-2)=RIGHT(AB11,LEN(AB11)-2),$M$5)))</f>
        <v>0</v>
      </c>
      <c r="AD11" t="s">
        <v>262</v>
      </c>
      <c r="AE11" s="200">
        <f t="shared" ref="AE11" si="133">IF(ISBLANK($P11),0,SUM(IF(LEFT($P11,1)=LEFT(AD11,1),$M$4),IF(RIGHT($P11,LEN($P11)-2)=RIGHT(AD11,LEN(AD11)-2),$M$5)))</f>
        <v>0</v>
      </c>
      <c r="AF11" t="s">
        <v>271</v>
      </c>
      <c r="AG11" s="200">
        <f t="shared" ref="AG11" si="134">IF(ISBLANK($P11),0,SUM(IF(LEFT($P11,1)=LEFT(AF11,1),$M$4),IF(RIGHT($P11,LEN($P11)-2)=RIGHT(AF11,LEN(AF11)-2),$M$5)))</f>
        <v>0</v>
      </c>
      <c r="AH11" t="s">
        <v>262</v>
      </c>
      <c r="AI11" s="200">
        <f t="shared" ref="AI11" si="135">IF(ISBLANK($P11),0,SUM(IF(LEFT($P11,1)=LEFT(AH11,1),$M$4),IF(RIGHT($P11,LEN($P11)-2)=RIGHT(AH11,LEN(AH11)-2),$M$5)))</f>
        <v>0</v>
      </c>
      <c r="AJ11" t="s">
        <v>262</v>
      </c>
      <c r="AK11" s="200">
        <f t="shared" ref="AK11" si="136">IF(ISBLANK($P11),0,SUM(IF(LEFT($P11,1)=LEFT(AJ11,1),$M$4),IF(RIGHT($P11,LEN($P11)-2)=RIGHT(AJ11,LEN(AJ11)-2),$M$5)))</f>
        <v>0</v>
      </c>
      <c r="AL11" t="s">
        <v>326</v>
      </c>
      <c r="AM11" s="200">
        <f t="shared" ref="AM11" si="137">IF(ISBLANK($P11),0,SUM(IF(LEFT($P11,1)=LEFT(AL11,1),$M$4),IF(RIGHT($P11,LEN($P11)-2)=RIGHT(AL11,LEN(AL11)-2),$M$5)))</f>
        <v>0</v>
      </c>
      <c r="AN11" t="s">
        <v>326</v>
      </c>
      <c r="AO11" s="200">
        <f t="shared" ref="AO11" si="138">IF(ISBLANK($P11),0,SUM(IF(LEFT($P11,1)=LEFT(AN11,1),$M$4),IF(RIGHT($P11,LEN($P11)-2)=RIGHT(AN11,LEN(AN11)-2),$M$5)))</f>
        <v>0</v>
      </c>
      <c r="AP11" t="s">
        <v>330</v>
      </c>
      <c r="AQ11" s="200">
        <f t="shared" ref="AQ11" si="139">IF(ISBLANK($P11),0,SUM(IF(LEFT($P11,1)=LEFT(AP11,1),$M$4),IF(RIGHT($P11,LEN($P11)-2)=RIGHT(AP11,LEN(AP11)-2),$M$5)))</f>
        <v>0</v>
      </c>
      <c r="AR11" t="s">
        <v>323</v>
      </c>
      <c r="AS11" s="200">
        <f t="shared" ref="AS11" si="140">IF(ISBLANK($P11),0,SUM(IF(LEFT($P11,1)=LEFT(AR11,1),$M$4),IF(RIGHT($P11,LEN($P11)-2)=RIGHT(AR11,LEN(AR11)-2),$M$5)))</f>
        <v>0</v>
      </c>
      <c r="AT11" t="s">
        <v>271</v>
      </c>
      <c r="AU11" s="200">
        <f t="shared" ref="AU11" si="141">IF(ISBLANK($P11),0,SUM(IF(LEFT($P11,1)=LEFT(AT11,1),$M$4),IF(RIGHT($P11,LEN($P11)-2)=RIGHT(AT11,LEN(AT11)-2),$M$5)))</f>
        <v>0</v>
      </c>
      <c r="AV11" t="s">
        <v>262</v>
      </c>
      <c r="AW11" s="200">
        <f t="shared" ref="AW11" si="142">IF(ISBLANK($P11),0,SUM(IF(LEFT($P11,1)=LEFT(AV11,1),$M$4),IF(RIGHT($P11,LEN($P11)-2)=RIGHT(AV11,LEN(AV11)-2),$M$5)))</f>
        <v>0</v>
      </c>
      <c r="AX11" t="s">
        <v>330</v>
      </c>
      <c r="AY11" s="200">
        <f t="shared" ref="AY11" si="143">IF(ISBLANK($P11),0,SUM(IF(LEFT($P11,1)=LEFT(AX11,1),$M$4),IF(RIGHT($P11,LEN($P11)-2)=RIGHT(AX11,LEN(AX11)-2),$M$5)))</f>
        <v>0</v>
      </c>
      <c r="AZ11" t="s">
        <v>262</v>
      </c>
      <c r="BA11" s="200">
        <f t="shared" ref="BA11" si="144">IF(ISBLANK($P11),0,SUM(IF(LEFT($P11,1)=LEFT(AZ11,1),$M$4),IF(RIGHT($P11,LEN($P11)-2)=RIGHT(AZ11,LEN(AZ11)-2),$M$5)))</f>
        <v>0</v>
      </c>
      <c r="BB11" t="s">
        <v>262</v>
      </c>
      <c r="BC11" s="200">
        <f t="shared" ref="BC11" si="145">IF(ISBLANK($P11),0,SUM(IF(LEFT($P11,1)=LEFT(BB11,1),$M$4),IF(RIGHT($P11,LEN($P11)-2)=RIGHT(BB11,LEN(BB11)-2),$M$5)))</f>
        <v>0</v>
      </c>
      <c r="BD11" t="s">
        <v>323</v>
      </c>
      <c r="BE11" s="200">
        <f t="shared" ref="BE11" si="146">IF(ISBLANK($P11),0,SUM(IF(LEFT($P11,1)=LEFT(BD11,1),$M$4),IF(RIGHT($P11,LEN($P11)-2)=RIGHT(BD11,LEN(BD11)-2),$M$5)))</f>
        <v>0</v>
      </c>
      <c r="BF11" t="s">
        <v>268</v>
      </c>
      <c r="BG11" s="200">
        <f t="shared" ref="BG11" si="147">IF(ISBLANK($P11),0,SUM(IF(LEFT($P11,1)=LEFT(BF11,1),$M$4),IF(RIGHT($P11,LEN($P11)-2)=RIGHT(BF11,LEN(BF11)-2),$M$5)))</f>
        <v>0</v>
      </c>
      <c r="BH11" t="s">
        <v>330</v>
      </c>
      <c r="BI11" s="200">
        <f t="shared" ref="BI11" si="148">IF(ISBLANK($P11),0,SUM(IF(LEFT($P11,1)=LEFT(BH11,1),$M$4),IF(RIGHT($P11,LEN($P11)-2)=RIGHT(BH11,LEN(BH11)-2),$M$5)))</f>
        <v>0</v>
      </c>
      <c r="BJ11" t="s">
        <v>262</v>
      </c>
      <c r="BK11" s="200">
        <f t="shared" ref="BK11" si="149">IF(ISBLANK($P11),0,SUM(IF(LEFT($P11,1)=LEFT(BJ11,1),$M$4),IF(RIGHT($P11,LEN($P11)-2)=RIGHT(BJ11,LEN(BJ11)-2),$M$5)))</f>
        <v>0</v>
      </c>
      <c r="BL11" t="s">
        <v>268</v>
      </c>
      <c r="BM11" s="200">
        <f t="shared" ref="BM11" si="150">IF(ISBLANK($P11),0,SUM(IF(LEFT($P11,1)=LEFT(BL11,1),$M$4),IF(RIGHT($P11,LEN($P11)-2)=RIGHT(BL11,LEN(BL11)-2),$M$5)))</f>
        <v>0</v>
      </c>
      <c r="BN11" t="s">
        <v>346</v>
      </c>
      <c r="BO11" s="200">
        <f t="shared" ref="BO11" si="151">IF(ISBLANK($P11),0,SUM(IF(LEFT($P11,1)=LEFT(BN11,1),$M$4),IF(RIGHT($P11,LEN($P11)-2)=RIGHT(BN11,LEN(BN11)-2),$M$5)))</f>
        <v>0</v>
      </c>
      <c r="BP11" t="s">
        <v>323</v>
      </c>
      <c r="BQ11" s="200">
        <f t="shared" ref="BQ11" si="152">IF(ISBLANK($P11),0,SUM(IF(LEFT($P11,1)=LEFT(BP11,1),$M$4),IF(RIGHT($P11,LEN($P11)-2)=RIGHT(BP11,LEN(BP11)-2),$M$5)))</f>
        <v>0</v>
      </c>
      <c r="BR11" t="s">
        <v>321</v>
      </c>
      <c r="BS11" s="200">
        <f t="shared" ref="BS11" si="153">IF(ISBLANK($P11),0,SUM(IF(LEFT($P11,1)=LEFT(BR11,1),$M$4),IF(RIGHT($P11,LEN($P11)-2)=RIGHT(BR11,LEN(BR11)-2),$M$5)))</f>
        <v>0</v>
      </c>
      <c r="BT11" t="s">
        <v>262</v>
      </c>
      <c r="BU11" s="200">
        <f t="shared" ref="BU11" si="154">IF(ISBLANK($P11),0,SUM(IF(LEFT($P11,1)=LEFT(BT11,1),$M$4),IF(RIGHT($P11,LEN($P11)-2)=RIGHT(BT11,LEN(BT11)-2),$M$5)))</f>
        <v>0</v>
      </c>
      <c r="BV11" t="s">
        <v>330</v>
      </c>
      <c r="BW11" s="200">
        <f t="shared" ref="BW11" si="155">IF(ISBLANK($P11),0,SUM(IF(LEFT($P11,1)=LEFT(BV11,1),$M$4),IF(RIGHT($P11,LEN($P11)-2)=RIGHT(BV11,LEN(BV11)-2),$M$5)))</f>
        <v>0</v>
      </c>
      <c r="BX11" t="s">
        <v>271</v>
      </c>
      <c r="BY11" s="200">
        <f t="shared" ref="BY11" si="156">IF(ISBLANK($P11),0,SUM(IF(LEFT($P11,1)=LEFT(BX11,1),$M$4),IF(RIGHT($P11,LEN($P11)-2)=RIGHT(BX11,LEN(BX11)-2),$M$5)))</f>
        <v>0</v>
      </c>
      <c r="BZ11" t="s">
        <v>326</v>
      </c>
      <c r="CA11" s="200">
        <f t="shared" ref="CA11" si="157">IF(ISBLANK($P11),0,SUM(IF(LEFT($P11,1)=LEFT(BZ11,1),$M$4),IF(RIGHT($P11,LEN($P11)-2)=RIGHT(BZ11,LEN(BZ11)-2),$M$5)))</f>
        <v>0</v>
      </c>
      <c r="CB11" t="s">
        <v>330</v>
      </c>
      <c r="CC11" s="200">
        <f t="shared" ref="CC11" si="158">IF(ISBLANK($P11),0,SUM(IF(LEFT($P11,1)=LEFT(CB11,1),$M$4),IF(RIGHT($P11,LEN($P11)-2)=RIGHT(CB11,LEN(CB11)-2),$M$5)))</f>
        <v>0</v>
      </c>
      <c r="CD11" t="s">
        <v>262</v>
      </c>
      <c r="CE11" s="200">
        <f t="shared" ref="CE11" si="159">IF(ISBLANK($P11),0,SUM(IF(LEFT($P11,1)=LEFT(CD11,1),$M$4),IF(RIGHT($P11,LEN($P11)-2)=RIGHT(CD11,LEN(CD11)-2),$M$5)))</f>
        <v>0</v>
      </c>
      <c r="CF11" s="197" t="s">
        <v>271</v>
      </c>
      <c r="CG11" s="200">
        <f t="shared" ref="CG11" si="160">IF(ISBLANK($P11),0,SUM(IF(LEFT($P11,1)=LEFT(CF11,1),$M$4),IF(RIGHT($P11,LEN($P11)-2)=RIGHT(CF11,LEN(CF11)-2),$M$5)))</f>
        <v>0</v>
      </c>
      <c r="CH11" t="s">
        <v>271</v>
      </c>
      <c r="CI11" s="200">
        <f t="shared" ref="CI11" si="161">IF(ISBLANK($P11),0,SUM(IF(LEFT($P11,1)=LEFT(CH11,1),$M$4),IF(RIGHT($P11,LEN($P11)-2)=RIGHT(CH11,LEN(CH11)-2),$M$5)))</f>
        <v>0</v>
      </c>
      <c r="CJ11" t="s">
        <v>326</v>
      </c>
      <c r="CK11" s="200">
        <f t="shared" ref="CK11" si="162">IF(ISBLANK($P11),0,SUM(IF(LEFT($P11,1)=LEFT(CJ11,1),$M$4),IF(RIGHT($P11,LEN($P11)-2)=RIGHT(CJ11,LEN(CJ11)-2),$M$5)))</f>
        <v>0</v>
      </c>
      <c r="CL11" s="197" t="s">
        <v>262</v>
      </c>
      <c r="CM11" s="200">
        <f t="shared" ref="CM11" si="163">IF(ISBLANK($P11),0,SUM(IF(LEFT($P11,1)=LEFT(CL11,1),$M$4),IF(RIGHT($P11,LEN($P11)-2)=RIGHT(CL11,LEN(CL11)-2),$M$5)))</f>
        <v>0</v>
      </c>
      <c r="CN11" t="s">
        <v>271</v>
      </c>
      <c r="CO11" s="200">
        <f t="shared" ref="CO11" si="164">IF(ISBLANK($P11),0,SUM(IF(LEFT($P11,1)=LEFT(CN11,1),$M$4),IF(RIGHT($P11,LEN($P11)-2)=RIGHT(CN11,LEN(CN11)-2),$M$5)))</f>
        <v>0</v>
      </c>
      <c r="CP11" t="s">
        <v>262</v>
      </c>
      <c r="CQ11" s="200">
        <f t="shared" ref="CQ11" si="165">IF(ISBLANK($P11),0,SUM(IF(LEFT($P11,1)=LEFT(CP11,1),$M$4),IF(RIGHT($P11,LEN($P11)-2)=RIGHT(CP11,LEN(CP11)-2),$M$5)))</f>
        <v>0</v>
      </c>
      <c r="CR11" t="s">
        <v>271</v>
      </c>
      <c r="CS11" s="200">
        <f t="shared" ref="CS11" si="166">IF(ISBLANK($P11),0,SUM(IF(LEFT($P11,1)=LEFT(CR11,1),$M$4),IF(RIGHT($P11,LEN($P11)-2)=RIGHT(CR11,LEN(CR11)-2),$M$5)))</f>
        <v>0</v>
      </c>
      <c r="CT11" s="197" t="s">
        <v>271</v>
      </c>
      <c r="CU11" s="200">
        <f t="shared" ref="CU11" si="167">IF(ISBLANK($P11),0,SUM(IF(LEFT($P11,1)=LEFT(CT11,1),$M$4),IF(RIGHT($P11,LEN($P11)-2)=RIGHT(CT11,LEN(CT11)-2),$M$5)))</f>
        <v>0</v>
      </c>
      <c r="CV11" s="197" t="s">
        <v>323</v>
      </c>
      <c r="CW11" s="200">
        <f t="shared" ref="CW11" si="168">IF(ISBLANK($P11),0,SUM(IF(LEFT($P11,1)=LEFT(CV11,1),$M$4),IF(RIGHT($P11,LEN($P11)-2)=RIGHT(CV11,LEN(CV11)-2),$M$5)))</f>
        <v>0</v>
      </c>
      <c r="CX11" s="197" t="s">
        <v>262</v>
      </c>
      <c r="CY11" s="200">
        <f t="shared" ref="CY11" si="169">IF(ISBLANK($P11),0,SUM(IF(LEFT($P11,1)=LEFT(CX11,1),$M$4),IF(RIGHT($P11,LEN($P11)-2)=RIGHT(CX11,LEN(CX11)-2),$M$5)))</f>
        <v>0</v>
      </c>
      <c r="CZ11" s="197" t="s">
        <v>326</v>
      </c>
      <c r="DA11" s="200">
        <f t="shared" ref="DA11" si="170">IF(ISBLANK($P11),0,SUM(IF(LEFT($P11,1)=LEFT(CZ11,1),$M$4),IF(RIGHT($P11,LEN($P11)-2)=RIGHT(CZ11,LEN(CZ11)-2),$M$5)))</f>
        <v>0</v>
      </c>
    </row>
    <row r="12" spans="1:107" x14ac:dyDescent="0.25">
      <c r="L12" s="187" t="s">
        <v>251</v>
      </c>
      <c r="M12" s="185">
        <v>7</v>
      </c>
      <c r="O12" s="10" t="s">
        <v>278</v>
      </c>
      <c r="P12" s="10"/>
      <c r="Q12" s="5"/>
      <c r="R12" s="97" t="s">
        <v>267</v>
      </c>
      <c r="S12" s="200">
        <f t="shared" si="2"/>
        <v>0</v>
      </c>
      <c r="T12" s="97" t="s">
        <v>262</v>
      </c>
      <c r="U12" s="200">
        <f t="shared" si="2"/>
        <v>0</v>
      </c>
      <c r="V12" s="97" t="s">
        <v>308</v>
      </c>
      <c r="W12" s="200">
        <f t="shared" ref="W12" si="171">IF(ISBLANK($P12),0,SUM(IF(LEFT($P12,1)=LEFT(V12,1),$M$4),IF(RIGHT($P12,LEN($P12)-2)=RIGHT(V12,LEN(V12)-2),$M$5)))</f>
        <v>0</v>
      </c>
      <c r="X12" s="97" t="s">
        <v>271</v>
      </c>
      <c r="Y12" s="200">
        <f t="shared" ref="Y12" si="172">IF(ISBLANK($P12),0,SUM(IF(LEFT($P12,1)=LEFT(X12,1),$M$4),IF(RIGHT($P12,LEN($P12)-2)=RIGHT(X12,LEN(X12)-2),$M$5)))</f>
        <v>0</v>
      </c>
      <c r="Z12" s="97" t="s">
        <v>268</v>
      </c>
      <c r="AA12" s="200">
        <f t="shared" ref="AA12" si="173">IF(ISBLANK($P12),0,SUM(IF(LEFT($P12,1)=LEFT(Z12,1),$M$4),IF(RIGHT($P12,LEN($P12)-2)=RIGHT(Z12,LEN(Z12)-2),$M$5)))</f>
        <v>0</v>
      </c>
      <c r="AB12" s="97" t="s">
        <v>271</v>
      </c>
      <c r="AC12" s="200">
        <f t="shared" ref="AC12" si="174">IF(ISBLANK($P12),0,SUM(IF(LEFT($P12,1)=LEFT(AB12,1),$M$4),IF(RIGHT($P12,LEN($P12)-2)=RIGHT(AB12,LEN(AB12)-2),$M$5)))</f>
        <v>0</v>
      </c>
      <c r="AD12" t="s">
        <v>308</v>
      </c>
      <c r="AE12" s="200">
        <f t="shared" ref="AE12" si="175">IF(ISBLANK($P12),0,SUM(IF(LEFT($P12,1)=LEFT(AD12,1),$M$4),IF(RIGHT($P12,LEN($P12)-2)=RIGHT(AD12,LEN(AD12)-2),$M$5)))</f>
        <v>0</v>
      </c>
      <c r="AF12" t="s">
        <v>308</v>
      </c>
      <c r="AG12" s="200">
        <f t="shared" ref="AG12" si="176">IF(ISBLANK($P12),0,SUM(IF(LEFT($P12,1)=LEFT(AF12,1),$M$4),IF(RIGHT($P12,LEN($P12)-2)=RIGHT(AF12,LEN(AF12)-2),$M$5)))</f>
        <v>0</v>
      </c>
      <c r="AH12" t="s">
        <v>267</v>
      </c>
      <c r="AI12" s="200">
        <f t="shared" ref="AI12" si="177">IF(ISBLANK($P12),0,SUM(IF(LEFT($P12,1)=LEFT(AH12,1),$M$4),IF(RIGHT($P12,LEN($P12)-2)=RIGHT(AH12,LEN(AH12)-2),$M$5)))</f>
        <v>0</v>
      </c>
      <c r="AJ12" t="s">
        <v>330</v>
      </c>
      <c r="AK12" s="200">
        <f t="shared" ref="AK12" si="178">IF(ISBLANK($P12),0,SUM(IF(LEFT($P12,1)=LEFT(AJ12,1),$M$4),IF(RIGHT($P12,LEN($P12)-2)=RIGHT(AJ12,LEN(AJ12)-2),$M$5)))</f>
        <v>0</v>
      </c>
      <c r="AL12" t="s">
        <v>308</v>
      </c>
      <c r="AM12" s="200">
        <f t="shared" ref="AM12" si="179">IF(ISBLANK($P12),0,SUM(IF(LEFT($P12,1)=LEFT(AL12,1),$M$4),IF(RIGHT($P12,LEN($P12)-2)=RIGHT(AL12,LEN(AL12)-2),$M$5)))</f>
        <v>0</v>
      </c>
      <c r="AN12" t="s">
        <v>267</v>
      </c>
      <c r="AO12" s="200">
        <f t="shared" ref="AO12" si="180">IF(ISBLANK($P12),0,SUM(IF(LEFT($P12,1)=LEFT(AN12,1),$M$4),IF(RIGHT($P12,LEN($P12)-2)=RIGHT(AN12,LEN(AN12)-2),$M$5)))</f>
        <v>0</v>
      </c>
      <c r="AP12" t="s">
        <v>323</v>
      </c>
      <c r="AQ12" s="200">
        <f t="shared" ref="AQ12" si="181">IF(ISBLANK($P12),0,SUM(IF(LEFT($P12,1)=LEFT(AP12,1),$M$4),IF(RIGHT($P12,LEN($P12)-2)=RIGHT(AP12,LEN(AP12)-2),$M$5)))</f>
        <v>0</v>
      </c>
      <c r="AR12" t="s">
        <v>321</v>
      </c>
      <c r="AS12" s="200">
        <f t="shared" ref="AS12" si="182">IF(ISBLANK($P12),0,SUM(IF(LEFT($P12,1)=LEFT(AR12,1),$M$4),IF(RIGHT($P12,LEN($P12)-2)=RIGHT(AR12,LEN(AR12)-2),$M$5)))</f>
        <v>0</v>
      </c>
      <c r="AT12" t="s">
        <v>271</v>
      </c>
      <c r="AU12" s="200">
        <f t="shared" ref="AU12" si="183">IF(ISBLANK($P12),0,SUM(IF(LEFT($P12,1)=LEFT(AT12,1),$M$4),IF(RIGHT($P12,LEN($P12)-2)=RIGHT(AT12,LEN(AT12)-2),$M$5)))</f>
        <v>0</v>
      </c>
      <c r="AV12" t="s">
        <v>271</v>
      </c>
      <c r="AW12" s="200">
        <f t="shared" ref="AW12" si="184">IF(ISBLANK($P12),0,SUM(IF(LEFT($P12,1)=LEFT(AV12,1),$M$4),IF(RIGHT($P12,LEN($P12)-2)=RIGHT(AV12,LEN(AV12)-2),$M$5)))</f>
        <v>0</v>
      </c>
      <c r="AX12" t="s">
        <v>308</v>
      </c>
      <c r="AY12" s="200">
        <f t="shared" ref="AY12" si="185">IF(ISBLANK($P12),0,SUM(IF(LEFT($P12,1)=LEFT(AX12,1),$M$4),IF(RIGHT($P12,LEN($P12)-2)=RIGHT(AX12,LEN(AX12)-2),$M$5)))</f>
        <v>0</v>
      </c>
      <c r="AZ12" t="s">
        <v>326</v>
      </c>
      <c r="BA12" s="200">
        <f t="shared" ref="BA12" si="186">IF(ISBLANK($P12),0,SUM(IF(LEFT($P12,1)=LEFT(AZ12,1),$M$4),IF(RIGHT($P12,LEN($P12)-2)=RIGHT(AZ12,LEN(AZ12)-2),$M$5)))</f>
        <v>0</v>
      </c>
      <c r="BB12" t="s">
        <v>267</v>
      </c>
      <c r="BC12" s="200">
        <f t="shared" ref="BC12" si="187">IF(ISBLANK($P12),0,SUM(IF(LEFT($P12,1)=LEFT(BB12,1),$M$4),IF(RIGHT($P12,LEN($P12)-2)=RIGHT(BB12,LEN(BB12)-2),$M$5)))</f>
        <v>0</v>
      </c>
      <c r="BD12" t="s">
        <v>271</v>
      </c>
      <c r="BE12" s="200">
        <f t="shared" ref="BE12" si="188">IF(ISBLANK($P12),0,SUM(IF(LEFT($P12,1)=LEFT(BD12,1),$M$4),IF(RIGHT($P12,LEN($P12)-2)=RIGHT(BD12,LEN(BD12)-2),$M$5)))</f>
        <v>0</v>
      </c>
      <c r="BF12" t="s">
        <v>264</v>
      </c>
      <c r="BG12" s="200">
        <f t="shared" ref="BG12" si="189">IF(ISBLANK($P12),0,SUM(IF(LEFT($P12,1)=LEFT(BF12,1),$M$4),IF(RIGHT($P12,LEN($P12)-2)=RIGHT(BF12,LEN(BF12)-2),$M$5)))</f>
        <v>0</v>
      </c>
      <c r="BH12" t="s">
        <v>268</v>
      </c>
      <c r="BI12" s="200">
        <f t="shared" ref="BI12" si="190">IF(ISBLANK($P12),0,SUM(IF(LEFT($P12,1)=LEFT(BH12,1),$M$4),IF(RIGHT($P12,LEN($P12)-2)=RIGHT(BH12,LEN(BH12)-2),$M$5)))</f>
        <v>0</v>
      </c>
      <c r="BJ12" t="s">
        <v>271</v>
      </c>
      <c r="BK12" s="200">
        <f t="shared" ref="BK12" si="191">IF(ISBLANK($P12),0,SUM(IF(LEFT($P12,1)=LEFT(BJ12,1),$M$4),IF(RIGHT($P12,LEN($P12)-2)=RIGHT(BJ12,LEN(BJ12)-2),$M$5)))</f>
        <v>0</v>
      </c>
      <c r="BL12" t="s">
        <v>323</v>
      </c>
      <c r="BM12" s="200">
        <f t="shared" ref="BM12" si="192">IF(ISBLANK($P12),0,SUM(IF(LEFT($P12,1)=LEFT(BL12,1),$M$4),IF(RIGHT($P12,LEN($P12)-2)=RIGHT(BL12,LEN(BL12)-2),$M$5)))</f>
        <v>0</v>
      </c>
      <c r="BN12" t="s">
        <v>323</v>
      </c>
      <c r="BO12" s="200">
        <f t="shared" ref="BO12" si="193">IF(ISBLANK($P12),0,SUM(IF(LEFT($P12,1)=LEFT(BN12,1),$M$4),IF(RIGHT($P12,LEN($P12)-2)=RIGHT(BN12,LEN(BN12)-2),$M$5)))</f>
        <v>0</v>
      </c>
      <c r="BP12" t="s">
        <v>308</v>
      </c>
      <c r="BQ12" s="200">
        <f t="shared" ref="BQ12" si="194">IF(ISBLANK($P12),0,SUM(IF(LEFT($P12,1)=LEFT(BP12,1),$M$4),IF(RIGHT($P12,LEN($P12)-2)=RIGHT(BP12,LEN(BP12)-2),$M$5)))</f>
        <v>0</v>
      </c>
      <c r="BR12" t="s">
        <v>322</v>
      </c>
      <c r="BS12" s="200">
        <f t="shared" ref="BS12" si="195">IF(ISBLANK($P12),0,SUM(IF(LEFT($P12,1)=LEFT(BR12,1),$M$4),IF(RIGHT($P12,LEN($P12)-2)=RIGHT(BR12,LEN(BR12)-2),$M$5)))</f>
        <v>0</v>
      </c>
      <c r="BT12" t="s">
        <v>308</v>
      </c>
      <c r="BU12" s="200">
        <f t="shared" ref="BU12" si="196">IF(ISBLANK($P12),0,SUM(IF(LEFT($P12,1)=LEFT(BT12,1),$M$4),IF(RIGHT($P12,LEN($P12)-2)=RIGHT(BT12,LEN(BT12)-2),$M$5)))</f>
        <v>0</v>
      </c>
      <c r="BV12" t="s">
        <v>308</v>
      </c>
      <c r="BW12" s="200">
        <f t="shared" ref="BW12" si="197">IF(ISBLANK($P12),0,SUM(IF(LEFT($P12,1)=LEFT(BV12,1),$M$4),IF(RIGHT($P12,LEN($P12)-2)=RIGHT(BV12,LEN(BV12)-2),$M$5)))</f>
        <v>0</v>
      </c>
      <c r="BX12" t="s">
        <v>322</v>
      </c>
      <c r="BY12" s="200">
        <f t="shared" ref="BY12" si="198">IF(ISBLANK($P12),0,SUM(IF(LEFT($P12,1)=LEFT(BX12,1),$M$4),IF(RIGHT($P12,LEN($P12)-2)=RIGHT(BX12,LEN(BX12)-2),$M$5)))</f>
        <v>0</v>
      </c>
      <c r="BZ12" t="s">
        <v>321</v>
      </c>
      <c r="CA12" s="200">
        <f t="shared" ref="CA12" si="199">IF(ISBLANK($P12),0,SUM(IF(LEFT($P12,1)=LEFT(BZ12,1),$M$4),IF(RIGHT($P12,LEN($P12)-2)=RIGHT(BZ12,LEN(BZ12)-2),$M$5)))</f>
        <v>0</v>
      </c>
      <c r="CB12" t="s">
        <v>271</v>
      </c>
      <c r="CC12" s="200">
        <f t="shared" ref="CC12" si="200">IF(ISBLANK($P12),0,SUM(IF(LEFT($P12,1)=LEFT(CB12,1),$M$4),IF(RIGHT($P12,LEN($P12)-2)=RIGHT(CB12,LEN(CB12)-2),$M$5)))</f>
        <v>0</v>
      </c>
      <c r="CD12" t="s">
        <v>262</v>
      </c>
      <c r="CE12" s="200">
        <f t="shared" ref="CE12" si="201">IF(ISBLANK($P12),0,SUM(IF(LEFT($P12,1)=LEFT(CD12,1),$M$4),IF(RIGHT($P12,LEN($P12)-2)=RIGHT(CD12,LEN(CD12)-2),$M$5)))</f>
        <v>0</v>
      </c>
      <c r="CF12" s="197" t="s">
        <v>271</v>
      </c>
      <c r="CG12" s="200">
        <f t="shared" ref="CG12" si="202">IF(ISBLANK($P12),0,SUM(IF(LEFT($P12,1)=LEFT(CF12,1),$M$4),IF(RIGHT($P12,LEN($P12)-2)=RIGHT(CF12,LEN(CF12)-2),$M$5)))</f>
        <v>0</v>
      </c>
      <c r="CH12" t="s">
        <v>262</v>
      </c>
      <c r="CI12" s="200">
        <f t="shared" ref="CI12" si="203">IF(ISBLANK($P12),0,SUM(IF(LEFT($P12,1)=LEFT(CH12,1),$M$4),IF(RIGHT($P12,LEN($P12)-2)=RIGHT(CH12,LEN(CH12)-2),$M$5)))</f>
        <v>0</v>
      </c>
      <c r="CJ12" t="s">
        <v>308</v>
      </c>
      <c r="CK12" s="200">
        <f t="shared" ref="CK12" si="204">IF(ISBLANK($P12),0,SUM(IF(LEFT($P12,1)=LEFT(CJ12,1),$M$4),IF(RIGHT($P12,LEN($P12)-2)=RIGHT(CJ12,LEN(CJ12)-2),$M$5)))</f>
        <v>0</v>
      </c>
      <c r="CL12" s="197" t="s">
        <v>321</v>
      </c>
      <c r="CM12" s="200">
        <f t="shared" ref="CM12" si="205">IF(ISBLANK($P12),0,SUM(IF(LEFT($P12,1)=LEFT(CL12,1),$M$4),IF(RIGHT($P12,LEN($P12)-2)=RIGHT(CL12,LEN(CL12)-2),$M$5)))</f>
        <v>0</v>
      </c>
      <c r="CN12" t="s">
        <v>326</v>
      </c>
      <c r="CO12" s="200">
        <f t="shared" ref="CO12" si="206">IF(ISBLANK($P12),0,SUM(IF(LEFT($P12,1)=LEFT(CN12,1),$M$4),IF(RIGHT($P12,LEN($P12)-2)=RIGHT(CN12,LEN(CN12)-2),$M$5)))</f>
        <v>0</v>
      </c>
      <c r="CP12" t="s">
        <v>271</v>
      </c>
      <c r="CQ12" s="200">
        <f t="shared" ref="CQ12" si="207">IF(ISBLANK($P12),0,SUM(IF(LEFT($P12,1)=LEFT(CP12,1),$M$4),IF(RIGHT($P12,LEN($P12)-2)=RIGHT(CP12,LEN(CP12)-2),$M$5)))</f>
        <v>0</v>
      </c>
      <c r="CR12" t="s">
        <v>330</v>
      </c>
      <c r="CS12" s="200">
        <f t="shared" ref="CS12" si="208">IF(ISBLANK($P12),0,SUM(IF(LEFT($P12,1)=LEFT(CR12,1),$M$4),IF(RIGHT($P12,LEN($P12)-2)=RIGHT(CR12,LEN(CR12)-2),$M$5)))</f>
        <v>0</v>
      </c>
      <c r="CT12" s="197" t="s">
        <v>330</v>
      </c>
      <c r="CU12" s="200">
        <f t="shared" ref="CU12" si="209">IF(ISBLANK($P12),0,SUM(IF(LEFT($P12,1)=LEFT(CT12,1),$M$4),IF(RIGHT($P12,LEN($P12)-2)=RIGHT(CT12,LEN(CT12)-2),$M$5)))</f>
        <v>0</v>
      </c>
      <c r="CV12" s="197" t="s">
        <v>321</v>
      </c>
      <c r="CW12" s="200">
        <f t="shared" ref="CW12" si="210">IF(ISBLANK($P12),0,SUM(IF(LEFT($P12,1)=LEFT(CV12,1),$M$4),IF(RIGHT($P12,LEN($P12)-2)=RIGHT(CV12,LEN(CV12)-2),$M$5)))</f>
        <v>0</v>
      </c>
      <c r="CX12" s="197" t="s">
        <v>267</v>
      </c>
      <c r="CY12" s="200">
        <f t="shared" ref="CY12" si="211">IF(ISBLANK($P12),0,SUM(IF(LEFT($P12,1)=LEFT(CX12,1),$M$4),IF(RIGHT($P12,LEN($P12)-2)=RIGHT(CX12,LEN(CX12)-2),$M$5)))</f>
        <v>0</v>
      </c>
      <c r="CZ12" s="197" t="s">
        <v>323</v>
      </c>
      <c r="DA12" s="200">
        <f t="shared" ref="DA12" si="212">IF(ISBLANK($P12),0,SUM(IF(LEFT($P12,1)=LEFT(CZ12,1),$M$4),IF(RIGHT($P12,LEN($P12)-2)=RIGHT(CZ12,LEN(CZ12)-2),$M$5)))</f>
        <v>0</v>
      </c>
    </row>
    <row r="13" spans="1:107" x14ac:dyDescent="0.25">
      <c r="L13" s="187" t="s">
        <v>252</v>
      </c>
      <c r="M13" s="185">
        <v>10</v>
      </c>
      <c r="O13" s="10" t="s">
        <v>279</v>
      </c>
      <c r="P13" s="10"/>
      <c r="Q13" s="5"/>
      <c r="R13" s="97" t="s">
        <v>266</v>
      </c>
      <c r="S13" s="200">
        <f t="shared" si="2"/>
        <v>0</v>
      </c>
      <c r="T13" s="97" t="s">
        <v>267</v>
      </c>
      <c r="U13" s="200">
        <f t="shared" si="2"/>
        <v>0</v>
      </c>
      <c r="V13" s="97" t="s">
        <v>267</v>
      </c>
      <c r="W13" s="200">
        <f t="shared" ref="W13" si="213">IF(ISBLANK($P13),0,SUM(IF(LEFT($P13,1)=LEFT(V13,1),$M$4),IF(RIGHT($P13,LEN($P13)-2)=RIGHT(V13,LEN(V13)-2),$M$5)))</f>
        <v>0</v>
      </c>
      <c r="X13" s="97" t="s">
        <v>268</v>
      </c>
      <c r="Y13" s="200">
        <f t="shared" ref="Y13" si="214">IF(ISBLANK($P13),0,SUM(IF(LEFT($P13,1)=LEFT(X13,1),$M$4),IF(RIGHT($P13,LEN($P13)-2)=RIGHT(X13,LEN(X13)-2),$M$5)))</f>
        <v>0</v>
      </c>
      <c r="Z13" s="97" t="s">
        <v>266</v>
      </c>
      <c r="AA13" s="200">
        <f t="shared" ref="AA13" si="215">IF(ISBLANK($P13),0,SUM(IF(LEFT($P13,1)=LEFT(Z13,1),$M$4),IF(RIGHT($P13,LEN($P13)-2)=RIGHT(Z13,LEN(Z13)-2),$M$5)))</f>
        <v>0</v>
      </c>
      <c r="AB13" s="97" t="s">
        <v>267</v>
      </c>
      <c r="AC13" s="200">
        <f t="shared" ref="AC13" si="216">IF(ISBLANK($P13),0,SUM(IF(LEFT($P13,1)=LEFT(AB13,1),$M$4),IF(RIGHT($P13,LEN($P13)-2)=RIGHT(AB13,LEN(AB13)-2),$M$5)))</f>
        <v>0</v>
      </c>
      <c r="AD13" t="s">
        <v>271</v>
      </c>
      <c r="AE13" s="200">
        <f t="shared" ref="AE13" si="217">IF(ISBLANK($P13),0,SUM(IF(LEFT($P13,1)=LEFT(AD13,1),$M$4),IF(RIGHT($P13,LEN($P13)-2)=RIGHT(AD13,LEN(AD13)-2),$M$5)))</f>
        <v>0</v>
      </c>
      <c r="AF13" t="s">
        <v>271</v>
      </c>
      <c r="AG13" s="200">
        <f t="shared" ref="AG13" si="218">IF(ISBLANK($P13),0,SUM(IF(LEFT($P13,1)=LEFT(AF13,1),$M$4),IF(RIGHT($P13,LEN($P13)-2)=RIGHT(AF13,LEN(AF13)-2),$M$5)))</f>
        <v>0</v>
      </c>
      <c r="AH13" t="s">
        <v>308</v>
      </c>
      <c r="AI13" s="200">
        <f t="shared" ref="AI13" si="219">IF(ISBLANK($P13),0,SUM(IF(LEFT($P13,1)=LEFT(AH13,1),$M$4),IF(RIGHT($P13,LEN($P13)-2)=RIGHT(AH13,LEN(AH13)-2),$M$5)))</f>
        <v>0</v>
      </c>
      <c r="AJ13" t="s">
        <v>267</v>
      </c>
      <c r="AK13" s="200">
        <f t="shared" ref="AK13" si="220">IF(ISBLANK($P13),0,SUM(IF(LEFT($P13,1)=LEFT(AJ13,1),$M$4),IF(RIGHT($P13,LEN($P13)-2)=RIGHT(AJ13,LEN(AJ13)-2),$M$5)))</f>
        <v>0</v>
      </c>
      <c r="AL13" t="s">
        <v>322</v>
      </c>
      <c r="AM13" s="200">
        <f t="shared" ref="AM13" si="221">IF(ISBLANK($P13),0,SUM(IF(LEFT($P13,1)=LEFT(AL13,1),$M$4),IF(RIGHT($P13,LEN($P13)-2)=RIGHT(AL13,LEN(AL13)-2),$M$5)))</f>
        <v>0</v>
      </c>
      <c r="AN13" t="s">
        <v>320</v>
      </c>
      <c r="AO13" s="200">
        <f t="shared" ref="AO13" si="222">IF(ISBLANK($P13),0,SUM(IF(LEFT($P13,1)=LEFT(AN13,1),$M$4),IF(RIGHT($P13,LEN($P13)-2)=RIGHT(AN13,LEN(AN13)-2),$M$5)))</f>
        <v>0</v>
      </c>
      <c r="AP13" t="s">
        <v>322</v>
      </c>
      <c r="AQ13" s="200">
        <f t="shared" ref="AQ13" si="223">IF(ISBLANK($P13),0,SUM(IF(LEFT($P13,1)=LEFT(AP13,1),$M$4),IF(RIGHT($P13,LEN($P13)-2)=RIGHT(AP13,LEN(AP13)-2),$M$5)))</f>
        <v>0</v>
      </c>
      <c r="AR13" t="s">
        <v>267</v>
      </c>
      <c r="AS13" s="200">
        <f t="shared" ref="AS13" si="224">IF(ISBLANK($P13),0,SUM(IF(LEFT($P13,1)=LEFT(AR13,1),$M$4),IF(RIGHT($P13,LEN($P13)-2)=RIGHT(AR13,LEN(AR13)-2),$M$5)))</f>
        <v>0</v>
      </c>
      <c r="AT13" t="s">
        <v>320</v>
      </c>
      <c r="AU13" s="200">
        <f t="shared" ref="AU13" si="225">IF(ISBLANK($P13),0,SUM(IF(LEFT($P13,1)=LEFT(AT13,1),$M$4),IF(RIGHT($P13,LEN($P13)-2)=RIGHT(AT13,LEN(AT13)-2),$M$5)))</f>
        <v>0</v>
      </c>
      <c r="AV13" t="s">
        <v>267</v>
      </c>
      <c r="AW13" s="200">
        <f t="shared" ref="AW13" si="226">IF(ISBLANK($P13),0,SUM(IF(LEFT($P13,1)=LEFT(AV13,1),$M$4),IF(RIGHT($P13,LEN($P13)-2)=RIGHT(AV13,LEN(AV13)-2),$M$5)))</f>
        <v>0</v>
      </c>
      <c r="AX13" t="s">
        <v>267</v>
      </c>
      <c r="AY13" s="200">
        <f t="shared" ref="AY13" si="227">IF(ISBLANK($P13),0,SUM(IF(LEFT($P13,1)=LEFT(AX13,1),$M$4),IF(RIGHT($P13,LEN($P13)-2)=RIGHT(AX13,LEN(AX13)-2),$M$5)))</f>
        <v>0</v>
      </c>
      <c r="AZ13" t="s">
        <v>268</v>
      </c>
      <c r="BA13" s="200">
        <f t="shared" ref="BA13" si="228">IF(ISBLANK($P13),0,SUM(IF(LEFT($P13,1)=LEFT(AZ13,1),$M$4),IF(RIGHT($P13,LEN($P13)-2)=RIGHT(AZ13,LEN(AZ13)-2),$M$5)))</f>
        <v>0</v>
      </c>
      <c r="BB13" t="s">
        <v>268</v>
      </c>
      <c r="BC13" s="200">
        <f t="shared" ref="BC13" si="229">IF(ISBLANK($P13),0,SUM(IF(LEFT($P13,1)=LEFT(BB13,1),$M$4),IF(RIGHT($P13,LEN($P13)-2)=RIGHT(BB13,LEN(BB13)-2),$M$5)))</f>
        <v>0</v>
      </c>
      <c r="BD13" t="s">
        <v>321</v>
      </c>
      <c r="BE13" s="200">
        <f t="shared" ref="BE13" si="230">IF(ISBLANK($P13),0,SUM(IF(LEFT($P13,1)=LEFT(BD13,1),$M$4),IF(RIGHT($P13,LEN($P13)-2)=RIGHT(BD13,LEN(BD13)-2),$M$5)))</f>
        <v>0</v>
      </c>
      <c r="BF13" t="s">
        <v>308</v>
      </c>
      <c r="BG13" s="200">
        <f t="shared" ref="BG13" si="231">IF(ISBLANK($P13),0,SUM(IF(LEFT($P13,1)=LEFT(BF13,1),$M$4),IF(RIGHT($P13,LEN($P13)-2)=RIGHT(BF13,LEN(BF13)-2),$M$5)))</f>
        <v>0</v>
      </c>
      <c r="BH13" t="s">
        <v>268</v>
      </c>
      <c r="BI13" s="200">
        <f t="shared" ref="BI13" si="232">IF(ISBLANK($P13),0,SUM(IF(LEFT($P13,1)=LEFT(BH13,1),$M$4),IF(RIGHT($P13,LEN($P13)-2)=RIGHT(BH13,LEN(BH13)-2),$M$5)))</f>
        <v>0</v>
      </c>
      <c r="BJ13" t="s">
        <v>267</v>
      </c>
      <c r="BK13" s="200">
        <f t="shared" ref="BK13" si="233">IF(ISBLANK($P13),0,SUM(IF(LEFT($P13,1)=LEFT(BJ13,1),$M$4),IF(RIGHT($P13,LEN($P13)-2)=RIGHT(BJ13,LEN(BJ13)-2),$M$5)))</f>
        <v>0</v>
      </c>
      <c r="BL13" t="s">
        <v>267</v>
      </c>
      <c r="BM13" s="200">
        <f t="shared" ref="BM13" si="234">IF(ISBLANK($P13),0,SUM(IF(LEFT($P13,1)=LEFT(BL13,1),$M$4),IF(RIGHT($P13,LEN($P13)-2)=RIGHT(BL13,LEN(BL13)-2),$M$5)))</f>
        <v>0</v>
      </c>
      <c r="BN13" t="s">
        <v>320</v>
      </c>
      <c r="BO13" s="200">
        <f t="shared" ref="BO13" si="235">IF(ISBLANK($P13),0,SUM(IF(LEFT($P13,1)=LEFT(BN13,1),$M$4),IF(RIGHT($P13,LEN($P13)-2)=RIGHT(BN13,LEN(BN13)-2),$M$5)))</f>
        <v>0</v>
      </c>
      <c r="BP13" t="s">
        <v>308</v>
      </c>
      <c r="BQ13" s="200">
        <f t="shared" ref="BQ13" si="236">IF(ISBLANK($P13),0,SUM(IF(LEFT($P13,1)=LEFT(BP13,1),$M$4),IF(RIGHT($P13,LEN($P13)-2)=RIGHT(BP13,LEN(BP13)-2),$M$5)))</f>
        <v>0</v>
      </c>
      <c r="BR13" t="s">
        <v>271</v>
      </c>
      <c r="BS13" s="200">
        <f t="shared" ref="BS13" si="237">IF(ISBLANK($P13),0,SUM(IF(LEFT($P13,1)=LEFT(BR13,1),$M$4),IF(RIGHT($P13,LEN($P13)-2)=RIGHT(BR13,LEN(BR13)-2),$M$5)))</f>
        <v>0</v>
      </c>
      <c r="BT13" t="s">
        <v>271</v>
      </c>
      <c r="BU13" s="200">
        <f t="shared" ref="BU13" si="238">IF(ISBLANK($P13),0,SUM(IF(LEFT($P13,1)=LEFT(BT13,1),$M$4),IF(RIGHT($P13,LEN($P13)-2)=RIGHT(BT13,LEN(BT13)-2),$M$5)))</f>
        <v>0</v>
      </c>
      <c r="BV13" t="s">
        <v>267</v>
      </c>
      <c r="BW13" s="200">
        <f t="shared" ref="BW13" si="239">IF(ISBLANK($P13),0,SUM(IF(LEFT($P13,1)=LEFT(BV13,1),$M$4),IF(RIGHT($P13,LEN($P13)-2)=RIGHT(BV13,LEN(BV13)-2),$M$5)))</f>
        <v>0</v>
      </c>
      <c r="BX13" t="s">
        <v>322</v>
      </c>
      <c r="BY13" s="200">
        <f t="shared" ref="BY13" si="240">IF(ISBLANK($P13),0,SUM(IF(LEFT($P13,1)=LEFT(BX13,1),$M$4),IF(RIGHT($P13,LEN($P13)-2)=RIGHT(BX13,LEN(BX13)-2),$M$5)))</f>
        <v>0</v>
      </c>
      <c r="BZ13" t="s">
        <v>271</v>
      </c>
      <c r="CA13" s="200">
        <f t="shared" ref="CA13" si="241">IF(ISBLANK($P13),0,SUM(IF(LEFT($P13,1)=LEFT(BZ13,1),$M$4),IF(RIGHT($P13,LEN($P13)-2)=RIGHT(BZ13,LEN(BZ13)-2),$M$5)))</f>
        <v>0</v>
      </c>
      <c r="CB13" t="s">
        <v>308</v>
      </c>
      <c r="CC13" s="200">
        <f t="shared" ref="CC13" si="242">IF(ISBLANK($P13),0,SUM(IF(LEFT($P13,1)=LEFT(CB13,1),$M$4),IF(RIGHT($P13,LEN($P13)-2)=RIGHT(CB13,LEN(CB13)-2),$M$5)))</f>
        <v>0</v>
      </c>
      <c r="CD13" t="s">
        <v>268</v>
      </c>
      <c r="CE13" s="200">
        <f t="shared" ref="CE13" si="243">IF(ISBLANK($P13),0,SUM(IF(LEFT($P13,1)=LEFT(CD13,1),$M$4),IF(RIGHT($P13,LEN($P13)-2)=RIGHT(CD13,LEN(CD13)-2),$M$5)))</f>
        <v>0</v>
      </c>
      <c r="CF13" s="197" t="s">
        <v>308</v>
      </c>
      <c r="CG13" s="200">
        <f t="shared" ref="CG13" si="244">IF(ISBLANK($P13),0,SUM(IF(LEFT($P13,1)=LEFT(CF13,1),$M$4),IF(RIGHT($P13,LEN($P13)-2)=RIGHT(CF13,LEN(CF13)-2),$M$5)))</f>
        <v>0</v>
      </c>
      <c r="CH13" t="s">
        <v>267</v>
      </c>
      <c r="CI13" s="200">
        <f t="shared" ref="CI13" si="245">IF(ISBLANK($P13),0,SUM(IF(LEFT($P13,1)=LEFT(CH13,1),$M$4),IF(RIGHT($P13,LEN($P13)-2)=RIGHT(CH13,LEN(CH13)-2),$M$5)))</f>
        <v>0</v>
      </c>
      <c r="CJ13" t="s">
        <v>322</v>
      </c>
      <c r="CK13" s="200">
        <f t="shared" ref="CK13" si="246">IF(ISBLANK($P13),0,SUM(IF(LEFT($P13,1)=LEFT(CJ13,1),$M$4),IF(RIGHT($P13,LEN($P13)-2)=RIGHT(CJ13,LEN(CJ13)-2),$M$5)))</f>
        <v>0</v>
      </c>
      <c r="CL13" s="197" t="s">
        <v>267</v>
      </c>
      <c r="CM13" s="200">
        <f t="shared" ref="CM13" si="247">IF(ISBLANK($P13),0,SUM(IF(LEFT($P13,1)=LEFT(CL13,1),$M$4),IF(RIGHT($P13,LEN($P13)-2)=RIGHT(CL13,LEN(CL13)-2),$M$5)))</f>
        <v>0</v>
      </c>
      <c r="CN13" t="s">
        <v>268</v>
      </c>
      <c r="CO13" s="200">
        <f t="shared" ref="CO13" si="248">IF(ISBLANK($P13),0,SUM(IF(LEFT($P13,1)=LEFT(CN13,1),$M$4),IF(RIGHT($P13,LEN($P13)-2)=RIGHT(CN13,LEN(CN13)-2),$M$5)))</f>
        <v>0</v>
      </c>
      <c r="CP13" t="s">
        <v>271</v>
      </c>
      <c r="CQ13" s="200">
        <f t="shared" ref="CQ13" si="249">IF(ISBLANK($P13),0,SUM(IF(LEFT($P13,1)=LEFT(CP13,1),$M$4),IF(RIGHT($P13,LEN($P13)-2)=RIGHT(CP13,LEN(CP13)-2),$M$5)))</f>
        <v>0</v>
      </c>
      <c r="CR13" t="s">
        <v>267</v>
      </c>
      <c r="CS13" s="200">
        <f t="shared" ref="CS13" si="250">IF(ISBLANK($P13),0,SUM(IF(LEFT($P13,1)=LEFT(CR13,1),$M$4),IF(RIGHT($P13,LEN($P13)-2)=RIGHT(CR13,LEN(CR13)-2),$M$5)))</f>
        <v>0</v>
      </c>
      <c r="CT13" s="197" t="s">
        <v>330</v>
      </c>
      <c r="CU13" s="200">
        <f t="shared" ref="CU13" si="251">IF(ISBLANK($P13),0,SUM(IF(LEFT($P13,1)=LEFT(CT13,1),$M$4),IF(RIGHT($P13,LEN($P13)-2)=RIGHT(CT13,LEN(CT13)-2),$M$5)))</f>
        <v>0</v>
      </c>
      <c r="CV13" s="197" t="s">
        <v>266</v>
      </c>
      <c r="CW13" s="200">
        <f t="shared" ref="CW13" si="252">IF(ISBLANK($P13),0,SUM(IF(LEFT($P13,1)=LEFT(CV13,1),$M$4),IF(RIGHT($P13,LEN($P13)-2)=RIGHT(CV13,LEN(CV13)-2),$M$5)))</f>
        <v>0</v>
      </c>
      <c r="CX13" s="197" t="s">
        <v>320</v>
      </c>
      <c r="CY13" s="200">
        <f t="shared" ref="CY13" si="253">IF(ISBLANK($P13),0,SUM(IF(LEFT($P13,1)=LEFT(CX13,1),$M$4),IF(RIGHT($P13,LEN($P13)-2)=RIGHT(CX13,LEN(CX13)-2),$M$5)))</f>
        <v>0</v>
      </c>
      <c r="CZ13" s="197" t="s">
        <v>267</v>
      </c>
      <c r="DA13" s="200">
        <f t="shared" ref="DA13" si="254">IF(ISBLANK($P13),0,SUM(IF(LEFT($P13,1)=LEFT(CZ13,1),$M$4),IF(RIGHT($P13,LEN($P13)-2)=RIGHT(CZ13,LEN(CZ13)-2),$M$5)))</f>
        <v>0</v>
      </c>
    </row>
    <row r="14" spans="1:107" x14ac:dyDescent="0.25">
      <c r="A14" s="222" t="s">
        <v>344</v>
      </c>
      <c r="B14" s="222" t="s">
        <v>345</v>
      </c>
      <c r="C14" s="222"/>
      <c r="D14" s="222"/>
      <c r="E14" s="222"/>
      <c r="F14" s="222"/>
      <c r="G14" s="222"/>
      <c r="L14" s="187" t="s">
        <v>253</v>
      </c>
      <c r="M14" s="185">
        <v>14</v>
      </c>
      <c r="O14" s="10" t="s">
        <v>280</v>
      </c>
      <c r="P14" s="10"/>
      <c r="Q14" s="5"/>
      <c r="R14" s="97" t="s">
        <v>308</v>
      </c>
      <c r="S14" s="200">
        <f t="shared" si="2"/>
        <v>0</v>
      </c>
      <c r="T14" s="97" t="s">
        <v>308</v>
      </c>
      <c r="U14" s="200">
        <f t="shared" si="2"/>
        <v>0</v>
      </c>
      <c r="V14" s="97" t="s">
        <v>322</v>
      </c>
      <c r="W14" s="200">
        <f t="shared" ref="W14" si="255">IF(ISBLANK($P14),0,SUM(IF(LEFT($P14,1)=LEFT(V14,1),$M$4),IF(RIGHT($P14,LEN($P14)-2)=RIGHT(V14,LEN(V14)-2),$M$5)))</f>
        <v>0</v>
      </c>
      <c r="X14" s="97" t="s">
        <v>308</v>
      </c>
      <c r="Y14" s="200">
        <f t="shared" ref="Y14" si="256">IF(ISBLANK($P14),0,SUM(IF(LEFT($P14,1)=LEFT(X14,1),$M$4),IF(RIGHT($P14,LEN($P14)-2)=RIGHT(X14,LEN(X14)-2),$M$5)))</f>
        <v>0</v>
      </c>
      <c r="Z14" s="97" t="s">
        <v>323</v>
      </c>
      <c r="AA14" s="200">
        <f t="shared" ref="AA14" si="257">IF(ISBLANK($P14),0,SUM(IF(LEFT($P14,1)=LEFT(Z14,1),$M$4),IF(RIGHT($P14,LEN($P14)-2)=RIGHT(Z14,LEN(Z14)-2),$M$5)))</f>
        <v>0</v>
      </c>
      <c r="AB14" s="97" t="s">
        <v>267</v>
      </c>
      <c r="AC14" s="200">
        <f t="shared" ref="AC14" si="258">IF(ISBLANK($P14),0,SUM(IF(LEFT($P14,1)=LEFT(AB14,1),$M$4),IF(RIGHT($P14,LEN($P14)-2)=RIGHT(AB14,LEN(AB14)-2),$M$5)))</f>
        <v>0</v>
      </c>
      <c r="AD14" t="s">
        <v>267</v>
      </c>
      <c r="AE14" s="200">
        <f t="shared" ref="AE14" si="259">IF(ISBLANK($P14),0,SUM(IF(LEFT($P14,1)=LEFT(AD14,1),$M$4),IF(RIGHT($P14,LEN($P14)-2)=RIGHT(AD14,LEN(AD14)-2),$M$5)))</f>
        <v>0</v>
      </c>
      <c r="AF14" t="s">
        <v>267</v>
      </c>
      <c r="AG14" s="200">
        <f t="shared" ref="AG14" si="260">IF(ISBLANK($P14),0,SUM(IF(LEFT($P14,1)=LEFT(AF14,1),$M$4),IF(RIGHT($P14,LEN($P14)-2)=RIGHT(AF14,LEN(AF14)-2),$M$5)))</f>
        <v>0</v>
      </c>
      <c r="AH14" t="s">
        <v>271</v>
      </c>
      <c r="AI14" s="200">
        <f t="shared" ref="AI14" si="261">IF(ISBLANK($P14),0,SUM(IF(LEFT($P14,1)=LEFT(AH14,1),$M$4),IF(RIGHT($P14,LEN($P14)-2)=RIGHT(AH14,LEN(AH14)-2),$M$5)))</f>
        <v>0</v>
      </c>
      <c r="AJ14" t="s">
        <v>323</v>
      </c>
      <c r="AK14" s="200">
        <f t="shared" ref="AK14" si="262">IF(ISBLANK($P14),0,SUM(IF(LEFT($P14,1)=LEFT(AJ14,1),$M$4),IF(RIGHT($P14,LEN($P14)-2)=RIGHT(AJ14,LEN(AJ14)-2),$M$5)))</f>
        <v>0</v>
      </c>
      <c r="AL14" t="s">
        <v>322</v>
      </c>
      <c r="AM14" s="200">
        <f t="shared" ref="AM14" si="263">IF(ISBLANK($P14),0,SUM(IF(LEFT($P14,1)=LEFT(AL14,1),$M$4),IF(RIGHT($P14,LEN($P14)-2)=RIGHT(AL14,LEN(AL14)-2),$M$5)))</f>
        <v>0</v>
      </c>
      <c r="AN14" t="s">
        <v>271</v>
      </c>
      <c r="AO14" s="200">
        <f t="shared" ref="AO14" si="264">IF(ISBLANK($P14),0,SUM(IF(LEFT($P14,1)=LEFT(AN14,1),$M$4),IF(RIGHT($P14,LEN($P14)-2)=RIGHT(AN14,LEN(AN14)-2),$M$5)))</f>
        <v>0</v>
      </c>
      <c r="AP14" t="s">
        <v>271</v>
      </c>
      <c r="AQ14" s="200">
        <f t="shared" ref="AQ14" si="265">IF(ISBLANK($P14),0,SUM(IF(LEFT($P14,1)=LEFT(AP14,1),$M$4),IF(RIGHT($P14,LEN($P14)-2)=RIGHT(AP14,LEN(AP14)-2),$M$5)))</f>
        <v>0</v>
      </c>
      <c r="AR14" t="s">
        <v>267</v>
      </c>
      <c r="AS14" s="200">
        <f t="shared" ref="AS14" si="266">IF(ISBLANK($P14),0,SUM(IF(LEFT($P14,1)=LEFT(AR14,1),$M$4),IF(RIGHT($P14,LEN($P14)-2)=RIGHT(AR14,LEN(AR14)-2),$M$5)))</f>
        <v>0</v>
      </c>
      <c r="AT14" t="s">
        <v>322</v>
      </c>
      <c r="AU14" s="200">
        <f t="shared" ref="AU14" si="267">IF(ISBLANK($P14),0,SUM(IF(LEFT($P14,1)=LEFT(AT14,1),$M$4),IF(RIGHT($P14,LEN($P14)-2)=RIGHT(AT14,LEN(AT14)-2),$M$5)))</f>
        <v>0</v>
      </c>
      <c r="AV14" t="s">
        <v>271</v>
      </c>
      <c r="AW14" s="200">
        <f t="shared" ref="AW14" si="268">IF(ISBLANK($P14),0,SUM(IF(LEFT($P14,1)=LEFT(AV14,1),$M$4),IF(RIGHT($P14,LEN($P14)-2)=RIGHT(AV14,LEN(AV14)-2),$M$5)))</f>
        <v>0</v>
      </c>
      <c r="AX14" t="s">
        <v>271</v>
      </c>
      <c r="AY14" s="200">
        <f t="shared" ref="AY14" si="269">IF(ISBLANK($P14),0,SUM(IF(LEFT($P14,1)=LEFT(AX14,1),$M$4),IF(RIGHT($P14,LEN($P14)-2)=RIGHT(AX14,LEN(AX14)-2),$M$5)))</f>
        <v>0</v>
      </c>
      <c r="AZ14" t="s">
        <v>322</v>
      </c>
      <c r="BA14" s="200">
        <f t="shared" ref="BA14" si="270">IF(ISBLANK($P14),0,SUM(IF(LEFT($P14,1)=LEFT(AZ14,1),$M$4),IF(RIGHT($P14,LEN($P14)-2)=RIGHT(AZ14,LEN(AZ14)-2),$M$5)))</f>
        <v>0</v>
      </c>
      <c r="BB14" t="s">
        <v>322</v>
      </c>
      <c r="BC14" s="200">
        <f t="shared" ref="BC14" si="271">IF(ISBLANK($P14),0,SUM(IF(LEFT($P14,1)=LEFT(BB14,1),$M$4),IF(RIGHT($P14,LEN($P14)-2)=RIGHT(BB14,LEN(BB14)-2),$M$5)))</f>
        <v>0</v>
      </c>
      <c r="BD14" t="s">
        <v>308</v>
      </c>
      <c r="BE14" s="200">
        <f t="shared" ref="BE14" si="272">IF(ISBLANK($P14),0,SUM(IF(LEFT($P14,1)=LEFT(BD14,1),$M$4),IF(RIGHT($P14,LEN($P14)-2)=RIGHT(BD14,LEN(BD14)-2),$M$5)))</f>
        <v>0</v>
      </c>
      <c r="BF14" t="s">
        <v>266</v>
      </c>
      <c r="BG14" s="200">
        <f t="shared" ref="BG14" si="273">IF(ISBLANK($P14),0,SUM(IF(LEFT($P14,1)=LEFT(BF14,1),$M$4),IF(RIGHT($P14,LEN($P14)-2)=RIGHT(BF14,LEN(BF14)-2),$M$5)))</f>
        <v>0</v>
      </c>
      <c r="BH14" t="s">
        <v>308</v>
      </c>
      <c r="BI14" s="200">
        <f t="shared" ref="BI14" si="274">IF(ISBLANK($P14),0,SUM(IF(LEFT($P14,1)=LEFT(BH14,1),$M$4),IF(RIGHT($P14,LEN($P14)-2)=RIGHT(BH14,LEN(BH14)-2),$M$5)))</f>
        <v>0</v>
      </c>
      <c r="BJ14" t="s">
        <v>322</v>
      </c>
      <c r="BK14" s="200">
        <f t="shared" ref="BK14" si="275">IF(ISBLANK($P14),0,SUM(IF(LEFT($P14,1)=LEFT(BJ14,1),$M$4),IF(RIGHT($P14,LEN($P14)-2)=RIGHT(BJ14,LEN(BJ14)-2),$M$5)))</f>
        <v>0</v>
      </c>
      <c r="BL14" t="s">
        <v>267</v>
      </c>
      <c r="BM14" s="200">
        <f t="shared" ref="BM14" si="276">IF(ISBLANK($P14),0,SUM(IF(LEFT($P14,1)=LEFT(BL14,1),$M$4),IF(RIGHT($P14,LEN($P14)-2)=RIGHT(BL14,LEN(BL14)-2),$M$5)))</f>
        <v>0</v>
      </c>
      <c r="BN14" t="s">
        <v>271</v>
      </c>
      <c r="BO14" s="200">
        <f t="shared" ref="BO14" si="277">IF(ISBLANK($P14),0,SUM(IF(LEFT($P14,1)=LEFT(BN14,1),$M$4),IF(RIGHT($P14,LEN($P14)-2)=RIGHT(BN14,LEN(BN14)-2),$M$5)))</f>
        <v>0</v>
      </c>
      <c r="BP14" t="s">
        <v>308</v>
      </c>
      <c r="BQ14" s="200">
        <f t="shared" ref="BQ14" si="278">IF(ISBLANK($P14),0,SUM(IF(LEFT($P14,1)=LEFT(BP14,1),$M$4),IF(RIGHT($P14,LEN($P14)-2)=RIGHT(BP14,LEN(BP14)-2),$M$5)))</f>
        <v>0</v>
      </c>
      <c r="BR14" t="s">
        <v>321</v>
      </c>
      <c r="BS14" s="200">
        <f t="shared" ref="BS14" si="279">IF(ISBLANK($P14),0,SUM(IF(LEFT($P14,1)=LEFT(BR14,1),$M$4),IF(RIGHT($P14,LEN($P14)-2)=RIGHT(BR14,LEN(BR14)-2),$M$5)))</f>
        <v>0</v>
      </c>
      <c r="BT14" t="s">
        <v>271</v>
      </c>
      <c r="BU14" s="200">
        <f t="shared" ref="BU14" si="280">IF(ISBLANK($P14),0,SUM(IF(LEFT($P14,1)=LEFT(BT14,1),$M$4),IF(RIGHT($P14,LEN($P14)-2)=RIGHT(BT14,LEN(BT14)-2),$M$5)))</f>
        <v>0</v>
      </c>
      <c r="BV14" t="s">
        <v>322</v>
      </c>
      <c r="BW14" s="200">
        <f t="shared" ref="BW14" si="281">IF(ISBLANK($P14),0,SUM(IF(LEFT($P14,1)=LEFT(BV14,1),$M$4),IF(RIGHT($P14,LEN($P14)-2)=RIGHT(BV14,LEN(BV14)-2),$M$5)))</f>
        <v>0</v>
      </c>
      <c r="BX14" t="s">
        <v>322</v>
      </c>
      <c r="BY14" s="200">
        <f t="shared" ref="BY14" si="282">IF(ISBLANK($P14),0,SUM(IF(LEFT($P14,1)=LEFT(BX14,1),$M$4),IF(RIGHT($P14,LEN($P14)-2)=RIGHT(BX14,LEN(BX14)-2),$M$5)))</f>
        <v>0</v>
      </c>
      <c r="BZ14" t="s">
        <v>271</v>
      </c>
      <c r="CA14" s="200">
        <f t="shared" ref="CA14" si="283">IF(ISBLANK($P14),0,SUM(IF(LEFT($P14,1)=LEFT(BZ14,1),$M$4),IF(RIGHT($P14,LEN($P14)-2)=RIGHT(BZ14,LEN(BZ14)-2),$M$5)))</f>
        <v>0</v>
      </c>
      <c r="CB14" t="s">
        <v>308</v>
      </c>
      <c r="CC14" s="200">
        <f t="shared" ref="CC14" si="284">IF(ISBLANK($P14),0,SUM(IF(LEFT($P14,1)=LEFT(CB14,1),$M$4),IF(RIGHT($P14,LEN($P14)-2)=RIGHT(CB14,LEN(CB14)-2),$M$5)))</f>
        <v>0</v>
      </c>
      <c r="CD14" t="s">
        <v>266</v>
      </c>
      <c r="CE14" s="200">
        <f t="shared" ref="CE14" si="285">IF(ISBLANK($P14),0,SUM(IF(LEFT($P14,1)=LEFT(CD14,1),$M$4),IF(RIGHT($P14,LEN($P14)-2)=RIGHT(CD14,LEN(CD14)-2),$M$5)))</f>
        <v>0</v>
      </c>
      <c r="CF14" s="197" t="s">
        <v>308</v>
      </c>
      <c r="CG14" s="200">
        <f t="shared" ref="CG14" si="286">IF(ISBLANK($P14),0,SUM(IF(LEFT($P14,1)=LEFT(CF14,1),$M$4),IF(RIGHT($P14,LEN($P14)-2)=RIGHT(CF14,LEN(CF14)-2),$M$5)))</f>
        <v>0</v>
      </c>
      <c r="CH14" t="s">
        <v>326</v>
      </c>
      <c r="CI14" s="200">
        <f t="shared" ref="CI14" si="287">IF(ISBLANK($P14),0,SUM(IF(LEFT($P14,1)=LEFT(CH14,1),$M$4),IF(RIGHT($P14,LEN($P14)-2)=RIGHT(CH14,LEN(CH14)-2),$M$5)))</f>
        <v>0</v>
      </c>
      <c r="CJ14" t="s">
        <v>308</v>
      </c>
      <c r="CK14" s="200">
        <f t="shared" ref="CK14" si="288">IF(ISBLANK($P14),0,SUM(IF(LEFT($P14,1)=LEFT(CJ14,1),$M$4),IF(RIGHT($P14,LEN($P14)-2)=RIGHT(CJ14,LEN(CJ14)-2),$M$5)))</f>
        <v>0</v>
      </c>
      <c r="CL14" s="197" t="s">
        <v>308</v>
      </c>
      <c r="CM14" s="200">
        <f t="shared" ref="CM14" si="289">IF(ISBLANK($P14),0,SUM(IF(LEFT($P14,1)=LEFT(CL14,1),$M$4),IF(RIGHT($P14,LEN($P14)-2)=RIGHT(CL14,LEN(CL14)-2),$M$5)))</f>
        <v>0</v>
      </c>
      <c r="CN14" t="s">
        <v>308</v>
      </c>
      <c r="CO14" s="200">
        <f t="shared" ref="CO14" si="290">IF(ISBLANK($P14),0,SUM(IF(LEFT($P14,1)=LEFT(CN14,1),$M$4),IF(RIGHT($P14,LEN($P14)-2)=RIGHT(CN14,LEN(CN14)-2),$M$5)))</f>
        <v>0</v>
      </c>
      <c r="CP14" t="s">
        <v>308</v>
      </c>
      <c r="CQ14" s="200">
        <f t="shared" ref="CQ14" si="291">IF(ISBLANK($P14),0,SUM(IF(LEFT($P14,1)=LEFT(CP14,1),$M$4),IF(RIGHT($P14,LEN($P14)-2)=RIGHT(CP14,LEN(CP14)-2),$M$5)))</f>
        <v>0</v>
      </c>
      <c r="CR14" t="s">
        <v>320</v>
      </c>
      <c r="CS14" s="200">
        <f t="shared" ref="CS14" si="292">IF(ISBLANK($P14),0,SUM(IF(LEFT($P14,1)=LEFT(CR14,1),$M$4),IF(RIGHT($P14,LEN($P14)-2)=RIGHT(CR14,LEN(CR14)-2),$M$5)))</f>
        <v>0</v>
      </c>
      <c r="CT14" s="197" t="s">
        <v>271</v>
      </c>
      <c r="CU14" s="200">
        <f t="shared" ref="CU14" si="293">IF(ISBLANK($P14),0,SUM(IF(LEFT($P14,1)=LEFT(CT14,1),$M$4),IF(RIGHT($P14,LEN($P14)-2)=RIGHT(CT14,LEN(CT14)-2),$M$5)))</f>
        <v>0</v>
      </c>
      <c r="CV14" s="197" t="s">
        <v>267</v>
      </c>
      <c r="CW14" s="200">
        <f t="shared" ref="CW14" si="294">IF(ISBLANK($P14),0,SUM(IF(LEFT($P14,1)=LEFT(CV14,1),$M$4),IF(RIGHT($P14,LEN($P14)-2)=RIGHT(CV14,LEN(CV14)-2),$M$5)))</f>
        <v>0</v>
      </c>
      <c r="CX14" s="197" t="s">
        <v>322</v>
      </c>
      <c r="CY14" s="200">
        <f t="shared" ref="CY14" si="295">IF(ISBLANK($P14),0,SUM(IF(LEFT($P14,1)=LEFT(CX14,1),$M$4),IF(RIGHT($P14,LEN($P14)-2)=RIGHT(CX14,LEN(CX14)-2),$M$5)))</f>
        <v>0</v>
      </c>
      <c r="CZ14" s="197" t="s">
        <v>266</v>
      </c>
      <c r="DA14" s="200">
        <f t="shared" ref="DA14" si="296">IF(ISBLANK($P14),0,SUM(IF(LEFT($P14,1)=LEFT(CZ14,1),$M$4),IF(RIGHT($P14,LEN($P14)-2)=RIGHT(CZ14,LEN(CZ14)-2),$M$5)))</f>
        <v>0</v>
      </c>
    </row>
    <row r="15" spans="1:107" x14ac:dyDescent="0.25">
      <c r="A15" s="222"/>
      <c r="B15" s="222"/>
      <c r="C15" s="222"/>
      <c r="D15" s="222"/>
      <c r="E15" s="222"/>
      <c r="F15" s="222"/>
      <c r="G15" s="222"/>
      <c r="L15" s="187" t="s">
        <v>254</v>
      </c>
      <c r="M15" s="185">
        <v>9</v>
      </c>
      <c r="O15" s="10" t="s">
        <v>281</v>
      </c>
      <c r="P15" s="10"/>
      <c r="Q15" s="5"/>
      <c r="R15" s="97" t="s">
        <v>267</v>
      </c>
      <c r="S15" s="200">
        <f t="shared" si="2"/>
        <v>0</v>
      </c>
      <c r="T15" s="97" t="s">
        <v>267</v>
      </c>
      <c r="U15" s="200">
        <f t="shared" si="2"/>
        <v>0</v>
      </c>
      <c r="V15" s="97" t="s">
        <v>266</v>
      </c>
      <c r="W15" s="200">
        <f t="shared" ref="W15" si="297">IF(ISBLANK($P15),0,SUM(IF(LEFT($P15,1)=LEFT(V15,1),$M$4),IF(RIGHT($P15,LEN($P15)-2)=RIGHT(V15,LEN(V15)-2),$M$5)))</f>
        <v>0</v>
      </c>
      <c r="X15" s="97" t="s">
        <v>267</v>
      </c>
      <c r="Y15" s="200">
        <f t="shared" ref="Y15" si="298">IF(ISBLANK($P15),0,SUM(IF(LEFT($P15,1)=LEFT(X15,1),$M$4),IF(RIGHT($P15,LEN($P15)-2)=RIGHT(X15,LEN(X15)-2),$M$5)))</f>
        <v>0</v>
      </c>
      <c r="Z15" s="97" t="s">
        <v>268</v>
      </c>
      <c r="AA15" s="200">
        <f t="shared" ref="AA15" si="299">IF(ISBLANK($P15),0,SUM(IF(LEFT($P15,1)=LEFT(Z15,1),$M$4),IF(RIGHT($P15,LEN($P15)-2)=RIGHT(Z15,LEN(Z15)-2),$M$5)))</f>
        <v>0</v>
      </c>
      <c r="AB15" s="97" t="s">
        <v>308</v>
      </c>
      <c r="AC15" s="200">
        <f t="shared" ref="AC15" si="300">IF(ISBLANK($P15),0,SUM(IF(LEFT($P15,1)=LEFT(AB15,1),$M$4),IF(RIGHT($P15,LEN($P15)-2)=RIGHT(AB15,LEN(AB15)-2),$M$5)))</f>
        <v>0</v>
      </c>
      <c r="AD15" t="s">
        <v>267</v>
      </c>
      <c r="AE15" s="200">
        <f t="shared" ref="AE15" si="301">IF(ISBLANK($P15),0,SUM(IF(LEFT($P15,1)=LEFT(AD15,1),$M$4),IF(RIGHT($P15,LEN($P15)-2)=RIGHT(AD15,LEN(AD15)-2),$M$5)))</f>
        <v>0</v>
      </c>
      <c r="AF15" t="s">
        <v>267</v>
      </c>
      <c r="AG15" s="200">
        <f t="shared" ref="AG15" si="302">IF(ISBLANK($P15),0,SUM(IF(LEFT($P15,1)=LEFT(AF15,1),$M$4),IF(RIGHT($P15,LEN($P15)-2)=RIGHT(AF15,LEN(AF15)-2),$M$5)))</f>
        <v>0</v>
      </c>
      <c r="AH15" t="s">
        <v>271</v>
      </c>
      <c r="AI15" s="200">
        <f t="shared" ref="AI15" si="303">IF(ISBLANK($P15),0,SUM(IF(LEFT($P15,1)=LEFT(AH15,1),$M$4),IF(RIGHT($P15,LEN($P15)-2)=RIGHT(AH15,LEN(AH15)-2),$M$5)))</f>
        <v>0</v>
      </c>
      <c r="AJ15" t="s">
        <v>320</v>
      </c>
      <c r="AK15" s="200">
        <f t="shared" ref="AK15" si="304">IF(ISBLANK($P15),0,SUM(IF(LEFT($P15,1)=LEFT(AJ15,1),$M$4),IF(RIGHT($P15,LEN($P15)-2)=RIGHT(AJ15,LEN(AJ15)-2),$M$5)))</f>
        <v>0</v>
      </c>
      <c r="AL15" t="s">
        <v>271</v>
      </c>
      <c r="AM15" s="200">
        <f t="shared" ref="AM15" si="305">IF(ISBLANK($P15),0,SUM(IF(LEFT($P15,1)=LEFT(AL15,1),$M$4),IF(RIGHT($P15,LEN($P15)-2)=RIGHT(AL15,LEN(AL15)-2),$M$5)))</f>
        <v>0</v>
      </c>
      <c r="AN15" t="s">
        <v>268</v>
      </c>
      <c r="AO15" s="200">
        <f t="shared" ref="AO15" si="306">IF(ISBLANK($P15),0,SUM(IF(LEFT($P15,1)=LEFT(AN15,1),$M$4),IF(RIGHT($P15,LEN($P15)-2)=RIGHT(AN15,LEN(AN15)-2),$M$5)))</f>
        <v>0</v>
      </c>
      <c r="AP15" t="s">
        <v>320</v>
      </c>
      <c r="AQ15" s="200">
        <f t="shared" ref="AQ15" si="307">IF(ISBLANK($P15),0,SUM(IF(LEFT($P15,1)=LEFT(AP15,1),$M$4),IF(RIGHT($P15,LEN($P15)-2)=RIGHT(AP15,LEN(AP15)-2),$M$5)))</f>
        <v>0</v>
      </c>
      <c r="AR15" t="s">
        <v>322</v>
      </c>
      <c r="AS15" s="200">
        <f t="shared" ref="AS15" si="308">IF(ISBLANK($P15),0,SUM(IF(LEFT($P15,1)=LEFT(AR15,1),$M$4),IF(RIGHT($P15,LEN($P15)-2)=RIGHT(AR15,LEN(AR15)-2),$M$5)))</f>
        <v>0</v>
      </c>
      <c r="AT15" t="s">
        <v>268</v>
      </c>
      <c r="AU15" s="200">
        <f t="shared" ref="AU15" si="309">IF(ISBLANK($P15),0,SUM(IF(LEFT($P15,1)=LEFT(AT15,1),$M$4),IF(RIGHT($P15,LEN($P15)-2)=RIGHT(AT15,LEN(AT15)-2),$M$5)))</f>
        <v>0</v>
      </c>
      <c r="AV15" t="s">
        <v>267</v>
      </c>
      <c r="AW15" s="200">
        <f t="shared" ref="AW15" si="310">IF(ISBLANK($P15),0,SUM(IF(LEFT($P15,1)=LEFT(AV15,1),$M$4),IF(RIGHT($P15,LEN($P15)-2)=RIGHT(AV15,LEN(AV15)-2),$M$5)))</f>
        <v>0</v>
      </c>
      <c r="AX15" t="s">
        <v>267</v>
      </c>
      <c r="AY15" s="200">
        <f t="shared" ref="AY15" si="311">IF(ISBLANK($P15),0,SUM(IF(LEFT($P15,1)=LEFT(AX15,1),$M$4),IF(RIGHT($P15,LEN($P15)-2)=RIGHT(AX15,LEN(AX15)-2),$M$5)))</f>
        <v>0</v>
      </c>
      <c r="AZ15" t="s">
        <v>322</v>
      </c>
      <c r="BA15" s="200">
        <f t="shared" ref="BA15" si="312">IF(ISBLANK($P15),0,SUM(IF(LEFT($P15,1)=LEFT(AZ15,1),$M$4),IF(RIGHT($P15,LEN($P15)-2)=RIGHT(AZ15,LEN(AZ15)-2),$M$5)))</f>
        <v>0</v>
      </c>
      <c r="BB15" t="s">
        <v>267</v>
      </c>
      <c r="BC15" s="200">
        <f t="shared" ref="BC15" si="313">IF(ISBLANK($P15),0,SUM(IF(LEFT($P15,1)=LEFT(BB15,1),$M$4),IF(RIGHT($P15,LEN($P15)-2)=RIGHT(BB15,LEN(BB15)-2),$M$5)))</f>
        <v>0</v>
      </c>
      <c r="BD15" t="s">
        <v>271</v>
      </c>
      <c r="BE15" s="200">
        <f t="shared" ref="BE15" si="314">IF(ISBLANK($P15),0,SUM(IF(LEFT($P15,1)=LEFT(BD15,1),$M$4),IF(RIGHT($P15,LEN($P15)-2)=RIGHT(BD15,LEN(BD15)-2),$M$5)))</f>
        <v>0</v>
      </c>
      <c r="BF15" t="s">
        <v>268</v>
      </c>
      <c r="BG15" s="200">
        <f t="shared" ref="BG15" si="315">IF(ISBLANK($P15),0,SUM(IF(LEFT($P15,1)=LEFT(BF15,1),$M$4),IF(RIGHT($P15,LEN($P15)-2)=RIGHT(BF15,LEN(BF15)-2),$M$5)))</f>
        <v>0</v>
      </c>
      <c r="BH15" t="s">
        <v>264</v>
      </c>
      <c r="BI15" s="200">
        <f t="shared" ref="BI15" si="316">IF(ISBLANK($P15),0,SUM(IF(LEFT($P15,1)=LEFT(BH15,1),$M$4),IF(RIGHT($P15,LEN($P15)-2)=RIGHT(BH15,LEN(BH15)-2),$M$5)))</f>
        <v>0</v>
      </c>
      <c r="BJ15" t="s">
        <v>266</v>
      </c>
      <c r="BK15" s="200">
        <f t="shared" ref="BK15" si="317">IF(ISBLANK($P15),0,SUM(IF(LEFT($P15,1)=LEFT(BJ15,1),$M$4),IF(RIGHT($P15,LEN($P15)-2)=RIGHT(BJ15,LEN(BJ15)-2),$M$5)))</f>
        <v>0</v>
      </c>
      <c r="BL15" t="s">
        <v>320</v>
      </c>
      <c r="BM15" s="200">
        <f t="shared" ref="BM15" si="318">IF(ISBLANK($P15),0,SUM(IF(LEFT($P15,1)=LEFT(BL15,1),$M$4),IF(RIGHT($P15,LEN($P15)-2)=RIGHT(BL15,LEN(BL15)-2),$M$5)))</f>
        <v>0</v>
      </c>
      <c r="BN15" t="s">
        <v>320</v>
      </c>
      <c r="BO15" s="200">
        <f t="shared" ref="BO15" si="319">IF(ISBLANK($P15),0,SUM(IF(LEFT($P15,1)=LEFT(BN15,1),$M$4),IF(RIGHT($P15,LEN($P15)-2)=RIGHT(BN15,LEN(BN15)-2),$M$5)))</f>
        <v>0</v>
      </c>
      <c r="BP15" t="s">
        <v>320</v>
      </c>
      <c r="BQ15" s="200">
        <f t="shared" ref="BQ15" si="320">IF(ISBLANK($P15),0,SUM(IF(LEFT($P15,1)=LEFT(BP15,1),$M$4),IF(RIGHT($P15,LEN($P15)-2)=RIGHT(BP15,LEN(BP15)-2),$M$5)))</f>
        <v>0</v>
      </c>
      <c r="BR15" t="s">
        <v>266</v>
      </c>
      <c r="BS15" s="200">
        <f t="shared" ref="BS15" si="321">IF(ISBLANK($P15),0,SUM(IF(LEFT($P15,1)=LEFT(BR15,1),$M$4),IF(RIGHT($P15,LEN($P15)-2)=RIGHT(BR15,LEN(BR15)-2),$M$5)))</f>
        <v>0</v>
      </c>
      <c r="BT15" t="s">
        <v>322</v>
      </c>
      <c r="BU15" s="200">
        <f t="shared" ref="BU15" si="322">IF(ISBLANK($P15),0,SUM(IF(LEFT($P15,1)=LEFT(BT15,1),$M$4),IF(RIGHT($P15,LEN($P15)-2)=RIGHT(BT15,LEN(BT15)-2),$M$5)))</f>
        <v>0</v>
      </c>
      <c r="BV15" t="s">
        <v>322</v>
      </c>
      <c r="BW15" s="200">
        <f t="shared" ref="BW15" si="323">IF(ISBLANK($P15),0,SUM(IF(LEFT($P15,1)=LEFT(BV15,1),$M$4),IF(RIGHT($P15,LEN($P15)-2)=RIGHT(BV15,LEN(BV15)-2),$M$5)))</f>
        <v>0</v>
      </c>
      <c r="BX15" t="s">
        <v>308</v>
      </c>
      <c r="BY15" s="200">
        <f t="shared" ref="BY15" si="324">IF(ISBLANK($P15),0,SUM(IF(LEFT($P15,1)=LEFT(BX15,1),$M$4),IF(RIGHT($P15,LEN($P15)-2)=RIGHT(BX15,LEN(BX15)-2),$M$5)))</f>
        <v>0</v>
      </c>
      <c r="BZ15" t="s">
        <v>320</v>
      </c>
      <c r="CA15" s="200">
        <f t="shared" ref="CA15" si="325">IF(ISBLANK($P15),0,SUM(IF(LEFT($P15,1)=LEFT(BZ15,1),$M$4),IF(RIGHT($P15,LEN($P15)-2)=RIGHT(BZ15,LEN(BZ15)-2),$M$5)))</f>
        <v>0</v>
      </c>
      <c r="CB15" t="s">
        <v>267</v>
      </c>
      <c r="CC15" s="200">
        <f t="shared" ref="CC15" si="326">IF(ISBLANK($P15),0,SUM(IF(LEFT($P15,1)=LEFT(CB15,1),$M$4),IF(RIGHT($P15,LEN($P15)-2)=RIGHT(CB15,LEN(CB15)-2),$M$5)))</f>
        <v>0</v>
      </c>
      <c r="CD15" t="s">
        <v>320</v>
      </c>
      <c r="CE15" s="200">
        <f t="shared" ref="CE15" si="327">IF(ISBLANK($P15),0,SUM(IF(LEFT($P15,1)=LEFT(CD15,1),$M$4),IF(RIGHT($P15,LEN($P15)-2)=RIGHT(CD15,LEN(CD15)-2),$M$5)))</f>
        <v>0</v>
      </c>
      <c r="CF15" s="197" t="s">
        <v>267</v>
      </c>
      <c r="CG15" s="200">
        <f t="shared" ref="CG15" si="328">IF(ISBLANK($P15),0,SUM(IF(LEFT($P15,1)=LEFT(CF15,1),$M$4),IF(RIGHT($P15,LEN($P15)-2)=RIGHT(CF15,LEN(CF15)-2),$M$5)))</f>
        <v>0</v>
      </c>
      <c r="CH15" t="s">
        <v>267</v>
      </c>
      <c r="CI15" s="200">
        <f t="shared" ref="CI15" si="329">IF(ISBLANK($P15),0,SUM(IF(LEFT($P15,1)=LEFT(CH15,1),$M$4),IF(RIGHT($P15,LEN($P15)-2)=RIGHT(CH15,LEN(CH15)-2),$M$5)))</f>
        <v>0</v>
      </c>
      <c r="CJ15" t="s">
        <v>321</v>
      </c>
      <c r="CK15" s="200">
        <f t="shared" ref="CK15" si="330">IF(ISBLANK($P15),0,SUM(IF(LEFT($P15,1)=LEFT(CJ15,1),$M$4),IF(RIGHT($P15,LEN($P15)-2)=RIGHT(CJ15,LEN(CJ15)-2),$M$5)))</f>
        <v>0</v>
      </c>
      <c r="CL15" s="197" t="s">
        <v>320</v>
      </c>
      <c r="CM15" s="200">
        <f t="shared" ref="CM15" si="331">IF(ISBLANK($P15),0,SUM(IF(LEFT($P15,1)=LEFT(CL15,1),$M$4),IF(RIGHT($P15,LEN($P15)-2)=RIGHT(CL15,LEN(CL15)-2),$M$5)))</f>
        <v>0</v>
      </c>
      <c r="CN15" t="s">
        <v>267</v>
      </c>
      <c r="CO15" s="200">
        <f t="shared" ref="CO15" si="332">IF(ISBLANK($P15),0,SUM(IF(LEFT($P15,1)=LEFT(CN15,1),$M$4),IF(RIGHT($P15,LEN($P15)-2)=RIGHT(CN15,LEN(CN15)-2),$M$5)))</f>
        <v>0</v>
      </c>
      <c r="CP15" t="s">
        <v>267</v>
      </c>
      <c r="CQ15" s="200">
        <f t="shared" ref="CQ15" si="333">IF(ISBLANK($P15),0,SUM(IF(LEFT($P15,1)=LEFT(CP15,1),$M$4),IF(RIGHT($P15,LEN($P15)-2)=RIGHT(CP15,LEN(CP15)-2),$M$5)))</f>
        <v>0</v>
      </c>
      <c r="CR15" t="s">
        <v>334</v>
      </c>
      <c r="CS15" s="200">
        <f t="shared" ref="CS15" si="334">IF(ISBLANK($P15),0,SUM(IF(LEFT($P15,1)=LEFT(CR15,1),$M$4),IF(RIGHT($P15,LEN($P15)-2)=RIGHT(CR15,LEN(CR15)-2),$M$5)))</f>
        <v>0</v>
      </c>
      <c r="CT15" s="197" t="s">
        <v>267</v>
      </c>
      <c r="CU15" s="200">
        <f t="shared" ref="CU15" si="335">IF(ISBLANK($P15),0,SUM(IF(LEFT($P15,1)=LEFT(CT15,1),$M$4),IF(RIGHT($P15,LEN($P15)-2)=RIGHT(CT15,LEN(CT15)-2),$M$5)))</f>
        <v>0</v>
      </c>
      <c r="CV15" s="197" t="s">
        <v>267</v>
      </c>
      <c r="CW15" s="200">
        <f t="shared" ref="CW15" si="336">IF(ISBLANK($P15),0,SUM(IF(LEFT($P15,1)=LEFT(CV15,1),$M$4),IF(RIGHT($P15,LEN($P15)-2)=RIGHT(CV15,LEN(CV15)-2),$M$5)))</f>
        <v>0</v>
      </c>
      <c r="CX15" s="197" t="s">
        <v>267</v>
      </c>
      <c r="CY15" s="200">
        <f t="shared" ref="CY15" si="337">IF(ISBLANK($P15),0,SUM(IF(LEFT($P15,1)=LEFT(CX15,1),$M$4),IF(RIGHT($P15,LEN($P15)-2)=RIGHT(CX15,LEN(CX15)-2),$M$5)))</f>
        <v>0</v>
      </c>
      <c r="CZ15" s="197" t="s">
        <v>320</v>
      </c>
      <c r="DA15" s="200">
        <f t="shared" ref="DA15" si="338">IF(ISBLANK($P15),0,SUM(IF(LEFT($P15,1)=LEFT(CZ15,1),$M$4),IF(RIGHT($P15,LEN($P15)-2)=RIGHT(CZ15,LEN(CZ15)-2),$M$5)))</f>
        <v>0</v>
      </c>
    </row>
    <row r="16" spans="1:107" x14ac:dyDescent="0.25">
      <c r="A16" s="222"/>
      <c r="B16" s="222"/>
      <c r="C16" s="222"/>
      <c r="D16" s="222"/>
      <c r="E16" s="222"/>
      <c r="F16" s="222"/>
      <c r="G16" s="222"/>
      <c r="L16" s="195" t="s">
        <v>401</v>
      </c>
      <c r="M16" s="185">
        <v>9</v>
      </c>
      <c r="O16" s="10" t="s">
        <v>282</v>
      </c>
      <c r="P16" s="10"/>
      <c r="Q16" s="5"/>
      <c r="R16" s="97" t="s">
        <v>321</v>
      </c>
      <c r="S16" s="200">
        <f t="shared" si="2"/>
        <v>0</v>
      </c>
      <c r="T16" s="97" t="s">
        <v>322</v>
      </c>
      <c r="U16" s="200">
        <f t="shared" si="2"/>
        <v>0</v>
      </c>
      <c r="V16" s="97" t="s">
        <v>271</v>
      </c>
      <c r="W16" s="200">
        <f t="shared" ref="W16" si="339">IF(ISBLANK($P16),0,SUM(IF(LEFT($P16,1)=LEFT(V16,1),$M$4),IF(RIGHT($P16,LEN($P16)-2)=RIGHT(V16,LEN(V16)-2),$M$5)))</f>
        <v>0</v>
      </c>
      <c r="X16" s="97" t="s">
        <v>308</v>
      </c>
      <c r="Y16" s="200">
        <f t="shared" ref="Y16" si="340">IF(ISBLANK($P16),0,SUM(IF(LEFT($P16,1)=LEFT(X16,1),$M$4),IF(RIGHT($P16,LEN($P16)-2)=RIGHT(X16,LEN(X16)-2),$M$5)))</f>
        <v>0</v>
      </c>
      <c r="Z16" s="97" t="s">
        <v>262</v>
      </c>
      <c r="AA16" s="200">
        <f t="shared" ref="AA16" si="341">IF(ISBLANK($P16),0,SUM(IF(LEFT($P16,1)=LEFT(Z16,1),$M$4),IF(RIGHT($P16,LEN($P16)-2)=RIGHT(Z16,LEN(Z16)-2),$M$5)))</f>
        <v>0</v>
      </c>
      <c r="AB16" s="97" t="s">
        <v>267</v>
      </c>
      <c r="AC16" s="200">
        <f t="shared" ref="AC16" si="342">IF(ISBLANK($P16),0,SUM(IF(LEFT($P16,1)=LEFT(AB16,1),$M$4),IF(RIGHT($P16,LEN($P16)-2)=RIGHT(AB16,LEN(AB16)-2),$M$5)))</f>
        <v>0</v>
      </c>
      <c r="AD16" t="s">
        <v>308</v>
      </c>
      <c r="AE16" s="200">
        <f t="shared" ref="AE16" si="343">IF(ISBLANK($P16),0,SUM(IF(LEFT($P16,1)=LEFT(AD16,1),$M$4),IF(RIGHT($P16,LEN($P16)-2)=RIGHT(AD16,LEN(AD16)-2),$M$5)))</f>
        <v>0</v>
      </c>
      <c r="AF16" t="s">
        <v>271</v>
      </c>
      <c r="AG16" s="200">
        <f t="shared" ref="AG16" si="344">IF(ISBLANK($P16),0,SUM(IF(LEFT($P16,1)=LEFT(AF16,1),$M$4),IF(RIGHT($P16,LEN($P16)-2)=RIGHT(AF16,LEN(AF16)-2),$M$5)))</f>
        <v>0</v>
      </c>
      <c r="AH16" t="s">
        <v>271</v>
      </c>
      <c r="AI16" s="200">
        <f t="shared" ref="AI16" si="345">IF(ISBLANK($P16),0,SUM(IF(LEFT($P16,1)=LEFT(AH16,1),$M$4),IF(RIGHT($P16,LEN($P16)-2)=RIGHT(AH16,LEN(AH16)-2),$M$5)))</f>
        <v>0</v>
      </c>
      <c r="AJ16" t="s">
        <v>322</v>
      </c>
      <c r="AK16" s="200">
        <f t="shared" ref="AK16" si="346">IF(ISBLANK($P16),0,SUM(IF(LEFT($P16,1)=LEFT(AJ16,1),$M$4),IF(RIGHT($P16,LEN($P16)-2)=RIGHT(AJ16,LEN(AJ16)-2),$M$5)))</f>
        <v>0</v>
      </c>
      <c r="AL16" t="s">
        <v>322</v>
      </c>
      <c r="AM16" s="200">
        <f t="shared" ref="AM16" si="347">IF(ISBLANK($P16),0,SUM(IF(LEFT($P16,1)=LEFT(AL16,1),$M$4),IF(RIGHT($P16,LEN($P16)-2)=RIGHT(AL16,LEN(AL16)-2),$M$5)))</f>
        <v>0</v>
      </c>
      <c r="AN16" t="s">
        <v>271</v>
      </c>
      <c r="AO16" s="200">
        <f t="shared" ref="AO16" si="348">IF(ISBLANK($P16),0,SUM(IF(LEFT($P16,1)=LEFT(AN16,1),$M$4),IF(RIGHT($P16,LEN($P16)-2)=RIGHT(AN16,LEN(AN16)-2),$M$5)))</f>
        <v>0</v>
      </c>
      <c r="AP16" t="s">
        <v>308</v>
      </c>
      <c r="AQ16" s="200">
        <f t="shared" ref="AQ16" si="349">IF(ISBLANK($P16),0,SUM(IF(LEFT($P16,1)=LEFT(AP16,1),$M$4),IF(RIGHT($P16,LEN($P16)-2)=RIGHT(AP16,LEN(AP16)-2),$M$5)))</f>
        <v>0</v>
      </c>
      <c r="AR16" t="s">
        <v>323</v>
      </c>
      <c r="AS16" s="200">
        <f t="shared" ref="AS16" si="350">IF(ISBLANK($P16),0,SUM(IF(LEFT($P16,1)=LEFT(AR16,1),$M$4),IF(RIGHT($P16,LEN($P16)-2)=RIGHT(AR16,LEN(AR16)-2),$M$5)))</f>
        <v>0</v>
      </c>
      <c r="AT16" t="s">
        <v>262</v>
      </c>
      <c r="AU16" s="200">
        <f t="shared" ref="AU16" si="351">IF(ISBLANK($P16),0,SUM(IF(LEFT($P16,1)=LEFT(AT16,1),$M$4),IF(RIGHT($P16,LEN($P16)-2)=RIGHT(AT16,LEN(AT16)-2),$M$5)))</f>
        <v>0</v>
      </c>
      <c r="AV16" t="s">
        <v>262</v>
      </c>
      <c r="AW16" s="200">
        <f t="shared" ref="AW16" si="352">IF(ISBLANK($P16),0,SUM(IF(LEFT($P16,1)=LEFT(AV16,1),$M$4),IF(RIGHT($P16,LEN($P16)-2)=RIGHT(AV16,LEN(AV16)-2),$M$5)))</f>
        <v>0</v>
      </c>
      <c r="AX16" t="s">
        <v>323</v>
      </c>
      <c r="AY16" s="200">
        <f t="shared" ref="AY16" si="353">IF(ISBLANK($P16),0,SUM(IF(LEFT($P16,1)=LEFT(AX16,1),$M$4),IF(RIGHT($P16,LEN($P16)-2)=RIGHT(AX16,LEN(AX16)-2),$M$5)))</f>
        <v>0</v>
      </c>
      <c r="AZ16" t="s">
        <v>322</v>
      </c>
      <c r="BA16" s="200">
        <f t="shared" ref="BA16" si="354">IF(ISBLANK($P16),0,SUM(IF(LEFT($P16,1)=LEFT(AZ16,1),$M$4),IF(RIGHT($P16,LEN($P16)-2)=RIGHT(AZ16,LEN(AZ16)-2),$M$5)))</f>
        <v>0</v>
      </c>
      <c r="BB16" t="s">
        <v>322</v>
      </c>
      <c r="BC16" s="200">
        <f t="shared" ref="BC16" si="355">IF(ISBLANK($P16),0,SUM(IF(LEFT($P16,1)=LEFT(BB16,1),$M$4),IF(RIGHT($P16,LEN($P16)-2)=RIGHT(BB16,LEN(BB16)-2),$M$5)))</f>
        <v>0</v>
      </c>
      <c r="BD16" t="s">
        <v>323</v>
      </c>
      <c r="BE16" s="200">
        <f t="shared" ref="BE16" si="356">IF(ISBLANK($P16),0,SUM(IF(LEFT($P16,1)=LEFT(BD16,1),$M$4),IF(RIGHT($P16,LEN($P16)-2)=RIGHT(BD16,LEN(BD16)-2),$M$5)))</f>
        <v>0</v>
      </c>
      <c r="BF16" t="s">
        <v>322</v>
      </c>
      <c r="BG16" s="200">
        <f t="shared" ref="BG16" si="357">IF(ISBLANK($P16),0,SUM(IF(LEFT($P16,1)=LEFT(BF16,1),$M$4),IF(RIGHT($P16,LEN($P16)-2)=RIGHT(BF16,LEN(BF16)-2),$M$5)))</f>
        <v>0</v>
      </c>
      <c r="BH16" t="s">
        <v>271</v>
      </c>
      <c r="BI16" s="200">
        <f t="shared" ref="BI16" si="358">IF(ISBLANK($P16),0,SUM(IF(LEFT($P16,1)=LEFT(BH16,1),$M$4),IF(RIGHT($P16,LEN($P16)-2)=RIGHT(BH16,LEN(BH16)-2),$M$5)))</f>
        <v>0</v>
      </c>
      <c r="BJ16" t="s">
        <v>268</v>
      </c>
      <c r="BK16" s="200">
        <f t="shared" ref="BK16" si="359">IF(ISBLANK($P16),0,SUM(IF(LEFT($P16,1)=LEFT(BJ16,1),$M$4),IF(RIGHT($P16,LEN($P16)-2)=RIGHT(BJ16,LEN(BJ16)-2),$M$5)))</f>
        <v>0</v>
      </c>
      <c r="BL16" t="s">
        <v>322</v>
      </c>
      <c r="BM16" s="200">
        <f t="shared" ref="BM16" si="360">IF(ISBLANK($P16),0,SUM(IF(LEFT($P16,1)=LEFT(BL16,1),$M$4),IF(RIGHT($P16,LEN($P16)-2)=RIGHT(BL16,LEN(BL16)-2),$M$5)))</f>
        <v>0</v>
      </c>
      <c r="BN16" t="s">
        <v>308</v>
      </c>
      <c r="BO16" s="200">
        <f t="shared" ref="BO16" si="361">IF(ISBLANK($P16),0,SUM(IF(LEFT($P16,1)=LEFT(BN16,1),$M$4),IF(RIGHT($P16,LEN($P16)-2)=RIGHT(BN16,LEN(BN16)-2),$M$5)))</f>
        <v>0</v>
      </c>
      <c r="BP16" t="s">
        <v>271</v>
      </c>
      <c r="BQ16" s="200">
        <f t="shared" ref="BQ16" si="362">IF(ISBLANK($P16),0,SUM(IF(LEFT($P16,1)=LEFT(BP16,1),$M$4),IF(RIGHT($P16,LEN($P16)-2)=RIGHT(BP16,LEN(BP16)-2),$M$5)))</f>
        <v>0</v>
      </c>
      <c r="BR16" t="s">
        <v>322</v>
      </c>
      <c r="BS16" s="200">
        <f t="shared" ref="BS16" si="363">IF(ISBLANK($P16),0,SUM(IF(LEFT($P16,1)=LEFT(BR16,1),$M$4),IF(RIGHT($P16,LEN($P16)-2)=RIGHT(BR16,LEN(BR16)-2),$M$5)))</f>
        <v>0</v>
      </c>
      <c r="BT16" t="s">
        <v>271</v>
      </c>
      <c r="BU16" s="200">
        <f t="shared" ref="BU16" si="364">IF(ISBLANK($P16),0,SUM(IF(LEFT($P16,1)=LEFT(BT16,1),$M$4),IF(RIGHT($P16,LEN($P16)-2)=RIGHT(BT16,LEN(BT16)-2),$M$5)))</f>
        <v>0</v>
      </c>
      <c r="BV16" t="s">
        <v>267</v>
      </c>
      <c r="BW16" s="200">
        <f t="shared" ref="BW16" si="365">IF(ISBLANK($P16),0,SUM(IF(LEFT($P16,1)=LEFT(BV16,1),$M$4),IF(RIGHT($P16,LEN($P16)-2)=RIGHT(BV16,LEN(BV16)-2),$M$5)))</f>
        <v>0</v>
      </c>
      <c r="BX16" t="s">
        <v>271</v>
      </c>
      <c r="BY16" s="200">
        <f t="shared" ref="BY16" si="366">IF(ISBLANK($P16),0,SUM(IF(LEFT($P16,1)=LEFT(BX16,1),$M$4),IF(RIGHT($P16,LEN($P16)-2)=RIGHT(BX16,LEN(BX16)-2),$M$5)))</f>
        <v>0</v>
      </c>
      <c r="BZ16" t="s">
        <v>267</v>
      </c>
      <c r="CA16" s="200">
        <f t="shared" ref="CA16" si="367">IF(ISBLANK($P16),0,SUM(IF(LEFT($P16,1)=LEFT(BZ16,1),$M$4),IF(RIGHT($P16,LEN($P16)-2)=RIGHT(BZ16,LEN(BZ16)-2),$M$5)))</f>
        <v>0</v>
      </c>
      <c r="CB16" t="s">
        <v>262</v>
      </c>
      <c r="CC16" s="200">
        <f t="shared" ref="CC16" si="368">IF(ISBLANK($P16),0,SUM(IF(LEFT($P16,1)=LEFT(CB16,1),$M$4),IF(RIGHT($P16,LEN($P16)-2)=RIGHT(CB16,LEN(CB16)-2),$M$5)))</f>
        <v>0</v>
      </c>
      <c r="CD16" t="s">
        <v>267</v>
      </c>
      <c r="CE16" s="200">
        <f t="shared" ref="CE16" si="369">IF(ISBLANK($P16),0,SUM(IF(LEFT($P16,1)=LEFT(CD16,1),$M$4),IF(RIGHT($P16,LEN($P16)-2)=RIGHT(CD16,LEN(CD16)-2),$M$5)))</f>
        <v>0</v>
      </c>
      <c r="CF16" s="197" t="s">
        <v>308</v>
      </c>
      <c r="CG16" s="200">
        <f t="shared" ref="CG16" si="370">IF(ISBLANK($P16),0,SUM(IF(LEFT($P16,1)=LEFT(CF16,1),$M$4),IF(RIGHT($P16,LEN($P16)-2)=RIGHT(CF16,LEN(CF16)-2),$M$5)))</f>
        <v>0</v>
      </c>
      <c r="CH16" t="s">
        <v>271</v>
      </c>
      <c r="CI16" s="200">
        <f t="shared" ref="CI16" si="371">IF(ISBLANK($P16),0,SUM(IF(LEFT($P16,1)=LEFT(CH16,1),$M$4),IF(RIGHT($P16,LEN($P16)-2)=RIGHT(CH16,LEN(CH16)-2),$M$5)))</f>
        <v>0</v>
      </c>
      <c r="CJ16" t="s">
        <v>267</v>
      </c>
      <c r="CK16" s="200">
        <f t="shared" ref="CK16" si="372">IF(ISBLANK($P16),0,SUM(IF(LEFT($P16,1)=LEFT(CJ16,1),$M$4),IF(RIGHT($P16,LEN($P16)-2)=RIGHT(CJ16,LEN(CJ16)-2),$M$5)))</f>
        <v>0</v>
      </c>
      <c r="CL16" s="197" t="s">
        <v>267</v>
      </c>
      <c r="CM16" s="200">
        <f t="shared" ref="CM16" si="373">IF(ISBLANK($P16),0,SUM(IF(LEFT($P16,1)=LEFT(CL16,1),$M$4),IF(RIGHT($P16,LEN($P16)-2)=RIGHT(CL16,LEN(CL16)-2),$M$5)))</f>
        <v>0</v>
      </c>
      <c r="CN16" t="s">
        <v>271</v>
      </c>
      <c r="CO16" s="200">
        <f t="shared" ref="CO16" si="374">IF(ISBLANK($P16),0,SUM(IF(LEFT($P16,1)=LEFT(CN16,1),$M$4),IF(RIGHT($P16,LEN($P16)-2)=RIGHT(CN16,LEN(CN16)-2),$M$5)))</f>
        <v>0</v>
      </c>
      <c r="CP16" t="s">
        <v>271</v>
      </c>
      <c r="CQ16" s="200">
        <f t="shared" ref="CQ16" si="375">IF(ISBLANK($P16),0,SUM(IF(LEFT($P16,1)=LEFT(CP16,1),$M$4),IF(RIGHT($P16,LEN($P16)-2)=RIGHT(CP16,LEN(CP16)-2),$M$5)))</f>
        <v>0</v>
      </c>
      <c r="CR16" t="s">
        <v>322</v>
      </c>
      <c r="CS16" s="200">
        <f t="shared" ref="CS16" si="376">IF(ISBLANK($P16),0,SUM(IF(LEFT($P16,1)=LEFT(CR16,1),$M$4),IF(RIGHT($P16,LEN($P16)-2)=RIGHT(CR16,LEN(CR16)-2),$M$5)))</f>
        <v>0</v>
      </c>
      <c r="CT16" s="197" t="s">
        <v>308</v>
      </c>
      <c r="CU16" s="200">
        <f t="shared" ref="CU16" si="377">IF(ISBLANK($P16),0,SUM(IF(LEFT($P16,1)=LEFT(CT16,1),$M$4),IF(RIGHT($P16,LEN($P16)-2)=RIGHT(CT16,LEN(CT16)-2),$M$5)))</f>
        <v>0</v>
      </c>
      <c r="CV16" s="197" t="s">
        <v>271</v>
      </c>
      <c r="CW16" s="200">
        <f t="shared" ref="CW16" si="378">IF(ISBLANK($P16),0,SUM(IF(LEFT($P16,1)=LEFT(CV16,1),$M$4),IF(RIGHT($P16,LEN($P16)-2)=RIGHT(CV16,LEN(CV16)-2),$M$5)))</f>
        <v>0</v>
      </c>
      <c r="CX16" s="197" t="s">
        <v>321</v>
      </c>
      <c r="CY16" s="200">
        <f t="shared" ref="CY16" si="379">IF(ISBLANK($P16),0,SUM(IF(LEFT($P16,1)=LEFT(CX16,1),$M$4),IF(RIGHT($P16,LEN($P16)-2)=RIGHT(CX16,LEN(CX16)-2),$M$5)))</f>
        <v>0</v>
      </c>
      <c r="CZ16" s="197" t="s">
        <v>320</v>
      </c>
      <c r="DA16" s="200">
        <f t="shared" ref="DA16" si="380">IF(ISBLANK($P16),0,SUM(IF(LEFT($P16,1)=LEFT(CZ16,1),$M$4),IF(RIGHT($P16,LEN($P16)-2)=RIGHT(CZ16,LEN(CZ16)-2),$M$5)))</f>
        <v>0</v>
      </c>
    </row>
    <row r="17" spans="1:105" x14ac:dyDescent="0.25">
      <c r="O17" s="10" t="s">
        <v>283</v>
      </c>
      <c r="P17" s="10"/>
      <c r="Q17" s="5"/>
      <c r="R17" s="97" t="s">
        <v>262</v>
      </c>
      <c r="S17" s="200">
        <f t="shared" si="2"/>
        <v>0</v>
      </c>
      <c r="T17" s="97" t="s">
        <v>326</v>
      </c>
      <c r="U17" s="200">
        <f t="shared" si="2"/>
        <v>0</v>
      </c>
      <c r="V17" s="97" t="s">
        <v>271</v>
      </c>
      <c r="W17" s="200">
        <f t="shared" ref="W17" si="381">IF(ISBLANK($P17),0,SUM(IF(LEFT($P17,1)=LEFT(V17,1),$M$4),IF(RIGHT($P17,LEN($P17)-2)=RIGHT(V17,LEN(V17)-2),$M$5)))</f>
        <v>0</v>
      </c>
      <c r="X17" s="97" t="s">
        <v>271</v>
      </c>
      <c r="Y17" s="200">
        <f t="shared" ref="Y17" si="382">IF(ISBLANK($P17),0,SUM(IF(LEFT($P17,1)=LEFT(X17,1),$M$4),IF(RIGHT($P17,LEN($P17)-2)=RIGHT(X17,LEN(X17)-2),$M$5)))</f>
        <v>0</v>
      </c>
      <c r="Z17" s="97" t="s">
        <v>271</v>
      </c>
      <c r="AA17" s="200">
        <f t="shared" ref="AA17" si="383">IF(ISBLANK($P17),0,SUM(IF(LEFT($P17,1)=LEFT(Z17,1),$M$4),IF(RIGHT($P17,LEN($P17)-2)=RIGHT(Z17,LEN(Z17)-2),$M$5)))</f>
        <v>0</v>
      </c>
      <c r="AB17" s="97" t="s">
        <v>326</v>
      </c>
      <c r="AC17" s="200">
        <f t="shared" ref="AC17" si="384">IF(ISBLANK($P17),0,SUM(IF(LEFT($P17,1)=LEFT(AB17,1),$M$4),IF(RIGHT($P17,LEN($P17)-2)=RIGHT(AB17,LEN(AB17)-2),$M$5)))</f>
        <v>0</v>
      </c>
      <c r="AD17" t="s">
        <v>262</v>
      </c>
      <c r="AE17" s="200">
        <f t="shared" ref="AE17" si="385">IF(ISBLANK($P17),0,SUM(IF(LEFT($P17,1)=LEFT(AD17,1),$M$4),IF(RIGHT($P17,LEN($P17)-2)=RIGHT(AD17,LEN(AD17)-2),$M$5)))</f>
        <v>0</v>
      </c>
      <c r="AF17" t="s">
        <v>330</v>
      </c>
      <c r="AG17" s="200">
        <f t="shared" ref="AG17" si="386">IF(ISBLANK($P17),0,SUM(IF(LEFT($P17,1)=LEFT(AF17,1),$M$4),IF(RIGHT($P17,LEN($P17)-2)=RIGHT(AF17,LEN(AF17)-2),$M$5)))</f>
        <v>0</v>
      </c>
      <c r="AH17" t="s">
        <v>262</v>
      </c>
      <c r="AI17" s="200">
        <f t="shared" ref="AI17" si="387">IF(ISBLANK($P17),0,SUM(IF(LEFT($P17,1)=LEFT(AH17,1),$M$4),IF(RIGHT($P17,LEN($P17)-2)=RIGHT(AH17,LEN(AH17)-2),$M$5)))</f>
        <v>0</v>
      </c>
      <c r="AJ17" t="s">
        <v>271</v>
      </c>
      <c r="AK17" s="200">
        <f t="shared" ref="AK17" si="388">IF(ISBLANK($P17),0,SUM(IF(LEFT($P17,1)=LEFT(AJ17,1),$M$4),IF(RIGHT($P17,LEN($P17)-2)=RIGHT(AJ17,LEN(AJ17)-2),$M$5)))</f>
        <v>0</v>
      </c>
      <c r="AL17" t="s">
        <v>326</v>
      </c>
      <c r="AM17" s="200">
        <f t="shared" ref="AM17" si="389">IF(ISBLANK($P17),0,SUM(IF(LEFT($P17,1)=LEFT(AL17,1),$M$4),IF(RIGHT($P17,LEN($P17)-2)=RIGHT(AL17,LEN(AL17)-2),$M$5)))</f>
        <v>0</v>
      </c>
      <c r="AN17" t="s">
        <v>265</v>
      </c>
      <c r="AO17" s="200">
        <f t="shared" ref="AO17" si="390">IF(ISBLANK($P17),0,SUM(IF(LEFT($P17,1)=LEFT(AN17,1),$M$4),IF(RIGHT($P17,LEN($P17)-2)=RIGHT(AN17,LEN(AN17)-2),$M$5)))</f>
        <v>0</v>
      </c>
      <c r="AP17" t="s">
        <v>326</v>
      </c>
      <c r="AQ17" s="200">
        <f t="shared" ref="AQ17" si="391">IF(ISBLANK($P17),0,SUM(IF(LEFT($P17,1)=LEFT(AP17,1),$M$4),IF(RIGHT($P17,LEN($P17)-2)=RIGHT(AP17,LEN(AP17)-2),$M$5)))</f>
        <v>0</v>
      </c>
      <c r="AR17" t="s">
        <v>262</v>
      </c>
      <c r="AS17" s="200">
        <f t="shared" ref="AS17" si="392">IF(ISBLANK($P17),0,SUM(IF(LEFT($P17,1)=LEFT(AR17,1),$M$4),IF(RIGHT($P17,LEN($P17)-2)=RIGHT(AR17,LEN(AR17)-2),$M$5)))</f>
        <v>0</v>
      </c>
      <c r="AT17" t="s">
        <v>321</v>
      </c>
      <c r="AU17" s="200">
        <f t="shared" ref="AU17" si="393">IF(ISBLANK($P17),0,SUM(IF(LEFT($P17,1)=LEFT(AT17,1),$M$4),IF(RIGHT($P17,LEN($P17)-2)=RIGHT(AT17,LEN(AT17)-2),$M$5)))</f>
        <v>0</v>
      </c>
      <c r="AV17" t="s">
        <v>330</v>
      </c>
      <c r="AW17" s="200">
        <f t="shared" ref="AW17" si="394">IF(ISBLANK($P17),0,SUM(IF(LEFT($P17,1)=LEFT(AV17,1),$M$4),IF(RIGHT($P17,LEN($P17)-2)=RIGHT(AV17,LEN(AV17)-2),$M$5)))</f>
        <v>0</v>
      </c>
      <c r="AX17" t="s">
        <v>271</v>
      </c>
      <c r="AY17" s="200">
        <f t="shared" ref="AY17" si="395">IF(ISBLANK($P17),0,SUM(IF(LEFT($P17,1)=LEFT(AX17,1),$M$4),IF(RIGHT($P17,LEN($P17)-2)=RIGHT(AX17,LEN(AX17)-2),$M$5)))</f>
        <v>0</v>
      </c>
      <c r="AZ17" t="s">
        <v>346</v>
      </c>
      <c r="BA17" s="200">
        <f t="shared" ref="BA17" si="396">IF(ISBLANK($P17),0,SUM(IF(LEFT($P17,1)=LEFT(AZ17,1),$M$4),IF(RIGHT($P17,LEN($P17)-2)=RIGHT(AZ17,LEN(AZ17)-2),$M$5)))</f>
        <v>0</v>
      </c>
      <c r="BB17" t="s">
        <v>265</v>
      </c>
      <c r="BC17" s="200">
        <f t="shared" ref="BC17" si="397">IF(ISBLANK($P17),0,SUM(IF(LEFT($P17,1)=LEFT(BB17,1),$M$4),IF(RIGHT($P17,LEN($P17)-2)=RIGHT(BB17,LEN(BB17)-2),$M$5)))</f>
        <v>0</v>
      </c>
      <c r="BD17" t="s">
        <v>323</v>
      </c>
      <c r="BE17" s="200">
        <f t="shared" ref="BE17" si="398">IF(ISBLANK($P17),0,SUM(IF(LEFT($P17,1)=LEFT(BD17,1),$M$4),IF(RIGHT($P17,LEN($P17)-2)=RIGHT(BD17,LEN(BD17)-2),$M$5)))</f>
        <v>0</v>
      </c>
      <c r="BF17" t="s">
        <v>346</v>
      </c>
      <c r="BG17" s="200">
        <f t="shared" ref="BG17" si="399">IF(ISBLANK($P17),0,SUM(IF(LEFT($P17,1)=LEFT(BF17,1),$M$4),IF(RIGHT($P17,LEN($P17)-2)=RIGHT(BF17,LEN(BF17)-2),$M$5)))</f>
        <v>0</v>
      </c>
      <c r="BH17" t="s">
        <v>346</v>
      </c>
      <c r="BI17" s="200">
        <f t="shared" ref="BI17" si="400">IF(ISBLANK($P17),0,SUM(IF(LEFT($P17,1)=LEFT(BH17,1),$M$4),IF(RIGHT($P17,LEN($P17)-2)=RIGHT(BH17,LEN(BH17)-2),$M$5)))</f>
        <v>0</v>
      </c>
      <c r="BJ17" t="s">
        <v>330</v>
      </c>
      <c r="BK17" s="200">
        <f t="shared" ref="BK17" si="401">IF(ISBLANK($P17),0,SUM(IF(LEFT($P17,1)=LEFT(BJ17,1),$M$4),IF(RIGHT($P17,LEN($P17)-2)=RIGHT(BJ17,LEN(BJ17)-2),$M$5)))</f>
        <v>0</v>
      </c>
      <c r="BL17" t="s">
        <v>271</v>
      </c>
      <c r="BM17" s="200">
        <f t="shared" ref="BM17" si="402">IF(ISBLANK($P17),0,SUM(IF(LEFT($P17,1)=LEFT(BL17,1),$M$4),IF(RIGHT($P17,LEN($P17)-2)=RIGHT(BL17,LEN(BL17)-2),$M$5)))</f>
        <v>0</v>
      </c>
      <c r="BN17" t="s">
        <v>326</v>
      </c>
      <c r="BO17" s="200">
        <f t="shared" ref="BO17" si="403">IF(ISBLANK($P17),0,SUM(IF(LEFT($P17,1)=LEFT(BN17,1),$M$4),IF(RIGHT($P17,LEN($P17)-2)=RIGHT(BN17,LEN(BN17)-2),$M$5)))</f>
        <v>0</v>
      </c>
      <c r="BP17" t="s">
        <v>323</v>
      </c>
      <c r="BQ17" s="200">
        <f t="shared" ref="BQ17" si="404">IF(ISBLANK($P17),0,SUM(IF(LEFT($P17,1)=LEFT(BP17,1),$M$4),IF(RIGHT($P17,LEN($P17)-2)=RIGHT(BP17,LEN(BP17)-2),$M$5)))</f>
        <v>0</v>
      </c>
      <c r="BR17" t="s">
        <v>346</v>
      </c>
      <c r="BS17" s="200">
        <f t="shared" ref="BS17" si="405">IF(ISBLANK($P17),0,SUM(IF(LEFT($P17,1)=LEFT(BR17,1),$M$4),IF(RIGHT($P17,LEN($P17)-2)=RIGHT(BR17,LEN(BR17)-2),$M$5)))</f>
        <v>0</v>
      </c>
      <c r="BT17" t="s">
        <v>330</v>
      </c>
      <c r="BU17" s="200">
        <f t="shared" ref="BU17" si="406">IF(ISBLANK($P17),0,SUM(IF(LEFT($P17,1)=LEFT(BT17,1),$M$4),IF(RIGHT($P17,LEN($P17)-2)=RIGHT(BT17,LEN(BT17)-2),$M$5)))</f>
        <v>0</v>
      </c>
      <c r="BV17" t="s">
        <v>330</v>
      </c>
      <c r="BW17" s="200">
        <f t="shared" ref="BW17" si="407">IF(ISBLANK($P17),0,SUM(IF(LEFT($P17,1)=LEFT(BV17,1),$M$4),IF(RIGHT($P17,LEN($P17)-2)=RIGHT(BV17,LEN(BV17)-2),$M$5)))</f>
        <v>0</v>
      </c>
      <c r="BX17" t="s">
        <v>330</v>
      </c>
      <c r="BY17" s="200">
        <f t="shared" ref="BY17" si="408">IF(ISBLANK($P17),0,SUM(IF(LEFT($P17,1)=LEFT(BX17,1),$M$4),IF(RIGHT($P17,LEN($P17)-2)=RIGHT(BX17,LEN(BX17)-2),$M$5)))</f>
        <v>0</v>
      </c>
      <c r="BZ17" t="s">
        <v>323</v>
      </c>
      <c r="CA17" s="200">
        <f t="shared" ref="CA17" si="409">IF(ISBLANK($P17),0,SUM(IF(LEFT($P17,1)=LEFT(BZ17,1),$M$4),IF(RIGHT($P17,LEN($P17)-2)=RIGHT(BZ17,LEN(BZ17)-2),$M$5)))</f>
        <v>0</v>
      </c>
      <c r="CB17" t="s">
        <v>346</v>
      </c>
      <c r="CC17" s="200">
        <f t="shared" ref="CC17" si="410">IF(ISBLANK($P17),0,SUM(IF(LEFT($P17,1)=LEFT(CB17,1),$M$4),IF(RIGHT($P17,LEN($P17)-2)=RIGHT(CB17,LEN(CB17)-2),$M$5)))</f>
        <v>0</v>
      </c>
      <c r="CD17" t="s">
        <v>262</v>
      </c>
      <c r="CE17" s="200">
        <f t="shared" ref="CE17" si="411">IF(ISBLANK($P17),0,SUM(IF(LEFT($P17,1)=LEFT(CD17,1),$M$4),IF(RIGHT($P17,LEN($P17)-2)=RIGHT(CD17,LEN(CD17)-2),$M$5)))</f>
        <v>0</v>
      </c>
      <c r="CF17" s="197" t="s">
        <v>323</v>
      </c>
      <c r="CG17" s="200">
        <f t="shared" ref="CG17" si="412">IF(ISBLANK($P17),0,SUM(IF(LEFT($P17,1)=LEFT(CF17,1),$M$4),IF(RIGHT($P17,LEN($P17)-2)=RIGHT(CF17,LEN(CF17)-2),$M$5)))</f>
        <v>0</v>
      </c>
      <c r="CH17" t="s">
        <v>323</v>
      </c>
      <c r="CI17" s="200">
        <f t="shared" ref="CI17" si="413">IF(ISBLANK($P17),0,SUM(IF(LEFT($P17,1)=LEFT(CH17,1),$M$4),IF(RIGHT($P17,LEN($P17)-2)=RIGHT(CH17,LEN(CH17)-2),$M$5)))</f>
        <v>0</v>
      </c>
      <c r="CJ17" t="s">
        <v>346</v>
      </c>
      <c r="CK17" s="200">
        <f t="shared" ref="CK17" si="414">IF(ISBLANK($P17),0,SUM(IF(LEFT($P17,1)=LEFT(CJ17,1),$M$4),IF(RIGHT($P17,LEN($P17)-2)=RIGHT(CJ17,LEN(CJ17)-2),$M$5)))</f>
        <v>0</v>
      </c>
      <c r="CL17" s="197" t="s">
        <v>346</v>
      </c>
      <c r="CM17" s="200">
        <f t="shared" ref="CM17" si="415">IF(ISBLANK($P17),0,SUM(IF(LEFT($P17,1)=LEFT(CL17,1),$M$4),IF(RIGHT($P17,LEN($P17)-2)=RIGHT(CL17,LEN(CL17)-2),$M$5)))</f>
        <v>0</v>
      </c>
      <c r="CN17" t="s">
        <v>326</v>
      </c>
      <c r="CO17" s="200">
        <f t="shared" ref="CO17" si="416">IF(ISBLANK($P17),0,SUM(IF(LEFT($P17,1)=LEFT(CN17,1),$M$4),IF(RIGHT($P17,LEN($P17)-2)=RIGHT(CN17,LEN(CN17)-2),$M$5)))</f>
        <v>0</v>
      </c>
      <c r="CP17" t="s">
        <v>330</v>
      </c>
      <c r="CQ17" s="200">
        <f t="shared" ref="CQ17" si="417">IF(ISBLANK($P17),0,SUM(IF(LEFT($P17,1)=LEFT(CP17,1),$M$4),IF(RIGHT($P17,LEN($P17)-2)=RIGHT(CP17,LEN(CP17)-2),$M$5)))</f>
        <v>0</v>
      </c>
      <c r="CR17" t="s">
        <v>336</v>
      </c>
      <c r="CS17" s="200">
        <f t="shared" ref="CS17" si="418">IF(ISBLANK($P17),0,SUM(IF(LEFT($P17,1)=LEFT(CR17,1),$M$4),IF(RIGHT($P17,LEN($P17)-2)=RIGHT(CR17,LEN(CR17)-2),$M$5)))</f>
        <v>0</v>
      </c>
      <c r="CT17" s="197" t="s">
        <v>271</v>
      </c>
      <c r="CU17" s="200">
        <f t="shared" ref="CU17" si="419">IF(ISBLANK($P17),0,SUM(IF(LEFT($P17,1)=LEFT(CT17,1),$M$4),IF(RIGHT($P17,LEN($P17)-2)=RIGHT(CT17,LEN(CT17)-2),$M$5)))</f>
        <v>0</v>
      </c>
      <c r="CV17" s="197" t="s">
        <v>330</v>
      </c>
      <c r="CW17" s="200">
        <f t="shared" ref="CW17" si="420">IF(ISBLANK($P17),0,SUM(IF(LEFT($P17,1)=LEFT(CV17,1),$M$4),IF(RIGHT($P17,LEN($P17)-2)=RIGHT(CV17,LEN(CV17)-2),$M$5)))</f>
        <v>0</v>
      </c>
      <c r="CX17" s="197" t="s">
        <v>323</v>
      </c>
      <c r="CY17" s="200">
        <f t="shared" ref="CY17" si="421">IF(ISBLANK($P17),0,SUM(IF(LEFT($P17,1)=LEFT(CX17,1),$M$4),IF(RIGHT($P17,LEN($P17)-2)=RIGHT(CX17,LEN(CX17)-2),$M$5)))</f>
        <v>0</v>
      </c>
      <c r="CZ17" s="197" t="s">
        <v>330</v>
      </c>
      <c r="DA17" s="200">
        <f t="shared" ref="DA17" si="422">IF(ISBLANK($P17),0,SUM(IF(LEFT($P17,1)=LEFT(CZ17,1),$M$4),IF(RIGHT($P17,LEN($P17)-2)=RIGHT(CZ17,LEN(CZ17)-2),$M$5)))</f>
        <v>0</v>
      </c>
    </row>
    <row r="18" spans="1:105" x14ac:dyDescent="0.25">
      <c r="A18" s="184" t="s">
        <v>340</v>
      </c>
      <c r="B18" s="184" t="s">
        <v>338</v>
      </c>
      <c r="C18" s="184" t="s">
        <v>339</v>
      </c>
      <c r="D18" s="184" t="s">
        <v>341</v>
      </c>
      <c r="E18" s="184" t="s">
        <v>342</v>
      </c>
      <c r="F18" s="184" t="s">
        <v>337</v>
      </c>
      <c r="G18" s="184" t="s">
        <v>178</v>
      </c>
      <c r="J18" t="s">
        <v>343</v>
      </c>
      <c r="K18" s="97" t="s">
        <v>141</v>
      </c>
      <c r="L18" s="186" t="s">
        <v>242</v>
      </c>
      <c r="M18" s="97" t="s">
        <v>36</v>
      </c>
      <c r="O18" s="10" t="s">
        <v>284</v>
      </c>
      <c r="P18" s="10"/>
      <c r="Q18" s="5"/>
      <c r="R18" s="97" t="s">
        <v>308</v>
      </c>
      <c r="S18" s="200">
        <f t="shared" si="2"/>
        <v>0</v>
      </c>
      <c r="T18" s="97" t="s">
        <v>267</v>
      </c>
      <c r="U18" s="200">
        <f t="shared" si="2"/>
        <v>0</v>
      </c>
      <c r="V18" s="97" t="s">
        <v>321</v>
      </c>
      <c r="W18" s="200">
        <f t="shared" ref="W18" si="423">IF(ISBLANK($P18),0,SUM(IF(LEFT($P18,1)=LEFT(V18,1),$M$4),IF(RIGHT($P18,LEN($P18)-2)=RIGHT(V18,LEN(V18)-2),$M$5)))</f>
        <v>0</v>
      </c>
      <c r="X18" s="97" t="s">
        <v>267</v>
      </c>
      <c r="Y18" s="200">
        <f t="shared" ref="Y18" si="424">IF(ISBLANK($P18),0,SUM(IF(LEFT($P18,1)=LEFT(X18,1),$M$4),IF(RIGHT($P18,LEN($P18)-2)=RIGHT(X18,LEN(X18)-2),$M$5)))</f>
        <v>0</v>
      </c>
      <c r="Z18" s="97" t="s">
        <v>267</v>
      </c>
      <c r="AA18" s="200">
        <f t="shared" ref="AA18" si="425">IF(ISBLANK($P18),0,SUM(IF(LEFT($P18,1)=LEFT(Z18,1),$M$4),IF(RIGHT($P18,LEN($P18)-2)=RIGHT(Z18,LEN(Z18)-2),$M$5)))</f>
        <v>0</v>
      </c>
      <c r="AB18" s="97" t="s">
        <v>322</v>
      </c>
      <c r="AC18" s="200">
        <f t="shared" ref="AC18" si="426">IF(ISBLANK($P18),0,SUM(IF(LEFT($P18,1)=LEFT(AB18,1),$M$4),IF(RIGHT($P18,LEN($P18)-2)=RIGHT(AB18,LEN(AB18)-2),$M$5)))</f>
        <v>0</v>
      </c>
      <c r="AD18" t="s">
        <v>267</v>
      </c>
      <c r="AE18" s="200">
        <f t="shared" ref="AE18" si="427">IF(ISBLANK($P18),0,SUM(IF(LEFT($P18,1)=LEFT(AD18,1),$M$4),IF(RIGHT($P18,LEN($P18)-2)=RIGHT(AD18,LEN(AD18)-2),$M$5)))</f>
        <v>0</v>
      </c>
      <c r="AF18" t="s">
        <v>271</v>
      </c>
      <c r="AG18" s="200">
        <f t="shared" ref="AG18" si="428">IF(ISBLANK($P18),0,SUM(IF(LEFT($P18,1)=LEFT(AF18,1),$M$4),IF(RIGHT($P18,LEN($P18)-2)=RIGHT(AF18,LEN(AF18)-2),$M$5)))</f>
        <v>0</v>
      </c>
      <c r="AH18" t="s">
        <v>322</v>
      </c>
      <c r="AI18" s="200">
        <f t="shared" ref="AI18" si="429">IF(ISBLANK($P18),0,SUM(IF(LEFT($P18,1)=LEFT(AH18,1),$M$4),IF(RIGHT($P18,LEN($P18)-2)=RIGHT(AH18,LEN(AH18)-2),$M$5)))</f>
        <v>0</v>
      </c>
      <c r="AJ18" t="s">
        <v>267</v>
      </c>
      <c r="AK18" s="200">
        <f t="shared" ref="AK18" si="430">IF(ISBLANK($P18),0,SUM(IF(LEFT($P18,1)=LEFT(AJ18,1),$M$4),IF(RIGHT($P18,LEN($P18)-2)=RIGHT(AJ18,LEN(AJ18)-2),$M$5)))</f>
        <v>0</v>
      </c>
      <c r="AL18" t="s">
        <v>267</v>
      </c>
      <c r="AM18" s="200">
        <f t="shared" ref="AM18" si="431">IF(ISBLANK($P18),0,SUM(IF(LEFT($P18,1)=LEFT(AL18,1),$M$4),IF(RIGHT($P18,LEN($P18)-2)=RIGHT(AL18,LEN(AL18)-2),$M$5)))</f>
        <v>0</v>
      </c>
      <c r="AN18" t="s">
        <v>263</v>
      </c>
      <c r="AO18" s="200">
        <f t="shared" ref="AO18" si="432">IF(ISBLANK($P18),0,SUM(IF(LEFT($P18,1)=LEFT(AN18,1),$M$4),IF(RIGHT($P18,LEN($P18)-2)=RIGHT(AN18,LEN(AN18)-2),$M$5)))</f>
        <v>0</v>
      </c>
      <c r="AP18" t="s">
        <v>308</v>
      </c>
      <c r="AQ18" s="200">
        <f t="shared" ref="AQ18" si="433">IF(ISBLANK($P18),0,SUM(IF(LEFT($P18,1)=LEFT(AP18,1),$M$4),IF(RIGHT($P18,LEN($P18)-2)=RIGHT(AP18,LEN(AP18)-2),$M$5)))</f>
        <v>0</v>
      </c>
      <c r="AR18" t="s">
        <v>267</v>
      </c>
      <c r="AS18" s="200">
        <f t="shared" ref="AS18" si="434">IF(ISBLANK($P18),0,SUM(IF(LEFT($P18,1)=LEFT(AR18,1),$M$4),IF(RIGHT($P18,LEN($P18)-2)=RIGHT(AR18,LEN(AR18)-2),$M$5)))</f>
        <v>0</v>
      </c>
      <c r="AT18" t="s">
        <v>262</v>
      </c>
      <c r="AU18" s="200">
        <f t="shared" ref="AU18" si="435">IF(ISBLANK($P18),0,SUM(IF(LEFT($P18,1)=LEFT(AT18,1),$M$4),IF(RIGHT($P18,LEN($P18)-2)=RIGHT(AT18,LEN(AT18)-2),$M$5)))</f>
        <v>0</v>
      </c>
      <c r="AV18" t="s">
        <v>308</v>
      </c>
      <c r="AW18" s="200">
        <f t="shared" ref="AW18" si="436">IF(ISBLANK($P18),0,SUM(IF(LEFT($P18,1)=LEFT(AV18,1),$M$4),IF(RIGHT($P18,LEN($P18)-2)=RIGHT(AV18,LEN(AV18)-2),$M$5)))</f>
        <v>0</v>
      </c>
      <c r="AX18" t="s">
        <v>271</v>
      </c>
      <c r="AY18" s="200">
        <f t="shared" ref="AY18" si="437">IF(ISBLANK($P18),0,SUM(IF(LEFT($P18,1)=LEFT(AX18,1),$M$4),IF(RIGHT($P18,LEN($P18)-2)=RIGHT(AX18,LEN(AX18)-2),$M$5)))</f>
        <v>0</v>
      </c>
      <c r="AZ18" t="s">
        <v>308</v>
      </c>
      <c r="BA18" s="200">
        <f t="shared" ref="BA18" si="438">IF(ISBLANK($P18),0,SUM(IF(LEFT($P18,1)=LEFT(AZ18,1),$M$4),IF(RIGHT($P18,LEN($P18)-2)=RIGHT(AZ18,LEN(AZ18)-2),$M$5)))</f>
        <v>0</v>
      </c>
      <c r="BB18" t="s">
        <v>267</v>
      </c>
      <c r="BC18" s="200">
        <f t="shared" ref="BC18" si="439">IF(ISBLANK($P18),0,SUM(IF(LEFT($P18,1)=LEFT(BB18,1),$M$4),IF(RIGHT($P18,LEN($P18)-2)=RIGHT(BB18,LEN(BB18)-2),$M$5)))</f>
        <v>0</v>
      </c>
      <c r="BD18" t="s">
        <v>308</v>
      </c>
      <c r="BE18" s="200">
        <f t="shared" ref="BE18" si="440">IF(ISBLANK($P18),0,SUM(IF(LEFT($P18,1)=LEFT(BD18,1),$M$4),IF(RIGHT($P18,LEN($P18)-2)=RIGHT(BD18,LEN(BD18)-2),$M$5)))</f>
        <v>0</v>
      </c>
      <c r="BF18" t="s">
        <v>266</v>
      </c>
      <c r="BG18" s="200">
        <f t="shared" ref="BG18" si="441">IF(ISBLANK($P18),0,SUM(IF(LEFT($P18,1)=LEFT(BF18,1),$M$4),IF(RIGHT($P18,LEN($P18)-2)=RIGHT(BF18,LEN(BF18)-2),$M$5)))</f>
        <v>0</v>
      </c>
      <c r="BH18" t="s">
        <v>262</v>
      </c>
      <c r="BI18" s="200">
        <f t="shared" ref="BI18" si="442">IF(ISBLANK($P18),0,SUM(IF(LEFT($P18,1)=LEFT(BH18,1),$M$4),IF(RIGHT($P18,LEN($P18)-2)=RIGHT(BH18,LEN(BH18)-2),$M$5)))</f>
        <v>0</v>
      </c>
      <c r="BJ18" t="s">
        <v>320</v>
      </c>
      <c r="BK18" s="200">
        <f t="shared" ref="BK18" si="443">IF(ISBLANK($P18),0,SUM(IF(LEFT($P18,1)=LEFT(BJ18,1),$M$4),IF(RIGHT($P18,LEN($P18)-2)=RIGHT(BJ18,LEN(BJ18)-2),$M$5)))</f>
        <v>0</v>
      </c>
      <c r="BL18" t="s">
        <v>321</v>
      </c>
      <c r="BM18" s="200">
        <f t="shared" ref="BM18" si="444">IF(ISBLANK($P18),0,SUM(IF(LEFT($P18,1)=LEFT(BL18,1),$M$4),IF(RIGHT($P18,LEN($P18)-2)=RIGHT(BL18,LEN(BL18)-2),$M$5)))</f>
        <v>0</v>
      </c>
      <c r="BN18" t="s">
        <v>308</v>
      </c>
      <c r="BO18" s="200">
        <f t="shared" ref="BO18" si="445">IF(ISBLANK($P18),0,SUM(IF(LEFT($P18,1)=LEFT(BN18,1),$M$4),IF(RIGHT($P18,LEN($P18)-2)=RIGHT(BN18,LEN(BN18)-2),$M$5)))</f>
        <v>0</v>
      </c>
      <c r="BP18" t="s">
        <v>308</v>
      </c>
      <c r="BQ18" s="200">
        <f t="shared" ref="BQ18" si="446">IF(ISBLANK($P18),0,SUM(IF(LEFT($P18,1)=LEFT(BP18,1),$M$4),IF(RIGHT($P18,LEN($P18)-2)=RIGHT(BP18,LEN(BP18)-2),$M$5)))</f>
        <v>0</v>
      </c>
      <c r="BR18" t="s">
        <v>322</v>
      </c>
      <c r="BS18" s="200">
        <f t="shared" ref="BS18" si="447">IF(ISBLANK($P18),0,SUM(IF(LEFT($P18,1)=LEFT(BR18,1),$M$4),IF(RIGHT($P18,LEN($P18)-2)=RIGHT(BR18,LEN(BR18)-2),$M$5)))</f>
        <v>0</v>
      </c>
      <c r="BT18" t="s">
        <v>322</v>
      </c>
      <c r="BU18" s="200">
        <f t="shared" ref="BU18" si="448">IF(ISBLANK($P18),0,SUM(IF(LEFT($P18,1)=LEFT(BT18,1),$M$4),IF(RIGHT($P18,LEN($P18)-2)=RIGHT(BT18,LEN(BT18)-2),$M$5)))</f>
        <v>0</v>
      </c>
      <c r="BV18" t="s">
        <v>308</v>
      </c>
      <c r="BW18" s="200">
        <f t="shared" ref="BW18" si="449">IF(ISBLANK($P18),0,SUM(IF(LEFT($P18,1)=LEFT(BV18,1),$M$4),IF(RIGHT($P18,LEN($P18)-2)=RIGHT(BV18,LEN(BV18)-2),$M$5)))</f>
        <v>0</v>
      </c>
      <c r="BX18" t="s">
        <v>271</v>
      </c>
      <c r="BY18" s="200">
        <f t="shared" ref="BY18" si="450">IF(ISBLANK($P18),0,SUM(IF(LEFT($P18,1)=LEFT(BX18,1),$M$4),IF(RIGHT($P18,LEN($P18)-2)=RIGHT(BX18,LEN(BX18)-2),$M$5)))</f>
        <v>0</v>
      </c>
      <c r="BZ18" t="s">
        <v>271</v>
      </c>
      <c r="CA18" s="200">
        <f t="shared" ref="CA18" si="451">IF(ISBLANK($P18),0,SUM(IF(LEFT($P18,1)=LEFT(BZ18,1),$M$4),IF(RIGHT($P18,LEN($P18)-2)=RIGHT(BZ18,LEN(BZ18)-2),$M$5)))</f>
        <v>0</v>
      </c>
      <c r="CB18" t="s">
        <v>320</v>
      </c>
      <c r="CC18" s="200">
        <f t="shared" ref="CC18" si="452">IF(ISBLANK($P18),0,SUM(IF(LEFT($P18,1)=LEFT(CB18,1),$M$4),IF(RIGHT($P18,LEN($P18)-2)=RIGHT(CB18,LEN(CB18)-2),$M$5)))</f>
        <v>0</v>
      </c>
      <c r="CD18" t="s">
        <v>267</v>
      </c>
      <c r="CE18" s="200">
        <f t="shared" ref="CE18" si="453">IF(ISBLANK($P18),0,SUM(IF(LEFT($P18,1)=LEFT(CD18,1),$M$4),IF(RIGHT($P18,LEN($P18)-2)=RIGHT(CD18,LEN(CD18)-2),$M$5)))</f>
        <v>0</v>
      </c>
      <c r="CF18" s="197" t="s">
        <v>308</v>
      </c>
      <c r="CG18" s="200">
        <f t="shared" ref="CG18" si="454">IF(ISBLANK($P18),0,SUM(IF(LEFT($P18,1)=LEFT(CF18,1),$M$4),IF(RIGHT($P18,LEN($P18)-2)=RIGHT(CF18,LEN(CF18)-2),$M$5)))</f>
        <v>0</v>
      </c>
      <c r="CH18" t="s">
        <v>271</v>
      </c>
      <c r="CI18" s="200">
        <f t="shared" ref="CI18" si="455">IF(ISBLANK($P18),0,SUM(IF(LEFT($P18,1)=LEFT(CH18,1),$M$4),IF(RIGHT($P18,LEN($P18)-2)=RIGHT(CH18,LEN(CH18)-2),$M$5)))</f>
        <v>0</v>
      </c>
      <c r="CJ18" t="s">
        <v>320</v>
      </c>
      <c r="CK18" s="200">
        <f t="shared" ref="CK18" si="456">IF(ISBLANK($P18),0,SUM(IF(LEFT($P18,1)=LEFT(CJ18,1),$M$4),IF(RIGHT($P18,LEN($P18)-2)=RIGHT(CJ18,LEN(CJ18)-2),$M$5)))</f>
        <v>0</v>
      </c>
      <c r="CL18" s="197" t="s">
        <v>266</v>
      </c>
      <c r="CM18" s="200">
        <f t="shared" ref="CM18" si="457">IF(ISBLANK($P18),0,SUM(IF(LEFT($P18,1)=LEFT(CL18,1),$M$4),IF(RIGHT($P18,LEN($P18)-2)=RIGHT(CL18,LEN(CL18)-2),$M$5)))</f>
        <v>0</v>
      </c>
      <c r="CN18" t="s">
        <v>268</v>
      </c>
      <c r="CO18" s="200">
        <f t="shared" ref="CO18" si="458">IF(ISBLANK($P18),0,SUM(IF(LEFT($P18,1)=LEFT(CN18,1),$M$4),IF(RIGHT($P18,LEN($P18)-2)=RIGHT(CN18,LEN(CN18)-2),$M$5)))</f>
        <v>0</v>
      </c>
      <c r="CP18" t="s">
        <v>322</v>
      </c>
      <c r="CQ18" s="200">
        <f t="shared" ref="CQ18" si="459">IF(ISBLANK($P18),0,SUM(IF(LEFT($P18,1)=LEFT(CP18,1),$M$4),IF(RIGHT($P18,LEN($P18)-2)=RIGHT(CP18,LEN(CP18)-2),$M$5)))</f>
        <v>0</v>
      </c>
      <c r="CR18" t="s">
        <v>322</v>
      </c>
      <c r="CS18" s="200">
        <f t="shared" ref="CS18" si="460">IF(ISBLANK($P18),0,SUM(IF(LEFT($P18,1)=LEFT(CR18,1),$M$4),IF(RIGHT($P18,LEN($P18)-2)=RIGHT(CR18,LEN(CR18)-2),$M$5)))</f>
        <v>0</v>
      </c>
      <c r="CT18" s="197" t="s">
        <v>322</v>
      </c>
      <c r="CU18" s="200">
        <f t="shared" ref="CU18" si="461">IF(ISBLANK($P18),0,SUM(IF(LEFT($P18,1)=LEFT(CT18,1),$M$4),IF(RIGHT($P18,LEN($P18)-2)=RIGHT(CT18,LEN(CT18)-2),$M$5)))</f>
        <v>0</v>
      </c>
      <c r="CV18" s="197" t="s">
        <v>322</v>
      </c>
      <c r="CW18" s="200">
        <f t="shared" ref="CW18" si="462">IF(ISBLANK($P18),0,SUM(IF(LEFT($P18,1)=LEFT(CV18,1),$M$4),IF(RIGHT($P18,LEN($P18)-2)=RIGHT(CV18,LEN(CV18)-2),$M$5)))</f>
        <v>0</v>
      </c>
      <c r="CX18" s="197" t="s">
        <v>322</v>
      </c>
      <c r="CY18" s="200">
        <f t="shared" ref="CY18" si="463">IF(ISBLANK($P18),0,SUM(IF(LEFT($P18,1)=LEFT(CX18,1),$M$4),IF(RIGHT($P18,LEN($P18)-2)=RIGHT(CX18,LEN(CX18)-2),$M$5)))</f>
        <v>0</v>
      </c>
      <c r="CZ18" s="197" t="s">
        <v>322</v>
      </c>
      <c r="DA18" s="200">
        <f t="shared" ref="DA18" si="464">IF(ISBLANK($P18),0,SUM(IF(LEFT($P18,1)=LEFT(CZ18,1),$M$4),IF(RIGHT($P18,LEN($P18)-2)=RIGHT(CZ18,LEN(CZ18)-2),$M$5)))</f>
        <v>0</v>
      </c>
    </row>
    <row r="19" spans="1:105" x14ac:dyDescent="0.25">
      <c r="A19" s="184" t="s">
        <v>319</v>
      </c>
      <c r="B19" s="184">
        <f t="shared" ref="B19:B24" si="465">HLOOKUP(A19,$R$3:$EY$4,2,FALSE)</f>
        <v>2</v>
      </c>
      <c r="C19" s="184">
        <f t="shared" ref="C19:C24" si="466">SUM(G19,ROW()/1000)</f>
        <v>2.0190000000000001</v>
      </c>
      <c r="D19" s="184">
        <f>RANK(Tabla6[[#This Row],[PUNTOS1]],Tabla6[PUNTOS1],0)</f>
        <v>19</v>
      </c>
      <c r="E19" s="184">
        <f>RANK(Tabla6[[#This Row],[PUNTOS2]],Tabla6[PUNTOS2],0)</f>
        <v>42</v>
      </c>
      <c r="F19" s="184" t="str">
        <f>UPPER(A19)</f>
        <v>ESPE AMEZKETA</v>
      </c>
      <c r="G19" s="184">
        <f>HLOOKUP(A19,$R$3:$EY$4,2,FALSE)</f>
        <v>2</v>
      </c>
      <c r="H19" s="94"/>
      <c r="I19" s="94"/>
      <c r="J19" s="189">
        <f t="shared" ref="J19:J62" si="467">ROW()-18</f>
        <v>1</v>
      </c>
      <c r="K19" s="200">
        <f>IF(Tabla5[[#This Row],[Puntos]]=M18,".",Tabla5[[#This Row],[PosReal]])</f>
        <v>1</v>
      </c>
      <c r="L19" s="193" t="str">
        <f>VLOOKUP(J19,Tabla6[[ORDEN2]:[PUNTOS]],2,FALSE)</f>
        <v>MIRIAM ANTONA</v>
      </c>
      <c r="M19" s="194">
        <f>VLOOKUP(J19,Tabla6[[ORDEN2]:[PUNTOS]],3,FALSE)</f>
        <v>3</v>
      </c>
      <c r="O19" s="10" t="s">
        <v>285</v>
      </c>
      <c r="P19" s="10"/>
      <c r="Q19" s="5"/>
      <c r="R19" s="97" t="s">
        <v>322</v>
      </c>
      <c r="S19" s="200">
        <f t="shared" si="2"/>
        <v>0</v>
      </c>
      <c r="T19" s="97" t="s">
        <v>320</v>
      </c>
      <c r="U19" s="200">
        <f t="shared" si="2"/>
        <v>0</v>
      </c>
      <c r="V19" s="97" t="s">
        <v>263</v>
      </c>
      <c r="W19" s="200">
        <f t="shared" ref="W19" si="468">IF(ISBLANK($P19),0,SUM(IF(LEFT($P19,1)=LEFT(V19,1),$M$4),IF(RIGHT($P19,LEN($P19)-2)=RIGHT(V19,LEN(V19)-2),$M$5)))</f>
        <v>0</v>
      </c>
      <c r="X19" s="97" t="s">
        <v>320</v>
      </c>
      <c r="Y19" s="200">
        <f t="shared" ref="Y19" si="469">IF(ISBLANK($P19),0,SUM(IF(LEFT($P19,1)=LEFT(X19,1),$M$4),IF(RIGHT($P19,LEN($P19)-2)=RIGHT(X19,LEN(X19)-2),$M$5)))</f>
        <v>0</v>
      </c>
      <c r="Z19" s="97" t="s">
        <v>322</v>
      </c>
      <c r="AA19" s="200">
        <f t="shared" ref="AA19" si="470">IF(ISBLANK($P19),0,SUM(IF(LEFT($P19,1)=LEFT(Z19,1),$M$4),IF(RIGHT($P19,LEN($P19)-2)=RIGHT(Z19,LEN(Z19)-2),$M$5)))</f>
        <v>0</v>
      </c>
      <c r="AB19" s="97" t="s">
        <v>266</v>
      </c>
      <c r="AC19" s="200">
        <f t="shared" ref="AC19" si="471">IF(ISBLANK($P19),0,SUM(IF(LEFT($P19,1)=LEFT(AB19,1),$M$4),IF(RIGHT($P19,LEN($P19)-2)=RIGHT(AB19,LEN(AB19)-2),$M$5)))</f>
        <v>0</v>
      </c>
      <c r="AD19" t="s">
        <v>320</v>
      </c>
      <c r="AE19" s="200">
        <f t="shared" ref="AE19" si="472">IF(ISBLANK($P19),0,SUM(IF(LEFT($P19,1)=LEFT(AD19,1),$M$4),IF(RIGHT($P19,LEN($P19)-2)=RIGHT(AD19,LEN(AD19)-2),$M$5)))</f>
        <v>0</v>
      </c>
      <c r="AF19" t="s">
        <v>308</v>
      </c>
      <c r="AG19" s="200">
        <f t="shared" ref="AG19" si="473">IF(ISBLANK($P19),0,SUM(IF(LEFT($P19,1)=LEFT(AF19,1),$M$4),IF(RIGHT($P19,LEN($P19)-2)=RIGHT(AF19,LEN(AF19)-2),$M$5)))</f>
        <v>0</v>
      </c>
      <c r="AH19" t="s">
        <v>267</v>
      </c>
      <c r="AI19" s="200">
        <f t="shared" ref="AI19" si="474">IF(ISBLANK($P19),0,SUM(IF(LEFT($P19,1)=LEFT(AH19,1),$M$4),IF(RIGHT($P19,LEN($P19)-2)=RIGHT(AH19,LEN(AH19)-2),$M$5)))</f>
        <v>0</v>
      </c>
      <c r="AJ19" t="s">
        <v>322</v>
      </c>
      <c r="AK19" s="200">
        <f t="shared" ref="AK19" si="475">IF(ISBLANK($P19),0,SUM(IF(LEFT($P19,1)=LEFT(AJ19,1),$M$4),IF(RIGHT($P19,LEN($P19)-2)=RIGHT(AJ19,LEN(AJ19)-2),$M$5)))</f>
        <v>0</v>
      </c>
      <c r="AL19" t="s">
        <v>320</v>
      </c>
      <c r="AM19" s="200">
        <f t="shared" ref="AM19" si="476">IF(ISBLANK($P19),0,SUM(IF(LEFT($P19,1)=LEFT(AL19,1),$M$4),IF(RIGHT($P19,LEN($P19)-2)=RIGHT(AL19,LEN(AL19)-2),$M$5)))</f>
        <v>0</v>
      </c>
      <c r="AN19" t="s">
        <v>322</v>
      </c>
      <c r="AO19" s="200">
        <f t="shared" ref="AO19" si="477">IF(ISBLANK($P19),0,SUM(IF(LEFT($P19,1)=LEFT(AN19,1),$M$4),IF(RIGHT($P19,LEN($P19)-2)=RIGHT(AN19,LEN(AN19)-2),$M$5)))</f>
        <v>0</v>
      </c>
      <c r="AP19" t="s">
        <v>320</v>
      </c>
      <c r="AQ19" s="200">
        <f t="shared" ref="AQ19" si="478">IF(ISBLANK($P19),0,SUM(IF(LEFT($P19,1)=LEFT(AP19,1),$M$4),IF(RIGHT($P19,LEN($P19)-2)=RIGHT(AP19,LEN(AP19)-2),$M$5)))</f>
        <v>0</v>
      </c>
      <c r="AR19" t="s">
        <v>322</v>
      </c>
      <c r="AS19" s="200">
        <f t="shared" ref="AS19" si="479">IF(ISBLANK($P19),0,SUM(IF(LEFT($P19,1)=LEFT(AR19,1),$M$4),IF(RIGHT($P19,LEN($P19)-2)=RIGHT(AR19,LEN(AR19)-2),$M$5)))</f>
        <v>0</v>
      </c>
      <c r="AT19" t="s">
        <v>266</v>
      </c>
      <c r="AU19" s="200">
        <f t="shared" ref="AU19" si="480">IF(ISBLANK($P19),0,SUM(IF(LEFT($P19,1)=LEFT(AT19,1),$M$4),IF(RIGHT($P19,LEN($P19)-2)=RIGHT(AT19,LEN(AT19)-2),$M$5)))</f>
        <v>0</v>
      </c>
      <c r="AV19" t="s">
        <v>322</v>
      </c>
      <c r="AW19" s="200">
        <f t="shared" ref="AW19" si="481">IF(ISBLANK($P19),0,SUM(IF(LEFT($P19,1)=LEFT(AV19,1),$M$4),IF(RIGHT($P19,LEN($P19)-2)=RIGHT(AV19,LEN(AV19)-2),$M$5)))</f>
        <v>0</v>
      </c>
      <c r="AX19" t="s">
        <v>322</v>
      </c>
      <c r="AY19" s="200">
        <f t="shared" ref="AY19" si="482">IF(ISBLANK($P19),0,SUM(IF(LEFT($P19,1)=LEFT(AX19,1),$M$4),IF(RIGHT($P19,LEN($P19)-2)=RIGHT(AX19,LEN(AX19)-2),$M$5)))</f>
        <v>0</v>
      </c>
      <c r="AZ19" t="s">
        <v>267</v>
      </c>
      <c r="BA19" s="200">
        <f t="shared" ref="BA19" si="483">IF(ISBLANK($P19),0,SUM(IF(LEFT($P19,1)=LEFT(AZ19,1),$M$4),IF(RIGHT($P19,LEN($P19)-2)=RIGHT(AZ19,LEN(AZ19)-2),$M$5)))</f>
        <v>0</v>
      </c>
      <c r="BB19" t="s">
        <v>266</v>
      </c>
      <c r="BC19" s="200">
        <f t="shared" ref="BC19" si="484">IF(ISBLANK($P19),0,SUM(IF(LEFT($P19,1)=LEFT(BB19,1),$M$4),IF(RIGHT($P19,LEN($P19)-2)=RIGHT(BB19,LEN(BB19)-2),$M$5)))</f>
        <v>0</v>
      </c>
      <c r="BD19" t="s">
        <v>320</v>
      </c>
      <c r="BE19" s="200">
        <f t="shared" ref="BE19" si="485">IF(ISBLANK($P19),0,SUM(IF(LEFT($P19,1)=LEFT(BD19,1),$M$4),IF(RIGHT($P19,LEN($P19)-2)=RIGHT(BD19,LEN(BD19)-2),$M$5)))</f>
        <v>0</v>
      </c>
      <c r="BF19" t="s">
        <v>269</v>
      </c>
      <c r="BG19" s="200">
        <f t="shared" ref="BG19" si="486">IF(ISBLANK($P19),0,SUM(IF(LEFT($P19,1)=LEFT(BF19,1),$M$4),IF(RIGHT($P19,LEN($P19)-2)=RIGHT(BF19,LEN(BF19)-2),$M$5)))</f>
        <v>0</v>
      </c>
      <c r="BH19" t="s">
        <v>334</v>
      </c>
      <c r="BI19" s="200">
        <f t="shared" ref="BI19" si="487">IF(ISBLANK($P19),0,SUM(IF(LEFT($P19,1)=LEFT(BH19,1),$M$4),IF(RIGHT($P19,LEN($P19)-2)=RIGHT(BH19,LEN(BH19)-2),$M$5)))</f>
        <v>0</v>
      </c>
      <c r="BJ19" t="s">
        <v>267</v>
      </c>
      <c r="BK19" s="200">
        <f t="shared" ref="BK19" si="488">IF(ISBLANK($P19),0,SUM(IF(LEFT($P19,1)=LEFT(BJ19,1),$M$4),IF(RIGHT($P19,LEN($P19)-2)=RIGHT(BJ19,LEN(BJ19)-2),$M$5)))</f>
        <v>0</v>
      </c>
      <c r="BL19" t="s">
        <v>320</v>
      </c>
      <c r="BM19" s="200">
        <f t="shared" ref="BM19" si="489">IF(ISBLANK($P19),0,SUM(IF(LEFT($P19,1)=LEFT(BL19,1),$M$4),IF(RIGHT($P19,LEN($P19)-2)=RIGHT(BL19,LEN(BL19)-2),$M$5)))</f>
        <v>0</v>
      </c>
      <c r="BN19" t="s">
        <v>322</v>
      </c>
      <c r="BO19" s="200">
        <f t="shared" ref="BO19" si="490">IF(ISBLANK($P19),0,SUM(IF(LEFT($P19,1)=LEFT(BN19,1),$M$4),IF(RIGHT($P19,LEN($P19)-2)=RIGHT(BN19,LEN(BN19)-2),$M$5)))</f>
        <v>0</v>
      </c>
      <c r="BP19" t="s">
        <v>334</v>
      </c>
      <c r="BQ19" s="200">
        <f t="shared" ref="BQ19" si="491">IF(ISBLANK($P19),0,SUM(IF(LEFT($P19,1)=LEFT(BP19,1),$M$4),IF(RIGHT($P19,LEN($P19)-2)=RIGHT(BP19,LEN(BP19)-2),$M$5)))</f>
        <v>0</v>
      </c>
      <c r="BR19" t="s">
        <v>308</v>
      </c>
      <c r="BS19" s="200">
        <f t="shared" ref="BS19" si="492">IF(ISBLANK($P19),0,SUM(IF(LEFT($P19,1)=LEFT(BR19,1),$M$4),IF(RIGHT($P19,LEN($P19)-2)=RIGHT(BR19,LEN(BR19)-2),$M$5)))</f>
        <v>0</v>
      </c>
      <c r="BT19" t="s">
        <v>320</v>
      </c>
      <c r="BU19" s="200">
        <f t="shared" ref="BU19" si="493">IF(ISBLANK($P19),0,SUM(IF(LEFT($P19,1)=LEFT(BT19,1),$M$4),IF(RIGHT($P19,LEN($P19)-2)=RIGHT(BT19,LEN(BT19)-2),$M$5)))</f>
        <v>0</v>
      </c>
      <c r="BV19" t="s">
        <v>320</v>
      </c>
      <c r="BW19" s="200">
        <f t="shared" ref="BW19" si="494">IF(ISBLANK($P19),0,SUM(IF(LEFT($P19,1)=LEFT(BV19,1),$M$4),IF(RIGHT($P19,LEN($P19)-2)=RIGHT(BV19,LEN(BV19)-2),$M$5)))</f>
        <v>0</v>
      </c>
      <c r="BX19" t="s">
        <v>322</v>
      </c>
      <c r="BY19" s="200">
        <f t="shared" ref="BY19" si="495">IF(ISBLANK($P19),0,SUM(IF(LEFT($P19,1)=LEFT(BX19,1),$M$4),IF(RIGHT($P19,LEN($P19)-2)=RIGHT(BX19,LEN(BX19)-2),$M$5)))</f>
        <v>0</v>
      </c>
      <c r="BZ19" t="s">
        <v>263</v>
      </c>
      <c r="CA19" s="200">
        <f t="shared" ref="CA19" si="496">IF(ISBLANK($P19),0,SUM(IF(LEFT($P19,1)=LEFT(BZ19,1),$M$4),IF(RIGHT($P19,LEN($P19)-2)=RIGHT(BZ19,LEN(BZ19)-2),$M$5)))</f>
        <v>0</v>
      </c>
      <c r="CB19" t="s">
        <v>322</v>
      </c>
      <c r="CC19" s="200">
        <f t="shared" ref="CC19" si="497">IF(ISBLANK($P19),0,SUM(IF(LEFT($P19,1)=LEFT(CB19,1),$M$4),IF(RIGHT($P19,LEN($P19)-2)=RIGHT(CB19,LEN(CB19)-2),$M$5)))</f>
        <v>0</v>
      </c>
      <c r="CD19" t="s">
        <v>320</v>
      </c>
      <c r="CE19" s="200">
        <f t="shared" ref="CE19" si="498">IF(ISBLANK($P19),0,SUM(IF(LEFT($P19,1)=LEFT(CD19,1),$M$4),IF(RIGHT($P19,LEN($P19)-2)=RIGHT(CD19,LEN(CD19)-2),$M$5)))</f>
        <v>0</v>
      </c>
      <c r="CF19" s="197" t="s">
        <v>308</v>
      </c>
      <c r="CG19" s="200">
        <f t="shared" ref="CG19" si="499">IF(ISBLANK($P19),0,SUM(IF(LEFT($P19,1)=LEFT(CF19,1),$M$4),IF(RIGHT($P19,LEN($P19)-2)=RIGHT(CF19,LEN(CF19)-2),$M$5)))</f>
        <v>0</v>
      </c>
      <c r="CH19" t="s">
        <v>322</v>
      </c>
      <c r="CI19" s="200">
        <f t="shared" ref="CI19" si="500">IF(ISBLANK($P19),0,SUM(IF(LEFT($P19,1)=LEFT(CH19,1),$M$4),IF(RIGHT($P19,LEN($P19)-2)=RIGHT(CH19,LEN(CH19)-2),$M$5)))</f>
        <v>0</v>
      </c>
      <c r="CJ19" t="s">
        <v>263</v>
      </c>
      <c r="CK19" s="200">
        <f t="shared" ref="CK19" si="501">IF(ISBLANK($P19),0,SUM(IF(LEFT($P19,1)=LEFT(CJ19,1),$M$4),IF(RIGHT($P19,LEN($P19)-2)=RIGHT(CJ19,LEN(CJ19)-2),$M$5)))</f>
        <v>0</v>
      </c>
      <c r="CL19" s="197" t="s">
        <v>320</v>
      </c>
      <c r="CM19" s="200">
        <f t="shared" ref="CM19" si="502">IF(ISBLANK($P19),0,SUM(IF(LEFT($P19,1)=LEFT(CL19,1),$M$4),IF(RIGHT($P19,LEN($P19)-2)=RIGHT(CL19,LEN(CL19)-2),$M$5)))</f>
        <v>0</v>
      </c>
      <c r="CN19" t="s">
        <v>323</v>
      </c>
      <c r="CO19" s="200">
        <f t="shared" ref="CO19" si="503">IF(ISBLANK($P19),0,SUM(IF(LEFT($P19,1)=LEFT(CN19,1),$M$4),IF(RIGHT($P19,LEN($P19)-2)=RIGHT(CN19,LEN(CN19)-2),$M$5)))</f>
        <v>0</v>
      </c>
      <c r="CP19" t="s">
        <v>266</v>
      </c>
      <c r="CQ19" s="200">
        <f t="shared" ref="CQ19" si="504">IF(ISBLANK($P19),0,SUM(IF(LEFT($P19,1)=LEFT(CP19,1),$M$4),IF(RIGHT($P19,LEN($P19)-2)=RIGHT(CP19,LEN(CP19)-2),$M$5)))</f>
        <v>0</v>
      </c>
      <c r="CR19" t="s">
        <v>266</v>
      </c>
      <c r="CS19" s="200">
        <f t="shared" ref="CS19" si="505">IF(ISBLANK($P19),0,SUM(IF(LEFT($P19,1)=LEFT(CR19,1),$M$4),IF(RIGHT($P19,LEN($P19)-2)=RIGHT(CR19,LEN(CR19)-2),$M$5)))</f>
        <v>0</v>
      </c>
      <c r="CT19" s="197" t="s">
        <v>267</v>
      </c>
      <c r="CU19" s="200">
        <f t="shared" ref="CU19" si="506">IF(ISBLANK($P19),0,SUM(IF(LEFT($P19,1)=LEFT(CT19,1),$M$4),IF(RIGHT($P19,LEN($P19)-2)=RIGHT(CT19,LEN(CT19)-2),$M$5)))</f>
        <v>0</v>
      </c>
      <c r="CV19" s="197" t="s">
        <v>320</v>
      </c>
      <c r="CW19" s="200">
        <f t="shared" ref="CW19" si="507">IF(ISBLANK($P19),0,SUM(IF(LEFT($P19,1)=LEFT(CV19,1),$M$4),IF(RIGHT($P19,LEN($P19)-2)=RIGHT(CV19,LEN(CV19)-2),$M$5)))</f>
        <v>0</v>
      </c>
      <c r="CX19" s="197" t="s">
        <v>322</v>
      </c>
      <c r="CY19" s="200">
        <f t="shared" ref="CY19" si="508">IF(ISBLANK($P19),0,SUM(IF(LEFT($P19,1)=LEFT(CX19,1),$M$4),IF(RIGHT($P19,LEN($P19)-2)=RIGHT(CX19,LEN(CX19)-2),$M$5)))</f>
        <v>0</v>
      </c>
      <c r="CZ19" s="197" t="s">
        <v>266</v>
      </c>
      <c r="DA19" s="200">
        <f t="shared" ref="DA19" si="509">IF(ISBLANK($P19),0,SUM(IF(LEFT($P19,1)=LEFT(CZ19,1),$M$4),IF(RIGHT($P19,LEN($P19)-2)=RIGHT(CZ19,LEN(CZ19)-2),$M$5)))</f>
        <v>0</v>
      </c>
    </row>
    <row r="20" spans="1:105" x14ac:dyDescent="0.25">
      <c r="A20" s="184" t="s">
        <v>328</v>
      </c>
      <c r="B20" s="184">
        <f t="shared" si="465"/>
        <v>3</v>
      </c>
      <c r="C20" s="184">
        <f t="shared" si="466"/>
        <v>3.02</v>
      </c>
      <c r="D20" s="184">
        <f>RANK(Tabla6[[#This Row],[PUNTOS1]],Tabla6[PUNTOS1],0)</f>
        <v>1</v>
      </c>
      <c r="E20" s="184">
        <f>RANK(Tabla6[[#This Row],[PUNTOS2]],Tabla6[PUNTOS2],0)</f>
        <v>18</v>
      </c>
      <c r="F20" s="184" t="str">
        <f t="shared" ref="F20:F24" si="510">UPPER(A20)</f>
        <v>ALVARO HUARTE</v>
      </c>
      <c r="G20" s="184">
        <f t="shared" ref="G20:G24" si="511">HLOOKUP(A20,$R$3:$EY$4,2,FALSE)</f>
        <v>3</v>
      </c>
      <c r="H20" s="94"/>
      <c r="I20" s="94"/>
      <c r="J20" s="189">
        <f t="shared" si="467"/>
        <v>2</v>
      </c>
      <c r="K20" s="200" t="str">
        <f>IF(Tabla5[[#This Row],[Puntos]]=M19,".",Tabla5[[#This Row],[PosReal]])</f>
        <v>.</v>
      </c>
      <c r="L20" s="193" t="str">
        <f>VLOOKUP(J20,Tabla6[[ORDEN2]:[PUNTOS]],2,FALSE)</f>
        <v>GARAZI LACUNZA</v>
      </c>
      <c r="M20" s="194">
        <f>VLOOKUP(J20,Tabla6[[ORDEN2]:[PUNTOS]],3,FALSE)</f>
        <v>3</v>
      </c>
      <c r="O20" s="10" t="s">
        <v>286</v>
      </c>
      <c r="P20" s="10"/>
      <c r="Q20" s="5"/>
      <c r="R20" s="97" t="s">
        <v>321</v>
      </c>
      <c r="S20" s="200">
        <f t="shared" si="2"/>
        <v>0</v>
      </c>
      <c r="T20" s="97" t="s">
        <v>308</v>
      </c>
      <c r="U20" s="200">
        <f t="shared" si="2"/>
        <v>0</v>
      </c>
      <c r="V20" s="97" t="s">
        <v>271</v>
      </c>
      <c r="W20" s="200">
        <f t="shared" ref="W20" si="512">IF(ISBLANK($P20),0,SUM(IF(LEFT($P20,1)=LEFT(V20,1),$M$4),IF(RIGHT($P20,LEN($P20)-2)=RIGHT(V20,LEN(V20)-2),$M$5)))</f>
        <v>0</v>
      </c>
      <c r="X20" s="97" t="s">
        <v>308</v>
      </c>
      <c r="Y20" s="200">
        <f t="shared" ref="Y20" si="513">IF(ISBLANK($P20),0,SUM(IF(LEFT($P20,1)=LEFT(X20,1),$M$4),IF(RIGHT($P20,LEN($P20)-2)=RIGHT(X20,LEN(X20)-2),$M$5)))</f>
        <v>0</v>
      </c>
      <c r="Z20" s="97" t="s">
        <v>271</v>
      </c>
      <c r="AA20" s="200">
        <f t="shared" ref="AA20" si="514">IF(ISBLANK($P20),0,SUM(IF(LEFT($P20,1)=LEFT(Z20,1),$M$4),IF(RIGHT($P20,LEN($P20)-2)=RIGHT(Z20,LEN(Z20)-2),$M$5)))</f>
        <v>0</v>
      </c>
      <c r="AB20" s="97" t="s">
        <v>308</v>
      </c>
      <c r="AC20" s="200">
        <f t="shared" ref="AC20" si="515">IF(ISBLANK($P20),0,SUM(IF(LEFT($P20,1)=LEFT(AB20,1),$M$4),IF(RIGHT($P20,LEN($P20)-2)=RIGHT(AB20,LEN(AB20)-2),$M$5)))</f>
        <v>0</v>
      </c>
      <c r="AD20" t="s">
        <v>321</v>
      </c>
      <c r="AE20" s="200">
        <f t="shared" ref="AE20" si="516">IF(ISBLANK($P20),0,SUM(IF(LEFT($P20,1)=LEFT(AD20,1),$M$4),IF(RIGHT($P20,LEN($P20)-2)=RIGHT(AD20,LEN(AD20)-2),$M$5)))</f>
        <v>0</v>
      </c>
      <c r="AF20" t="s">
        <v>321</v>
      </c>
      <c r="AG20" s="200">
        <f t="shared" ref="AG20" si="517">IF(ISBLANK($P20),0,SUM(IF(LEFT($P20,1)=LEFT(AF20,1),$M$4),IF(RIGHT($P20,LEN($P20)-2)=RIGHT(AF20,LEN(AF20)-2),$M$5)))</f>
        <v>0</v>
      </c>
      <c r="AH20" t="s">
        <v>308</v>
      </c>
      <c r="AI20" s="200">
        <f t="shared" ref="AI20" si="518">IF(ISBLANK($P20),0,SUM(IF(LEFT($P20,1)=LEFT(AH20,1),$M$4),IF(RIGHT($P20,LEN($P20)-2)=RIGHT(AH20,LEN(AH20)-2),$M$5)))</f>
        <v>0</v>
      </c>
      <c r="AJ20" t="s">
        <v>308</v>
      </c>
      <c r="AK20" s="200">
        <f t="shared" ref="AK20" si="519">IF(ISBLANK($P20),0,SUM(IF(LEFT($P20,1)=LEFT(AJ20,1),$M$4),IF(RIGHT($P20,LEN($P20)-2)=RIGHT(AJ20,LEN(AJ20)-2),$M$5)))</f>
        <v>0</v>
      </c>
      <c r="AL20" t="s">
        <v>266</v>
      </c>
      <c r="AM20" s="200">
        <f t="shared" ref="AM20" si="520">IF(ISBLANK($P20),0,SUM(IF(LEFT($P20,1)=LEFT(AL20,1),$M$4),IF(RIGHT($P20,LEN($P20)-2)=RIGHT(AL20,LEN(AL20)-2),$M$5)))</f>
        <v>0</v>
      </c>
      <c r="AN20" t="s">
        <v>262</v>
      </c>
      <c r="AO20" s="200">
        <f t="shared" ref="AO20" si="521">IF(ISBLANK($P20),0,SUM(IF(LEFT($P20,1)=LEFT(AN20,1),$M$4),IF(RIGHT($P20,LEN($P20)-2)=RIGHT(AN20,LEN(AN20)-2),$M$5)))</f>
        <v>0</v>
      </c>
      <c r="AP20" t="s">
        <v>322</v>
      </c>
      <c r="AQ20" s="200">
        <f t="shared" ref="AQ20" si="522">IF(ISBLANK($P20),0,SUM(IF(LEFT($P20,1)=LEFT(AP20,1),$M$4),IF(RIGHT($P20,LEN($P20)-2)=RIGHT(AP20,LEN(AP20)-2),$M$5)))</f>
        <v>0</v>
      </c>
      <c r="AR20" t="s">
        <v>308</v>
      </c>
      <c r="AS20" s="200">
        <f t="shared" ref="AS20" si="523">IF(ISBLANK($P20),0,SUM(IF(LEFT($P20,1)=LEFT(AR20,1),$M$4),IF(RIGHT($P20,LEN($P20)-2)=RIGHT(AR20,LEN(AR20)-2),$M$5)))</f>
        <v>0</v>
      </c>
      <c r="AT20" t="s">
        <v>262</v>
      </c>
      <c r="AU20" s="200">
        <f t="shared" ref="AU20" si="524">IF(ISBLANK($P20),0,SUM(IF(LEFT($P20,1)=LEFT(AT20,1),$M$4),IF(RIGHT($P20,LEN($P20)-2)=RIGHT(AT20,LEN(AT20)-2),$M$5)))</f>
        <v>0</v>
      </c>
      <c r="AV20" t="s">
        <v>308</v>
      </c>
      <c r="AW20" s="200">
        <f t="shared" ref="AW20" si="525">IF(ISBLANK($P20),0,SUM(IF(LEFT($P20,1)=LEFT(AV20,1),$M$4),IF(RIGHT($P20,LEN($P20)-2)=RIGHT(AV20,LEN(AV20)-2),$M$5)))</f>
        <v>0</v>
      </c>
      <c r="AX20" t="s">
        <v>308</v>
      </c>
      <c r="AY20" s="200">
        <f t="shared" ref="AY20" si="526">IF(ISBLANK($P20),0,SUM(IF(LEFT($P20,1)=LEFT(AX20,1),$M$4),IF(RIGHT($P20,LEN($P20)-2)=RIGHT(AX20,LEN(AX20)-2),$M$5)))</f>
        <v>0</v>
      </c>
      <c r="AZ20" t="s">
        <v>322</v>
      </c>
      <c r="BA20" s="200">
        <f t="shared" ref="BA20" si="527">IF(ISBLANK($P20),0,SUM(IF(LEFT($P20,1)=LEFT(AZ20,1),$M$4),IF(RIGHT($P20,LEN($P20)-2)=RIGHT(AZ20,LEN(AZ20)-2),$M$5)))</f>
        <v>0</v>
      </c>
      <c r="BB20" t="s">
        <v>320</v>
      </c>
      <c r="BC20" s="200">
        <f t="shared" ref="BC20" si="528">IF(ISBLANK($P20),0,SUM(IF(LEFT($P20,1)=LEFT(BB20,1),$M$4),IF(RIGHT($P20,LEN($P20)-2)=RIGHT(BB20,LEN(BB20)-2),$M$5)))</f>
        <v>0</v>
      </c>
      <c r="BD20" t="s">
        <v>322</v>
      </c>
      <c r="BE20" s="200">
        <f t="shared" ref="BE20" si="529">IF(ISBLANK($P20),0,SUM(IF(LEFT($P20,1)=LEFT(BD20,1),$M$4),IF(RIGHT($P20,LEN($P20)-2)=RIGHT(BD20,LEN(BD20)-2),$M$5)))</f>
        <v>0</v>
      </c>
      <c r="BF20" t="s">
        <v>322</v>
      </c>
      <c r="BG20" s="200">
        <f t="shared" ref="BG20" si="530">IF(ISBLANK($P20),0,SUM(IF(LEFT($P20,1)=LEFT(BF20,1),$M$4),IF(RIGHT($P20,LEN($P20)-2)=RIGHT(BF20,LEN(BF20)-2),$M$5)))</f>
        <v>0</v>
      </c>
      <c r="BH20" t="s">
        <v>268</v>
      </c>
      <c r="BI20" s="200">
        <f t="shared" ref="BI20" si="531">IF(ISBLANK($P20),0,SUM(IF(LEFT($P20,1)=LEFT(BH20,1),$M$4),IF(RIGHT($P20,LEN($P20)-2)=RIGHT(BH20,LEN(BH20)-2),$M$5)))</f>
        <v>0</v>
      </c>
      <c r="BJ20" t="s">
        <v>308</v>
      </c>
      <c r="BK20" s="200">
        <f t="shared" ref="BK20" si="532">IF(ISBLANK($P20),0,SUM(IF(LEFT($P20,1)=LEFT(BJ20,1),$M$4),IF(RIGHT($P20,LEN($P20)-2)=RIGHT(BJ20,LEN(BJ20)-2),$M$5)))</f>
        <v>0</v>
      </c>
      <c r="BL20" t="s">
        <v>271</v>
      </c>
      <c r="BM20" s="200">
        <f t="shared" ref="BM20" si="533">IF(ISBLANK($P20),0,SUM(IF(LEFT($P20,1)=LEFT(BL20,1),$M$4),IF(RIGHT($P20,LEN($P20)-2)=RIGHT(BL20,LEN(BL20)-2),$M$5)))</f>
        <v>0</v>
      </c>
      <c r="BN20" t="s">
        <v>322</v>
      </c>
      <c r="BO20" s="200">
        <f t="shared" ref="BO20" si="534">IF(ISBLANK($P20),0,SUM(IF(LEFT($P20,1)=LEFT(BN20,1),$M$4),IF(RIGHT($P20,LEN($P20)-2)=RIGHT(BN20,LEN(BN20)-2),$M$5)))</f>
        <v>0</v>
      </c>
      <c r="BP20" t="s">
        <v>308</v>
      </c>
      <c r="BQ20" s="200">
        <f t="shared" ref="BQ20" si="535">IF(ISBLANK($P20),0,SUM(IF(LEFT($P20,1)=LEFT(BP20,1),$M$4),IF(RIGHT($P20,LEN($P20)-2)=RIGHT(BP20,LEN(BP20)-2),$M$5)))</f>
        <v>0</v>
      </c>
      <c r="BR20" t="s">
        <v>271</v>
      </c>
      <c r="BS20" s="200">
        <f t="shared" ref="BS20" si="536">IF(ISBLANK($P20),0,SUM(IF(LEFT($P20,1)=LEFT(BR20,1),$M$4),IF(RIGHT($P20,LEN($P20)-2)=RIGHT(BR20,LEN(BR20)-2),$M$5)))</f>
        <v>0</v>
      </c>
      <c r="BT20" t="s">
        <v>308</v>
      </c>
      <c r="BU20" s="200">
        <f t="shared" ref="BU20" si="537">IF(ISBLANK($P20),0,SUM(IF(LEFT($P20,1)=LEFT(BT20,1),$M$4),IF(RIGHT($P20,LEN($P20)-2)=RIGHT(BT20,LEN(BT20)-2),$M$5)))</f>
        <v>0</v>
      </c>
      <c r="BV20" t="s">
        <v>322</v>
      </c>
      <c r="BW20" s="200">
        <f t="shared" ref="BW20" si="538">IF(ISBLANK($P20),0,SUM(IF(LEFT($P20,1)=LEFT(BV20,1),$M$4),IF(RIGHT($P20,LEN($P20)-2)=RIGHT(BV20,LEN(BV20)-2),$M$5)))</f>
        <v>0</v>
      </c>
      <c r="BX20" t="s">
        <v>323</v>
      </c>
      <c r="BY20" s="200">
        <f t="shared" ref="BY20" si="539">IF(ISBLANK($P20),0,SUM(IF(LEFT($P20,1)=LEFT(BX20,1),$M$4),IF(RIGHT($P20,LEN($P20)-2)=RIGHT(BX20,LEN(BX20)-2),$M$5)))</f>
        <v>0</v>
      </c>
      <c r="BZ20" t="s">
        <v>271</v>
      </c>
      <c r="CA20" s="200">
        <f t="shared" ref="CA20" si="540">IF(ISBLANK($P20),0,SUM(IF(LEFT($P20,1)=LEFT(BZ20,1),$M$4),IF(RIGHT($P20,LEN($P20)-2)=RIGHT(BZ20,LEN(BZ20)-2),$M$5)))</f>
        <v>0</v>
      </c>
      <c r="CB20" t="s">
        <v>308</v>
      </c>
      <c r="CC20" s="200">
        <f t="shared" ref="CC20" si="541">IF(ISBLANK($P20),0,SUM(IF(LEFT($P20,1)=LEFT(CB20,1),$M$4),IF(RIGHT($P20,LEN($P20)-2)=RIGHT(CB20,LEN(CB20)-2),$M$5)))</f>
        <v>0</v>
      </c>
      <c r="CD20" t="s">
        <v>267</v>
      </c>
      <c r="CE20" s="200">
        <f t="shared" ref="CE20" si="542">IF(ISBLANK($P20),0,SUM(IF(LEFT($P20,1)=LEFT(CD20,1),$M$4),IF(RIGHT($P20,LEN($P20)-2)=RIGHT(CD20,LEN(CD20)-2),$M$5)))</f>
        <v>0</v>
      </c>
      <c r="CF20" s="197" t="s">
        <v>308</v>
      </c>
      <c r="CG20" s="200">
        <f t="shared" ref="CG20" si="543">IF(ISBLANK($P20),0,SUM(IF(LEFT($P20,1)=LEFT(CF20,1),$M$4),IF(RIGHT($P20,LEN($P20)-2)=RIGHT(CF20,LEN(CF20)-2),$M$5)))</f>
        <v>0</v>
      </c>
      <c r="CH20" t="s">
        <v>267</v>
      </c>
      <c r="CI20" s="200">
        <f t="shared" ref="CI20" si="544">IF(ISBLANK($P20),0,SUM(IF(LEFT($P20,1)=LEFT(CH20,1),$M$4),IF(RIGHT($P20,LEN($P20)-2)=RIGHT(CH20,LEN(CH20)-2),$M$5)))</f>
        <v>0</v>
      </c>
      <c r="CJ20" t="s">
        <v>322</v>
      </c>
      <c r="CK20" s="200">
        <f t="shared" ref="CK20" si="545">IF(ISBLANK($P20),0,SUM(IF(LEFT($P20,1)=LEFT(CJ20,1),$M$4),IF(RIGHT($P20,LEN($P20)-2)=RIGHT(CJ20,LEN(CJ20)-2),$M$5)))</f>
        <v>0</v>
      </c>
      <c r="CL20" s="197" t="s">
        <v>322</v>
      </c>
      <c r="CM20" s="200">
        <f t="shared" ref="CM20" si="546">IF(ISBLANK($P20),0,SUM(IF(LEFT($P20,1)=LEFT(CL20,1),$M$4),IF(RIGHT($P20,LEN($P20)-2)=RIGHT(CL20,LEN(CL20)-2),$M$5)))</f>
        <v>0</v>
      </c>
      <c r="CN20" t="s">
        <v>321</v>
      </c>
      <c r="CO20" s="200">
        <f t="shared" ref="CO20" si="547">IF(ISBLANK($P20),0,SUM(IF(LEFT($P20,1)=LEFT(CN20,1),$M$4),IF(RIGHT($P20,LEN($P20)-2)=RIGHT(CN20,LEN(CN20)-2),$M$5)))</f>
        <v>0</v>
      </c>
      <c r="CP20" t="s">
        <v>308</v>
      </c>
      <c r="CQ20" s="200">
        <f t="shared" ref="CQ20" si="548">IF(ISBLANK($P20),0,SUM(IF(LEFT($P20,1)=LEFT(CP20,1),$M$4),IF(RIGHT($P20,LEN($P20)-2)=RIGHT(CP20,LEN(CP20)-2),$M$5)))</f>
        <v>0</v>
      </c>
      <c r="CR20" t="s">
        <v>308</v>
      </c>
      <c r="CS20" s="200">
        <f t="shared" ref="CS20" si="549">IF(ISBLANK($P20),0,SUM(IF(LEFT($P20,1)=LEFT(CR20,1),$M$4),IF(RIGHT($P20,LEN($P20)-2)=RIGHT(CR20,LEN(CR20)-2),$M$5)))</f>
        <v>0</v>
      </c>
      <c r="CT20" s="197" t="s">
        <v>271</v>
      </c>
      <c r="CU20" s="200">
        <f t="shared" ref="CU20" si="550">IF(ISBLANK($P20),0,SUM(IF(LEFT($P20,1)=LEFT(CT20,1),$M$4),IF(RIGHT($P20,LEN($P20)-2)=RIGHT(CT20,LEN(CT20)-2),$M$5)))</f>
        <v>0</v>
      </c>
      <c r="CV20" s="197" t="s">
        <v>271</v>
      </c>
      <c r="CW20" s="200">
        <f t="shared" ref="CW20" si="551">IF(ISBLANK($P20),0,SUM(IF(LEFT($P20,1)=LEFT(CV20,1),$M$4),IF(RIGHT($P20,LEN($P20)-2)=RIGHT(CV20,LEN(CV20)-2),$M$5)))</f>
        <v>0</v>
      </c>
      <c r="CX20" s="197" t="s">
        <v>308</v>
      </c>
      <c r="CY20" s="200">
        <f t="shared" ref="CY20" si="552">IF(ISBLANK($P20),0,SUM(IF(LEFT($P20,1)=LEFT(CX20,1),$M$4),IF(RIGHT($P20,LEN($P20)-2)=RIGHT(CX20,LEN(CX20)-2),$M$5)))</f>
        <v>0</v>
      </c>
      <c r="CZ20" s="197" t="s">
        <v>308</v>
      </c>
      <c r="DA20" s="200">
        <f t="shared" ref="DA20" si="553">IF(ISBLANK($P20),0,SUM(IF(LEFT($P20,1)=LEFT(CZ20,1),$M$4),IF(RIGHT($P20,LEN($P20)-2)=RIGHT(CZ20,LEN(CZ20)-2),$M$5)))</f>
        <v>0</v>
      </c>
    </row>
    <row r="21" spans="1:105" x14ac:dyDescent="0.25">
      <c r="A21" s="184" t="s">
        <v>329</v>
      </c>
      <c r="B21" s="184">
        <f t="shared" si="465"/>
        <v>2</v>
      </c>
      <c r="C21" s="184">
        <f t="shared" si="466"/>
        <v>2.0209999999999999</v>
      </c>
      <c r="D21" s="184">
        <f>RANK(Tabla6[[#This Row],[PUNTOS1]],Tabla6[PUNTOS1],0)</f>
        <v>19</v>
      </c>
      <c r="E21" s="184">
        <f>RANK(Tabla6[[#This Row],[PUNTOS2]],Tabla6[PUNTOS2],0)</f>
        <v>41</v>
      </c>
      <c r="F21" s="184" t="str">
        <f t="shared" si="510"/>
        <v>ÁLVARO BULDAIN</v>
      </c>
      <c r="G21" s="184">
        <f t="shared" si="511"/>
        <v>2</v>
      </c>
      <c r="H21" s="94"/>
      <c r="I21" s="94"/>
      <c r="J21" s="189">
        <f t="shared" si="467"/>
        <v>3</v>
      </c>
      <c r="K21" s="200" t="str">
        <f>IF(Tabla5[[#This Row],[Puntos]]=M20,".",Tabla5[[#This Row],[PosReal]])</f>
        <v>.</v>
      </c>
      <c r="L21" s="193" t="str">
        <f>VLOOKUP(J21,Tabla6[[ORDEN2]:[PUNTOS]],2,FALSE)</f>
        <v>RODRIGO ABAD</v>
      </c>
      <c r="M21" s="194">
        <f>VLOOKUP(J21,Tabla6[[ORDEN2]:[PUNTOS]],3,FALSE)</f>
        <v>3</v>
      </c>
      <c r="O21" s="10" t="s">
        <v>287</v>
      </c>
      <c r="P21" s="10"/>
      <c r="Q21" s="5"/>
      <c r="R21" s="97" t="s">
        <v>266</v>
      </c>
      <c r="S21" s="200">
        <f t="shared" si="2"/>
        <v>0</v>
      </c>
      <c r="T21" s="97" t="s">
        <v>322</v>
      </c>
      <c r="U21" s="200">
        <f t="shared" si="2"/>
        <v>0</v>
      </c>
      <c r="V21" s="97" t="s">
        <v>322</v>
      </c>
      <c r="W21" s="200">
        <f t="shared" ref="W21" si="554">IF(ISBLANK($P21),0,SUM(IF(LEFT($P21,1)=LEFT(V21,1),$M$4),IF(RIGHT($P21,LEN($P21)-2)=RIGHT(V21,LEN(V21)-2),$M$5)))</f>
        <v>0</v>
      </c>
      <c r="X21" s="97" t="s">
        <v>267</v>
      </c>
      <c r="Y21" s="200">
        <f t="shared" ref="Y21" si="555">IF(ISBLANK($P21),0,SUM(IF(LEFT($P21,1)=LEFT(X21,1),$M$4),IF(RIGHT($P21,LEN($P21)-2)=RIGHT(X21,LEN(X21)-2),$M$5)))</f>
        <v>0</v>
      </c>
      <c r="Z21" s="97" t="s">
        <v>271</v>
      </c>
      <c r="AA21" s="200">
        <f t="shared" ref="AA21" si="556">IF(ISBLANK($P21),0,SUM(IF(LEFT($P21,1)=LEFT(Z21,1),$M$4),IF(RIGHT($P21,LEN($P21)-2)=RIGHT(Z21,LEN(Z21)-2),$M$5)))</f>
        <v>0</v>
      </c>
      <c r="AB21" s="97" t="s">
        <v>266</v>
      </c>
      <c r="AC21" s="200">
        <f t="shared" ref="AC21" si="557">IF(ISBLANK($P21),0,SUM(IF(LEFT($P21,1)=LEFT(AB21,1),$M$4),IF(RIGHT($P21,LEN($P21)-2)=RIGHT(AB21,LEN(AB21)-2),$M$5)))</f>
        <v>0</v>
      </c>
      <c r="AD21" t="s">
        <v>271</v>
      </c>
      <c r="AE21" s="200">
        <f t="shared" ref="AE21" si="558">IF(ISBLANK($P21),0,SUM(IF(LEFT($P21,1)=LEFT(AD21,1),$M$4),IF(RIGHT($P21,LEN($P21)-2)=RIGHT(AD21,LEN(AD21)-2),$M$5)))</f>
        <v>0</v>
      </c>
      <c r="AF21" t="s">
        <v>267</v>
      </c>
      <c r="AG21" s="200">
        <f t="shared" ref="AG21" si="559">IF(ISBLANK($P21),0,SUM(IF(LEFT($P21,1)=LEFT(AF21,1),$M$4),IF(RIGHT($P21,LEN($P21)-2)=RIGHT(AF21,LEN(AF21)-2),$M$5)))</f>
        <v>0</v>
      </c>
      <c r="AH21" t="s">
        <v>271</v>
      </c>
      <c r="AI21" s="200">
        <f t="shared" ref="AI21" si="560">IF(ISBLANK($P21),0,SUM(IF(LEFT($P21,1)=LEFT(AH21,1),$M$4),IF(RIGHT($P21,LEN($P21)-2)=RIGHT(AH21,LEN(AH21)-2),$M$5)))</f>
        <v>0</v>
      </c>
      <c r="AJ21" t="s">
        <v>322</v>
      </c>
      <c r="AK21" s="200">
        <f t="shared" ref="AK21" si="561">IF(ISBLANK($P21),0,SUM(IF(LEFT($P21,1)=LEFT(AJ21,1),$M$4),IF(RIGHT($P21,LEN($P21)-2)=RIGHT(AJ21,LEN(AJ21)-2),$M$5)))</f>
        <v>0</v>
      </c>
      <c r="AL21" t="s">
        <v>267</v>
      </c>
      <c r="AM21" s="200">
        <f t="shared" ref="AM21" si="562">IF(ISBLANK($P21),0,SUM(IF(LEFT($P21,1)=LEFT(AL21,1),$M$4),IF(RIGHT($P21,LEN($P21)-2)=RIGHT(AL21,LEN(AL21)-2),$M$5)))</f>
        <v>0</v>
      </c>
      <c r="AN21" t="s">
        <v>267</v>
      </c>
      <c r="AO21" s="200">
        <f t="shared" ref="AO21" si="563">IF(ISBLANK($P21),0,SUM(IF(LEFT($P21,1)=LEFT(AN21,1),$M$4),IF(RIGHT($P21,LEN($P21)-2)=RIGHT(AN21,LEN(AN21)-2),$M$5)))</f>
        <v>0</v>
      </c>
      <c r="AP21" t="s">
        <v>334</v>
      </c>
      <c r="AQ21" s="200">
        <f t="shared" ref="AQ21" si="564">IF(ISBLANK($P21),0,SUM(IF(LEFT($P21,1)=LEFT(AP21,1),$M$4),IF(RIGHT($P21,LEN($P21)-2)=RIGHT(AP21,LEN(AP21)-2),$M$5)))</f>
        <v>0</v>
      </c>
      <c r="AR21" t="s">
        <v>266</v>
      </c>
      <c r="AS21" s="200">
        <f t="shared" ref="AS21" si="565">IF(ISBLANK($P21),0,SUM(IF(LEFT($P21,1)=LEFT(AR21,1),$M$4),IF(RIGHT($P21,LEN($P21)-2)=RIGHT(AR21,LEN(AR21)-2),$M$5)))</f>
        <v>0</v>
      </c>
      <c r="AT21" t="s">
        <v>334</v>
      </c>
      <c r="AU21" s="200">
        <f t="shared" ref="AU21" si="566">IF(ISBLANK($P21),0,SUM(IF(LEFT($P21,1)=LEFT(AT21,1),$M$4),IF(RIGHT($P21,LEN($P21)-2)=RIGHT(AT21,LEN(AT21)-2),$M$5)))</f>
        <v>0</v>
      </c>
      <c r="AV21" t="s">
        <v>322</v>
      </c>
      <c r="AW21" s="200">
        <f t="shared" ref="AW21" si="567">IF(ISBLANK($P21),0,SUM(IF(LEFT($P21,1)=LEFT(AV21,1),$M$4),IF(RIGHT($P21,LEN($P21)-2)=RIGHT(AV21,LEN(AV21)-2),$M$5)))</f>
        <v>0</v>
      </c>
      <c r="AX21" t="s">
        <v>266</v>
      </c>
      <c r="AY21" s="200">
        <f t="shared" ref="AY21" si="568">IF(ISBLANK($P21),0,SUM(IF(LEFT($P21,1)=LEFT(AX21,1),$M$4),IF(RIGHT($P21,LEN($P21)-2)=RIGHT(AX21,LEN(AX21)-2),$M$5)))</f>
        <v>0</v>
      </c>
      <c r="AZ21" t="s">
        <v>320</v>
      </c>
      <c r="BA21" s="200">
        <f t="shared" ref="BA21" si="569">IF(ISBLANK($P21),0,SUM(IF(LEFT($P21,1)=LEFT(AZ21,1),$M$4),IF(RIGHT($P21,LEN($P21)-2)=RIGHT(AZ21,LEN(AZ21)-2),$M$5)))</f>
        <v>0</v>
      </c>
      <c r="BB21" t="s">
        <v>267</v>
      </c>
      <c r="BC21" s="200">
        <f t="shared" ref="BC21" si="570">IF(ISBLANK($P21),0,SUM(IF(LEFT($P21,1)=LEFT(BB21,1),$M$4),IF(RIGHT($P21,LEN($P21)-2)=RIGHT(BB21,LEN(BB21)-2),$M$5)))</f>
        <v>0</v>
      </c>
      <c r="BD21" t="s">
        <v>320</v>
      </c>
      <c r="BE21" s="200">
        <f t="shared" ref="BE21" si="571">IF(ISBLANK($P21),0,SUM(IF(LEFT($P21,1)=LEFT(BD21,1),$M$4),IF(RIGHT($P21,LEN($P21)-2)=RIGHT(BD21,LEN(BD21)-2),$M$5)))</f>
        <v>0</v>
      </c>
      <c r="BF21" t="s">
        <v>264</v>
      </c>
      <c r="BG21" s="200">
        <f t="shared" ref="BG21" si="572">IF(ISBLANK($P21),0,SUM(IF(LEFT($P21,1)=LEFT(BF21,1),$M$4),IF(RIGHT($P21,LEN($P21)-2)=RIGHT(BF21,LEN(BF21)-2),$M$5)))</f>
        <v>0</v>
      </c>
      <c r="BH21" t="s">
        <v>266</v>
      </c>
      <c r="BI21" s="200">
        <f t="shared" ref="BI21" si="573">IF(ISBLANK($P21),0,SUM(IF(LEFT($P21,1)=LEFT(BH21,1),$M$4),IF(RIGHT($P21,LEN($P21)-2)=RIGHT(BH21,LEN(BH21)-2),$M$5)))</f>
        <v>0</v>
      </c>
      <c r="BJ21" t="s">
        <v>268</v>
      </c>
      <c r="BK21" s="200">
        <f t="shared" ref="BK21" si="574">IF(ISBLANK($P21),0,SUM(IF(LEFT($P21,1)=LEFT(BJ21,1),$M$4),IF(RIGHT($P21,LEN($P21)-2)=RIGHT(BJ21,LEN(BJ21)-2),$M$5)))</f>
        <v>0</v>
      </c>
      <c r="BL21" t="s">
        <v>267</v>
      </c>
      <c r="BM21" s="200">
        <f t="shared" ref="BM21" si="575">IF(ISBLANK($P21),0,SUM(IF(LEFT($P21,1)=LEFT(BL21,1),$M$4),IF(RIGHT($P21,LEN($P21)-2)=RIGHT(BL21,LEN(BL21)-2),$M$5)))</f>
        <v>0</v>
      </c>
      <c r="BN21" t="s">
        <v>320</v>
      </c>
      <c r="BO21" s="200">
        <f t="shared" ref="BO21" si="576">IF(ISBLANK($P21),0,SUM(IF(LEFT($P21,1)=LEFT(BN21,1),$M$4),IF(RIGHT($P21,LEN($P21)-2)=RIGHT(BN21,LEN(BN21)-2),$M$5)))</f>
        <v>0</v>
      </c>
      <c r="BP21" t="s">
        <v>320</v>
      </c>
      <c r="BQ21" s="200">
        <f t="shared" ref="BQ21" si="577">IF(ISBLANK($P21),0,SUM(IF(LEFT($P21,1)=LEFT(BP21,1),$M$4),IF(RIGHT($P21,LEN($P21)-2)=RIGHT(BP21,LEN(BP21)-2),$M$5)))</f>
        <v>0</v>
      </c>
      <c r="BR21" t="s">
        <v>268</v>
      </c>
      <c r="BS21" s="200">
        <f t="shared" ref="BS21" si="578">IF(ISBLANK($P21),0,SUM(IF(LEFT($P21,1)=LEFT(BR21,1),$M$4),IF(RIGHT($P21,LEN($P21)-2)=RIGHT(BR21,LEN(BR21)-2),$M$5)))</f>
        <v>0</v>
      </c>
      <c r="BT21" t="s">
        <v>266</v>
      </c>
      <c r="BU21" s="200">
        <f t="shared" ref="BU21" si="579">IF(ISBLANK($P21),0,SUM(IF(LEFT($P21,1)=LEFT(BT21,1),$M$4),IF(RIGHT($P21,LEN($P21)-2)=RIGHT(BT21,LEN(BT21)-2),$M$5)))</f>
        <v>0</v>
      </c>
      <c r="BV21" t="s">
        <v>320</v>
      </c>
      <c r="BW21" s="200">
        <f t="shared" ref="BW21" si="580">IF(ISBLANK($P21),0,SUM(IF(LEFT($P21,1)=LEFT(BV21,1),$M$4),IF(RIGHT($P21,LEN($P21)-2)=RIGHT(BV21,LEN(BV21)-2),$M$5)))</f>
        <v>0</v>
      </c>
      <c r="BX21" t="s">
        <v>308</v>
      </c>
      <c r="BY21" s="200">
        <f t="shared" ref="BY21" si="581">IF(ISBLANK($P21),0,SUM(IF(LEFT($P21,1)=LEFT(BX21,1),$M$4),IF(RIGHT($P21,LEN($P21)-2)=RIGHT(BX21,LEN(BX21)-2),$M$5)))</f>
        <v>0</v>
      </c>
      <c r="BZ21" t="s">
        <v>320</v>
      </c>
      <c r="CA21" s="200">
        <f t="shared" ref="CA21" si="582">IF(ISBLANK($P21),0,SUM(IF(LEFT($P21,1)=LEFT(BZ21,1),$M$4),IF(RIGHT($P21,LEN($P21)-2)=RIGHT(BZ21,LEN(BZ21)-2),$M$5)))</f>
        <v>0</v>
      </c>
      <c r="CB21" t="s">
        <v>267</v>
      </c>
      <c r="CC21" s="200">
        <f t="shared" ref="CC21" si="583">IF(ISBLANK($P21),0,SUM(IF(LEFT($P21,1)=LEFT(CB21,1),$M$4),IF(RIGHT($P21,LEN($P21)-2)=RIGHT(CB21,LEN(CB21)-2),$M$5)))</f>
        <v>0</v>
      </c>
      <c r="CD21" t="s">
        <v>322</v>
      </c>
      <c r="CE21" s="200">
        <f t="shared" ref="CE21" si="584">IF(ISBLANK($P21),0,SUM(IF(LEFT($P21,1)=LEFT(CD21,1),$M$4),IF(RIGHT($P21,LEN($P21)-2)=RIGHT(CD21,LEN(CD21)-2),$M$5)))</f>
        <v>0</v>
      </c>
      <c r="CF21" s="197" t="s">
        <v>308</v>
      </c>
      <c r="CG21" s="200">
        <f t="shared" ref="CG21" si="585">IF(ISBLANK($P21),0,SUM(IF(LEFT($P21,1)=LEFT(CF21,1),$M$4),IF(RIGHT($P21,LEN($P21)-2)=RIGHT(CF21,LEN(CF21)-2),$M$5)))</f>
        <v>0</v>
      </c>
      <c r="CH21" t="s">
        <v>308</v>
      </c>
      <c r="CI21" s="200">
        <f t="shared" ref="CI21" si="586">IF(ISBLANK($P21),0,SUM(IF(LEFT($P21,1)=LEFT(CH21,1),$M$4),IF(RIGHT($P21,LEN($P21)-2)=RIGHT(CH21,LEN(CH21)-2),$M$5)))</f>
        <v>0</v>
      </c>
      <c r="CJ21" t="s">
        <v>266</v>
      </c>
      <c r="CK21" s="200">
        <f t="shared" ref="CK21" si="587">IF(ISBLANK($P21),0,SUM(IF(LEFT($P21,1)=LEFT(CJ21,1),$M$4),IF(RIGHT($P21,LEN($P21)-2)=RIGHT(CJ21,LEN(CJ21)-2),$M$5)))</f>
        <v>0</v>
      </c>
      <c r="CL21" s="197" t="s">
        <v>266</v>
      </c>
      <c r="CM21" s="200">
        <f t="shared" ref="CM21" si="588">IF(ISBLANK($P21),0,SUM(IF(LEFT($P21,1)=LEFT(CL21,1),$M$4),IF(RIGHT($P21,LEN($P21)-2)=RIGHT(CL21,LEN(CL21)-2),$M$5)))</f>
        <v>0</v>
      </c>
      <c r="CN21" t="s">
        <v>271</v>
      </c>
      <c r="CO21" s="200">
        <f t="shared" ref="CO21" si="589">IF(ISBLANK($P21),0,SUM(IF(LEFT($P21,1)=LEFT(CN21,1),$M$4),IF(RIGHT($P21,LEN($P21)-2)=RIGHT(CN21,LEN(CN21)-2),$M$5)))</f>
        <v>0</v>
      </c>
      <c r="CP21" t="s">
        <v>267</v>
      </c>
      <c r="CQ21" s="200">
        <f t="shared" ref="CQ21" si="590">IF(ISBLANK($P21),0,SUM(IF(LEFT($P21,1)=LEFT(CP21,1),$M$4),IF(RIGHT($P21,LEN($P21)-2)=RIGHT(CP21,LEN(CP21)-2),$M$5)))</f>
        <v>0</v>
      </c>
      <c r="CR21" t="s">
        <v>268</v>
      </c>
      <c r="CS21" s="200">
        <f t="shared" ref="CS21" si="591">IF(ISBLANK($P21),0,SUM(IF(LEFT($P21,1)=LEFT(CR21,1),$M$4),IF(RIGHT($P21,LEN($P21)-2)=RIGHT(CR21,LEN(CR21)-2),$M$5)))</f>
        <v>0</v>
      </c>
      <c r="CT21" s="197" t="s">
        <v>268</v>
      </c>
      <c r="CU21" s="200">
        <f t="shared" ref="CU21" si="592">IF(ISBLANK($P21),0,SUM(IF(LEFT($P21,1)=LEFT(CT21,1),$M$4),IF(RIGHT($P21,LEN($P21)-2)=RIGHT(CT21,LEN(CT21)-2),$M$5)))</f>
        <v>0</v>
      </c>
      <c r="CV21" s="197" t="s">
        <v>267</v>
      </c>
      <c r="CW21" s="200">
        <f t="shared" ref="CW21" si="593">IF(ISBLANK($P21),0,SUM(IF(LEFT($P21,1)=LEFT(CV21,1),$M$4),IF(RIGHT($P21,LEN($P21)-2)=RIGHT(CV21,LEN(CV21)-2),$M$5)))</f>
        <v>0</v>
      </c>
      <c r="CX21" s="197" t="s">
        <v>320</v>
      </c>
      <c r="CY21" s="200">
        <f t="shared" ref="CY21" si="594">IF(ISBLANK($P21),0,SUM(IF(LEFT($P21,1)=LEFT(CX21,1),$M$4),IF(RIGHT($P21,LEN($P21)-2)=RIGHT(CX21,LEN(CX21)-2),$M$5)))</f>
        <v>0</v>
      </c>
      <c r="CZ21" s="197" t="s">
        <v>322</v>
      </c>
      <c r="DA21" s="200">
        <f t="shared" ref="DA21" si="595">IF(ISBLANK($P21),0,SUM(IF(LEFT($P21,1)=LEFT(CZ21,1),$M$4),IF(RIGHT($P21,LEN($P21)-2)=RIGHT(CZ21,LEN(CZ21)-2),$M$5)))</f>
        <v>0</v>
      </c>
    </row>
    <row r="22" spans="1:105" x14ac:dyDescent="0.25">
      <c r="A22" s="184" t="s">
        <v>331</v>
      </c>
      <c r="B22" s="184">
        <f t="shared" si="465"/>
        <v>3</v>
      </c>
      <c r="C22" s="184">
        <f t="shared" si="466"/>
        <v>3.0219999999999998</v>
      </c>
      <c r="D22" s="184">
        <f>RANK(Tabla6[[#This Row],[PUNTOS1]],Tabla6[PUNTOS1],0)</f>
        <v>1</v>
      </c>
      <c r="E22" s="184">
        <f>RANK(Tabla6[[#This Row],[PUNTOS2]],Tabla6[PUNTOS2],0)</f>
        <v>17</v>
      </c>
      <c r="F22" s="184" t="str">
        <f t="shared" si="510"/>
        <v>CARLOS SABANDO</v>
      </c>
      <c r="G22" s="184">
        <f t="shared" si="511"/>
        <v>3</v>
      </c>
      <c r="H22" s="94"/>
      <c r="I22" s="94"/>
      <c r="J22" s="189">
        <f t="shared" si="467"/>
        <v>4</v>
      </c>
      <c r="K22" s="200" t="str">
        <f>IF(Tabla5[[#This Row],[Puntos]]=M21,".",Tabla5[[#This Row],[PosReal]])</f>
        <v>.</v>
      </c>
      <c r="L22" s="193" t="str">
        <f>VLOOKUP(J22,Tabla6[[ORDEN2]:[PUNTOS]],2,FALSE)</f>
        <v>ROBERTO ESAIN</v>
      </c>
      <c r="M22" s="194">
        <f>VLOOKUP(J22,Tabla6[[ORDEN2]:[PUNTOS]],3,FALSE)</f>
        <v>3</v>
      </c>
      <c r="O22" s="10" t="s">
        <v>288</v>
      </c>
      <c r="P22" s="10"/>
      <c r="Q22" s="5"/>
      <c r="R22" s="97" t="s">
        <v>321</v>
      </c>
      <c r="S22" s="200">
        <f t="shared" si="2"/>
        <v>0</v>
      </c>
      <c r="T22" s="97" t="s">
        <v>271</v>
      </c>
      <c r="U22" s="200">
        <f t="shared" si="2"/>
        <v>0</v>
      </c>
      <c r="V22" s="97" t="s">
        <v>330</v>
      </c>
      <c r="W22" s="200">
        <f t="shared" ref="W22" si="596">IF(ISBLANK($P22),0,SUM(IF(LEFT($P22,1)=LEFT(V22,1),$M$4),IF(RIGHT($P22,LEN($P22)-2)=RIGHT(V22,LEN(V22)-2),$M$5)))</f>
        <v>0</v>
      </c>
      <c r="X22" s="97" t="s">
        <v>262</v>
      </c>
      <c r="Y22" s="200">
        <f t="shared" ref="Y22" si="597">IF(ISBLANK($P22),0,SUM(IF(LEFT($P22,1)=LEFT(X22,1),$M$4),IF(RIGHT($P22,LEN($P22)-2)=RIGHT(X22,LEN(X22)-2),$M$5)))</f>
        <v>0</v>
      </c>
      <c r="Z22" s="97" t="s">
        <v>268</v>
      </c>
      <c r="AA22" s="200">
        <f t="shared" ref="AA22" si="598">IF(ISBLANK($P22),0,SUM(IF(LEFT($P22,1)=LEFT(Z22,1),$M$4),IF(RIGHT($P22,LEN($P22)-2)=RIGHT(Z22,LEN(Z22)-2),$M$5)))</f>
        <v>0</v>
      </c>
      <c r="AB22" s="97" t="s">
        <v>268</v>
      </c>
      <c r="AC22" s="200">
        <f t="shared" ref="AC22" si="599">IF(ISBLANK($P22),0,SUM(IF(LEFT($P22,1)=LEFT(AB22,1),$M$4),IF(RIGHT($P22,LEN($P22)-2)=RIGHT(AB22,LEN(AB22)-2),$M$5)))</f>
        <v>0</v>
      </c>
      <c r="AD22" t="s">
        <v>323</v>
      </c>
      <c r="AE22" s="200">
        <f t="shared" ref="AE22" si="600">IF(ISBLANK($P22),0,SUM(IF(LEFT($P22,1)=LEFT(AD22,1),$M$4),IF(RIGHT($P22,LEN($P22)-2)=RIGHT(AD22,LEN(AD22)-2),$M$5)))</f>
        <v>0</v>
      </c>
      <c r="AF22" t="s">
        <v>323</v>
      </c>
      <c r="AG22" s="200">
        <f t="shared" ref="AG22" si="601">IF(ISBLANK($P22),0,SUM(IF(LEFT($P22,1)=LEFT(AF22,1),$M$4),IF(RIGHT($P22,LEN($P22)-2)=RIGHT(AF22,LEN(AF22)-2),$M$5)))</f>
        <v>0</v>
      </c>
      <c r="AH22" t="s">
        <v>262</v>
      </c>
      <c r="AI22" s="200">
        <f t="shared" ref="AI22" si="602">IF(ISBLANK($P22),0,SUM(IF(LEFT($P22,1)=LEFT(AH22,1),$M$4),IF(RIGHT($P22,LEN($P22)-2)=RIGHT(AH22,LEN(AH22)-2),$M$5)))</f>
        <v>0</v>
      </c>
      <c r="AJ22" t="s">
        <v>262</v>
      </c>
      <c r="AK22" s="200">
        <f t="shared" ref="AK22" si="603">IF(ISBLANK($P22),0,SUM(IF(LEFT($P22,1)=LEFT(AJ22,1),$M$4),IF(RIGHT($P22,LEN($P22)-2)=RIGHT(AJ22,LEN(AJ22)-2),$M$5)))</f>
        <v>0</v>
      </c>
      <c r="AL22" t="s">
        <v>326</v>
      </c>
      <c r="AM22" s="200">
        <f t="shared" ref="AM22" si="604">IF(ISBLANK($P22),0,SUM(IF(LEFT($P22,1)=LEFT(AL22,1),$M$4),IF(RIGHT($P22,LEN($P22)-2)=RIGHT(AL22,LEN(AL22)-2),$M$5)))</f>
        <v>0</v>
      </c>
      <c r="AN22" t="s">
        <v>326</v>
      </c>
      <c r="AO22" s="200">
        <f t="shared" ref="AO22" si="605">IF(ISBLANK($P22),0,SUM(IF(LEFT($P22,1)=LEFT(AN22,1),$M$4),IF(RIGHT($P22,LEN($P22)-2)=RIGHT(AN22,LEN(AN22)-2),$M$5)))</f>
        <v>0</v>
      </c>
      <c r="AP22" t="s">
        <v>322</v>
      </c>
      <c r="AQ22" s="200">
        <f t="shared" ref="AQ22" si="606">IF(ISBLANK($P22),0,SUM(IF(LEFT($P22,1)=LEFT(AP22,1),$M$4),IF(RIGHT($P22,LEN($P22)-2)=RIGHT(AP22,LEN(AP22)-2),$M$5)))</f>
        <v>0</v>
      </c>
      <c r="AR22" t="s">
        <v>323</v>
      </c>
      <c r="AS22" s="200">
        <f t="shared" ref="AS22" si="607">IF(ISBLANK($P22),0,SUM(IF(LEFT($P22,1)=LEFT(AR22,1),$M$4),IF(RIGHT($P22,LEN($P22)-2)=RIGHT(AR22,LEN(AR22)-2),$M$5)))</f>
        <v>0</v>
      </c>
      <c r="AT22" t="s">
        <v>326</v>
      </c>
      <c r="AU22" s="200">
        <f t="shared" ref="AU22" si="608">IF(ISBLANK($P22),0,SUM(IF(LEFT($P22,1)=LEFT(AT22,1),$M$4),IF(RIGHT($P22,LEN($P22)-2)=RIGHT(AT22,LEN(AT22)-2),$M$5)))</f>
        <v>0</v>
      </c>
      <c r="AV22" t="s">
        <v>262</v>
      </c>
      <c r="AW22" s="200">
        <f t="shared" ref="AW22" si="609">IF(ISBLANK($P22),0,SUM(IF(LEFT($P22,1)=LEFT(AV22,1),$M$4),IF(RIGHT($P22,LEN($P22)-2)=RIGHT(AV22,LEN(AV22)-2),$M$5)))</f>
        <v>0</v>
      </c>
      <c r="AX22" t="s">
        <v>271</v>
      </c>
      <c r="AY22" s="200">
        <f t="shared" ref="AY22" si="610">IF(ISBLANK($P22),0,SUM(IF(LEFT($P22,1)=LEFT(AX22,1),$M$4),IF(RIGHT($P22,LEN($P22)-2)=RIGHT(AX22,LEN(AX22)-2),$M$5)))</f>
        <v>0</v>
      </c>
      <c r="AZ22" t="s">
        <v>264</v>
      </c>
      <c r="BA22" s="200">
        <f t="shared" ref="BA22" si="611">IF(ISBLANK($P22),0,SUM(IF(LEFT($P22,1)=LEFT(AZ22,1),$M$4),IF(RIGHT($P22,LEN($P22)-2)=RIGHT(AZ22,LEN(AZ22)-2),$M$5)))</f>
        <v>0</v>
      </c>
      <c r="BB22" t="s">
        <v>271</v>
      </c>
      <c r="BC22" s="200">
        <f t="shared" ref="BC22" si="612">IF(ISBLANK($P22),0,SUM(IF(LEFT($P22,1)=LEFT(BB22,1),$M$4),IF(RIGHT($P22,LEN($P22)-2)=RIGHT(BB22,LEN(BB22)-2),$M$5)))</f>
        <v>0</v>
      </c>
      <c r="BD22" t="s">
        <v>267</v>
      </c>
      <c r="BE22" s="200">
        <f t="shared" ref="BE22" si="613">IF(ISBLANK($P22),0,SUM(IF(LEFT($P22,1)=LEFT(BD22,1),$M$4),IF(RIGHT($P22,LEN($P22)-2)=RIGHT(BD22,LEN(BD22)-2),$M$5)))</f>
        <v>0</v>
      </c>
      <c r="BF22" t="s">
        <v>268</v>
      </c>
      <c r="BG22" s="200">
        <f t="shared" ref="BG22" si="614">IF(ISBLANK($P22),0,SUM(IF(LEFT($P22,1)=LEFT(BF22,1),$M$4),IF(RIGHT($P22,LEN($P22)-2)=RIGHT(BF22,LEN(BF22)-2),$M$5)))</f>
        <v>0</v>
      </c>
      <c r="BH22" t="s">
        <v>321</v>
      </c>
      <c r="BI22" s="200">
        <f t="shared" ref="BI22" si="615">IF(ISBLANK($P22),0,SUM(IF(LEFT($P22,1)=LEFT(BH22,1),$M$4),IF(RIGHT($P22,LEN($P22)-2)=RIGHT(BH22,LEN(BH22)-2),$M$5)))</f>
        <v>0</v>
      </c>
      <c r="BJ22" t="s">
        <v>262</v>
      </c>
      <c r="BK22" s="200">
        <f t="shared" ref="BK22" si="616">IF(ISBLANK($P22),0,SUM(IF(LEFT($P22,1)=LEFT(BJ22,1),$M$4),IF(RIGHT($P22,LEN($P22)-2)=RIGHT(BJ22,LEN(BJ22)-2),$M$5)))</f>
        <v>0</v>
      </c>
      <c r="BL22" t="s">
        <v>271</v>
      </c>
      <c r="BM22" s="200">
        <f t="shared" ref="BM22" si="617">IF(ISBLANK($P22),0,SUM(IF(LEFT($P22,1)=LEFT(BL22,1),$M$4),IF(RIGHT($P22,LEN($P22)-2)=RIGHT(BL22,LEN(BL22)-2),$M$5)))</f>
        <v>0</v>
      </c>
      <c r="BN22" t="s">
        <v>322</v>
      </c>
      <c r="BO22" s="200">
        <f t="shared" ref="BO22" si="618">IF(ISBLANK($P22),0,SUM(IF(LEFT($P22,1)=LEFT(BN22,1),$M$4),IF(RIGHT($P22,LEN($P22)-2)=RIGHT(BN22,LEN(BN22)-2),$M$5)))</f>
        <v>0</v>
      </c>
      <c r="BP22" t="s">
        <v>271</v>
      </c>
      <c r="BQ22" s="200">
        <f t="shared" ref="BQ22" si="619">IF(ISBLANK($P22),0,SUM(IF(LEFT($P22,1)=LEFT(BP22,1),$M$4),IF(RIGHT($P22,LEN($P22)-2)=RIGHT(BP22,LEN(BP22)-2),$M$5)))</f>
        <v>0</v>
      </c>
      <c r="BR22" t="s">
        <v>323</v>
      </c>
      <c r="BS22" s="200">
        <f t="shared" ref="BS22" si="620">IF(ISBLANK($P22),0,SUM(IF(LEFT($P22,1)=LEFT(BR22,1),$M$4),IF(RIGHT($P22,LEN($P22)-2)=RIGHT(BR22,LEN(BR22)-2),$M$5)))</f>
        <v>0</v>
      </c>
      <c r="BT22" t="s">
        <v>271</v>
      </c>
      <c r="BU22" s="200">
        <f t="shared" ref="BU22" si="621">IF(ISBLANK($P22),0,SUM(IF(LEFT($P22,1)=LEFT(BT22,1),$M$4),IF(RIGHT($P22,LEN($P22)-2)=RIGHT(BT22,LEN(BT22)-2),$M$5)))</f>
        <v>0</v>
      </c>
      <c r="BV22" t="s">
        <v>330</v>
      </c>
      <c r="BW22" s="200">
        <f t="shared" ref="BW22" si="622">IF(ISBLANK($P22),0,SUM(IF(LEFT($P22,1)=LEFT(BV22,1),$M$4),IF(RIGHT($P22,LEN($P22)-2)=RIGHT(BV22,LEN(BV22)-2),$M$5)))</f>
        <v>0</v>
      </c>
      <c r="BX22" t="s">
        <v>271</v>
      </c>
      <c r="BY22" s="200">
        <f t="shared" ref="BY22" si="623">IF(ISBLANK($P22),0,SUM(IF(LEFT($P22,1)=LEFT(BX22,1),$M$4),IF(RIGHT($P22,LEN($P22)-2)=RIGHT(BX22,LEN(BX22)-2),$M$5)))</f>
        <v>0</v>
      </c>
      <c r="BZ22" t="s">
        <v>321</v>
      </c>
      <c r="CA22" s="200">
        <f t="shared" ref="CA22" si="624">IF(ISBLANK($P22),0,SUM(IF(LEFT($P22,1)=LEFT(BZ22,1),$M$4),IF(RIGHT($P22,LEN($P22)-2)=RIGHT(BZ22,LEN(BZ22)-2),$M$5)))</f>
        <v>0</v>
      </c>
      <c r="CB22" t="s">
        <v>262</v>
      </c>
      <c r="CC22" s="200">
        <f t="shared" ref="CC22" si="625">IF(ISBLANK($P22),0,SUM(IF(LEFT($P22,1)=LEFT(CB22,1),$M$4),IF(RIGHT($P22,LEN($P22)-2)=RIGHT(CB22,LEN(CB22)-2),$M$5)))</f>
        <v>0</v>
      </c>
      <c r="CD22" t="s">
        <v>267</v>
      </c>
      <c r="CE22" s="200">
        <f t="shared" ref="CE22" si="626">IF(ISBLANK($P22),0,SUM(IF(LEFT($P22,1)=LEFT(CD22,1),$M$4),IF(RIGHT($P22,LEN($P22)-2)=RIGHT(CD22,LEN(CD22)-2),$M$5)))</f>
        <v>0</v>
      </c>
      <c r="CF22" s="197" t="s">
        <v>323</v>
      </c>
      <c r="CG22" s="200">
        <f t="shared" ref="CG22" si="627">IF(ISBLANK($P22),0,SUM(IF(LEFT($P22,1)=LEFT(CF22,1),$M$4),IF(RIGHT($P22,LEN($P22)-2)=RIGHT(CF22,LEN(CF22)-2),$M$5)))</f>
        <v>0</v>
      </c>
      <c r="CH22" t="s">
        <v>308</v>
      </c>
      <c r="CI22" s="200">
        <f t="shared" ref="CI22" si="628">IF(ISBLANK($P22),0,SUM(IF(LEFT($P22,1)=LEFT(CH22,1),$M$4),IF(RIGHT($P22,LEN($P22)-2)=RIGHT(CH22,LEN(CH22)-2),$M$5)))</f>
        <v>0</v>
      </c>
      <c r="CJ22" t="s">
        <v>326</v>
      </c>
      <c r="CK22" s="200">
        <f t="shared" ref="CK22" si="629">IF(ISBLANK($P22),0,SUM(IF(LEFT($P22,1)=LEFT(CJ22,1),$M$4),IF(RIGHT($P22,LEN($P22)-2)=RIGHT(CJ22,LEN(CJ22)-2),$M$5)))</f>
        <v>0</v>
      </c>
      <c r="CL22" s="197" t="s">
        <v>271</v>
      </c>
      <c r="CM22" s="200">
        <f t="shared" ref="CM22" si="630">IF(ISBLANK($P22),0,SUM(IF(LEFT($P22,1)=LEFT(CL22,1),$M$4),IF(RIGHT($P22,LEN($P22)-2)=RIGHT(CL22,LEN(CL22)-2),$M$5)))</f>
        <v>0</v>
      </c>
      <c r="CN22" t="s">
        <v>323</v>
      </c>
      <c r="CO22" s="200">
        <f t="shared" ref="CO22" si="631">IF(ISBLANK($P22),0,SUM(IF(LEFT($P22,1)=LEFT(CN22,1),$M$4),IF(RIGHT($P22,LEN($P22)-2)=RIGHT(CN22,LEN(CN22)-2),$M$5)))</f>
        <v>0</v>
      </c>
      <c r="CP22" t="s">
        <v>262</v>
      </c>
      <c r="CQ22" s="200">
        <f t="shared" ref="CQ22" si="632">IF(ISBLANK($P22),0,SUM(IF(LEFT($P22,1)=LEFT(CP22,1),$M$4),IF(RIGHT($P22,LEN($P22)-2)=RIGHT(CP22,LEN(CP22)-2),$M$5)))</f>
        <v>0</v>
      </c>
      <c r="CR22" t="s">
        <v>323</v>
      </c>
      <c r="CS22" s="200">
        <f t="shared" ref="CS22" si="633">IF(ISBLANK($P22),0,SUM(IF(LEFT($P22,1)=LEFT(CR22,1),$M$4),IF(RIGHT($P22,LEN($P22)-2)=RIGHT(CR22,LEN(CR22)-2),$M$5)))</f>
        <v>0</v>
      </c>
      <c r="CT22" s="197" t="s">
        <v>308</v>
      </c>
      <c r="CU22" s="200">
        <f t="shared" ref="CU22" si="634">IF(ISBLANK($P22),0,SUM(IF(LEFT($P22,1)=LEFT(CT22,1),$M$4),IF(RIGHT($P22,LEN($P22)-2)=RIGHT(CT22,LEN(CT22)-2),$M$5)))</f>
        <v>0</v>
      </c>
      <c r="CV22" s="197" t="s">
        <v>321</v>
      </c>
      <c r="CW22" s="200">
        <f t="shared" ref="CW22" si="635">IF(ISBLANK($P22),0,SUM(IF(LEFT($P22,1)=LEFT(CV22,1),$M$4),IF(RIGHT($P22,LEN($P22)-2)=RIGHT(CV22,LEN(CV22)-2),$M$5)))</f>
        <v>0</v>
      </c>
      <c r="CX22" s="197" t="s">
        <v>271</v>
      </c>
      <c r="CY22" s="200">
        <f t="shared" ref="CY22" si="636">IF(ISBLANK($P22),0,SUM(IF(LEFT($P22,1)=LEFT(CX22,1),$M$4),IF(RIGHT($P22,LEN($P22)-2)=RIGHT(CX22,LEN(CX22)-2),$M$5)))</f>
        <v>0</v>
      </c>
      <c r="CZ22" s="197" t="s">
        <v>322</v>
      </c>
      <c r="DA22" s="200">
        <f t="shared" ref="DA22" si="637">IF(ISBLANK($P22),0,SUM(IF(LEFT($P22,1)=LEFT(CZ22,1),$M$4),IF(RIGHT($P22,LEN($P22)-2)=RIGHT(CZ22,LEN(CZ22)-2),$M$5)))</f>
        <v>0</v>
      </c>
    </row>
    <row r="23" spans="1:105" x14ac:dyDescent="0.25">
      <c r="A23" s="184" t="s">
        <v>351</v>
      </c>
      <c r="B23" s="184">
        <f t="shared" si="465"/>
        <v>2</v>
      </c>
      <c r="C23" s="184">
        <f t="shared" si="466"/>
        <v>2.0230000000000001</v>
      </c>
      <c r="D23" s="184">
        <f>RANK(Tabla6[[#This Row],[PUNTOS1]],Tabla6[PUNTOS1],0)</f>
        <v>19</v>
      </c>
      <c r="E23" s="184">
        <f>RANK(Tabla6[[#This Row],[PUNTOS2]],Tabla6[PUNTOS2],0)</f>
        <v>40</v>
      </c>
      <c r="F23" s="184" t="str">
        <f t="shared" si="510"/>
        <v>ALEX IZQUIERDO</v>
      </c>
      <c r="G23" s="184">
        <f t="shared" si="511"/>
        <v>2</v>
      </c>
      <c r="H23" s="94"/>
      <c r="I23" s="94"/>
      <c r="J23" s="189">
        <f t="shared" si="467"/>
        <v>5</v>
      </c>
      <c r="K23" s="200" t="str">
        <f>IF(Tabla5[[#This Row],[Puntos]]=M22,".",Tabla5[[#This Row],[PosReal]])</f>
        <v>.</v>
      </c>
      <c r="L23" s="193" t="str">
        <f>VLOOKUP(J23,Tabla6[[ORDEN2]:[PUNTOS]],2,FALSE)</f>
        <v>REBECA ANDUEZA</v>
      </c>
      <c r="M23" s="194">
        <f>VLOOKUP(J23,Tabla6[[ORDEN2]:[PUNTOS]],3,FALSE)</f>
        <v>3</v>
      </c>
      <c r="O23" s="10" t="s">
        <v>289</v>
      </c>
      <c r="P23" s="10"/>
      <c r="Q23" s="5"/>
      <c r="R23" s="97" t="s">
        <v>262</v>
      </c>
      <c r="S23" s="200">
        <f t="shared" si="2"/>
        <v>0</v>
      </c>
      <c r="T23" s="97" t="s">
        <v>265</v>
      </c>
      <c r="U23" s="200">
        <f t="shared" si="2"/>
        <v>0</v>
      </c>
      <c r="V23" s="97" t="s">
        <v>271</v>
      </c>
      <c r="W23" s="200">
        <f t="shared" ref="W23" si="638">IF(ISBLANK($P23),0,SUM(IF(LEFT($P23,1)=LEFT(V23,1),$M$4),IF(RIGHT($P23,LEN($P23)-2)=RIGHT(V23,LEN(V23)-2),$M$5)))</f>
        <v>0</v>
      </c>
      <c r="X23" s="97" t="s">
        <v>330</v>
      </c>
      <c r="Y23" s="200">
        <f t="shared" ref="Y23" si="639">IF(ISBLANK($P23),0,SUM(IF(LEFT($P23,1)=LEFT(X23,1),$M$4),IF(RIGHT($P23,LEN($P23)-2)=RIGHT(X23,LEN(X23)-2),$M$5)))</f>
        <v>0</v>
      </c>
      <c r="Z23" s="97" t="s">
        <v>265</v>
      </c>
      <c r="AA23" s="200">
        <f t="shared" ref="AA23" si="640">IF(ISBLANK($P23),0,SUM(IF(LEFT($P23,1)=LEFT(Z23,1),$M$4),IF(RIGHT($P23,LEN($P23)-2)=RIGHT(Z23,LEN(Z23)-2),$M$5)))</f>
        <v>0</v>
      </c>
      <c r="AB23" s="97" t="s">
        <v>336</v>
      </c>
      <c r="AC23" s="200">
        <f t="shared" ref="AC23" si="641">IF(ISBLANK($P23),0,SUM(IF(LEFT($P23,1)=LEFT(AB23,1),$M$4),IF(RIGHT($P23,LEN($P23)-2)=RIGHT(AB23,LEN(AB23)-2),$M$5)))</f>
        <v>0</v>
      </c>
      <c r="AD23" t="s">
        <v>346</v>
      </c>
      <c r="AE23" s="200">
        <f t="shared" ref="AE23" si="642">IF(ISBLANK($P23),0,SUM(IF(LEFT($P23,1)=LEFT(AD23,1),$M$4),IF(RIGHT($P23,LEN($P23)-2)=RIGHT(AD23,LEN(AD23)-2),$M$5)))</f>
        <v>0</v>
      </c>
      <c r="AF23" t="s">
        <v>326</v>
      </c>
      <c r="AG23" s="200">
        <f t="shared" ref="AG23" si="643">IF(ISBLANK($P23),0,SUM(IF(LEFT($P23,1)=LEFT(AF23,1),$M$4),IF(RIGHT($P23,LEN($P23)-2)=RIGHT(AF23,LEN(AF23)-2),$M$5)))</f>
        <v>0</v>
      </c>
      <c r="AH23" t="s">
        <v>346</v>
      </c>
      <c r="AI23" s="200">
        <f t="shared" ref="AI23" si="644">IF(ISBLANK($P23),0,SUM(IF(LEFT($P23,1)=LEFT(AH23,1),$M$4),IF(RIGHT($P23,LEN($P23)-2)=RIGHT(AH23,LEN(AH23)-2),$M$5)))</f>
        <v>0</v>
      </c>
      <c r="AJ23" t="s">
        <v>330</v>
      </c>
      <c r="AK23" s="200">
        <f t="shared" ref="AK23" si="645">IF(ISBLANK($P23),0,SUM(IF(LEFT($P23,1)=LEFT(AJ23,1),$M$4),IF(RIGHT($P23,LEN($P23)-2)=RIGHT(AJ23,LEN(AJ23)-2),$M$5)))</f>
        <v>0</v>
      </c>
      <c r="AL23" t="s">
        <v>265</v>
      </c>
      <c r="AM23" s="200">
        <f t="shared" ref="AM23" si="646">IF(ISBLANK($P23),0,SUM(IF(LEFT($P23,1)=LEFT(AL23,1),$M$4),IF(RIGHT($P23,LEN($P23)-2)=RIGHT(AL23,LEN(AL23)-2),$M$5)))</f>
        <v>0</v>
      </c>
      <c r="AN23" t="s">
        <v>270</v>
      </c>
      <c r="AO23" s="200">
        <f t="shared" ref="AO23" si="647">IF(ISBLANK($P23),0,SUM(IF(LEFT($P23,1)=LEFT(AN23,1),$M$4),IF(RIGHT($P23,LEN($P23)-2)=RIGHT(AN23,LEN(AN23)-2),$M$5)))</f>
        <v>0</v>
      </c>
      <c r="AP23" t="s">
        <v>346</v>
      </c>
      <c r="AQ23" s="200">
        <f t="shared" ref="AQ23" si="648">IF(ISBLANK($P23),0,SUM(IF(LEFT($P23,1)=LEFT(AP23,1),$M$4),IF(RIGHT($P23,LEN($P23)-2)=RIGHT(AP23,LEN(AP23)-2),$M$5)))</f>
        <v>0</v>
      </c>
      <c r="AR23" t="s">
        <v>336</v>
      </c>
      <c r="AS23" s="200">
        <f t="shared" ref="AS23" si="649">IF(ISBLANK($P23),0,SUM(IF(LEFT($P23,1)=LEFT(AR23,1),$M$4),IF(RIGHT($P23,LEN($P23)-2)=RIGHT(AR23,LEN(AR23)-2),$M$5)))</f>
        <v>0</v>
      </c>
      <c r="AT23" t="s">
        <v>262</v>
      </c>
      <c r="AU23" s="200">
        <f t="shared" ref="AU23" si="650">IF(ISBLANK($P23),0,SUM(IF(LEFT($P23,1)=LEFT(AT23,1),$M$4),IF(RIGHT($P23,LEN($P23)-2)=RIGHT(AT23,LEN(AT23)-2),$M$5)))</f>
        <v>0</v>
      </c>
      <c r="AV23" t="s">
        <v>346</v>
      </c>
      <c r="AW23" s="200">
        <f t="shared" ref="AW23" si="651">IF(ISBLANK($P23),0,SUM(IF(LEFT($P23,1)=LEFT(AV23,1),$M$4),IF(RIGHT($P23,LEN($P23)-2)=RIGHT(AV23,LEN(AV23)-2),$M$5)))</f>
        <v>0</v>
      </c>
      <c r="AX23" t="s">
        <v>346</v>
      </c>
      <c r="AY23" s="200">
        <f t="shared" ref="AY23" si="652">IF(ISBLANK($P23),0,SUM(IF(LEFT($P23,1)=LEFT(AX23,1),$M$4),IF(RIGHT($P23,LEN($P23)-2)=RIGHT(AX23,LEN(AX23)-2),$M$5)))</f>
        <v>0</v>
      </c>
      <c r="AZ23" t="s">
        <v>369</v>
      </c>
      <c r="BA23" s="200">
        <f t="shared" ref="BA23" si="653">IF(ISBLANK($P23),0,SUM(IF(LEFT($P23,1)=LEFT(AZ23,1),$M$4),IF(RIGHT($P23,LEN($P23)-2)=RIGHT(AZ23,LEN(AZ23)-2),$M$5)))</f>
        <v>0</v>
      </c>
      <c r="BB23" t="s">
        <v>346</v>
      </c>
      <c r="BC23" s="200">
        <f t="shared" ref="BC23" si="654">IF(ISBLANK($P23),0,SUM(IF(LEFT($P23,1)=LEFT(BB23,1),$M$4),IF(RIGHT($P23,LEN($P23)-2)=RIGHT(BB23,LEN(BB23)-2),$M$5)))</f>
        <v>0</v>
      </c>
      <c r="BD23" t="s">
        <v>336</v>
      </c>
      <c r="BE23" s="200">
        <f t="shared" ref="BE23" si="655">IF(ISBLANK($P23),0,SUM(IF(LEFT($P23,1)=LEFT(BD23,1),$M$4),IF(RIGHT($P23,LEN($P23)-2)=RIGHT(BD23,LEN(BD23)-2),$M$5)))</f>
        <v>0</v>
      </c>
      <c r="BF23" t="s">
        <v>326</v>
      </c>
      <c r="BG23" s="200">
        <f t="shared" ref="BG23" si="656">IF(ISBLANK($P23),0,SUM(IF(LEFT($P23,1)=LEFT(BF23,1),$M$4),IF(RIGHT($P23,LEN($P23)-2)=RIGHT(BF23,LEN(BF23)-2),$M$5)))</f>
        <v>0</v>
      </c>
      <c r="BH23" t="s">
        <v>271</v>
      </c>
      <c r="BI23" s="200">
        <f t="shared" ref="BI23" si="657">IF(ISBLANK($P23),0,SUM(IF(LEFT($P23,1)=LEFT(BH23,1),$M$4),IF(RIGHT($P23,LEN($P23)-2)=RIGHT(BH23,LEN(BH23)-2),$M$5)))</f>
        <v>0</v>
      </c>
      <c r="BJ23" t="s">
        <v>336</v>
      </c>
      <c r="BK23" s="200">
        <f t="shared" ref="BK23" si="658">IF(ISBLANK($P23),0,SUM(IF(LEFT($P23,1)=LEFT(BJ23,1),$M$4),IF(RIGHT($P23,LEN($P23)-2)=RIGHT(BJ23,LEN(BJ23)-2),$M$5)))</f>
        <v>0</v>
      </c>
      <c r="BL23" t="s">
        <v>330</v>
      </c>
      <c r="BM23" s="200">
        <f t="shared" ref="BM23" si="659">IF(ISBLANK($P23),0,SUM(IF(LEFT($P23,1)=LEFT(BL23,1),$M$4),IF(RIGHT($P23,LEN($P23)-2)=RIGHT(BL23,LEN(BL23)-2),$M$5)))</f>
        <v>0</v>
      </c>
      <c r="BN23" t="s">
        <v>346</v>
      </c>
      <c r="BO23" s="200">
        <f t="shared" ref="BO23" si="660">IF(ISBLANK($P23),0,SUM(IF(LEFT($P23,1)=LEFT(BN23,1),$M$4),IF(RIGHT($P23,LEN($P23)-2)=RIGHT(BN23,LEN(BN23)-2),$M$5)))</f>
        <v>0</v>
      </c>
      <c r="BP23" t="s">
        <v>369</v>
      </c>
      <c r="BQ23" s="200">
        <f t="shared" ref="BQ23" si="661">IF(ISBLANK($P23),0,SUM(IF(LEFT($P23,1)=LEFT(BP23,1),$M$4),IF(RIGHT($P23,LEN($P23)-2)=RIGHT(BP23,LEN(BP23)-2),$M$5)))</f>
        <v>0</v>
      </c>
      <c r="BR23" t="s">
        <v>336</v>
      </c>
      <c r="BS23" s="200">
        <f t="shared" ref="BS23" si="662">IF(ISBLANK($P23),0,SUM(IF(LEFT($P23,1)=LEFT(BR23,1),$M$4),IF(RIGHT($P23,LEN($P23)-2)=RIGHT(BR23,LEN(BR23)-2),$M$5)))</f>
        <v>0</v>
      </c>
      <c r="BT23" t="s">
        <v>336</v>
      </c>
      <c r="BU23" s="200">
        <f t="shared" ref="BU23" si="663">IF(ISBLANK($P23),0,SUM(IF(LEFT($P23,1)=LEFT(BT23,1),$M$4),IF(RIGHT($P23,LEN($P23)-2)=RIGHT(BT23,LEN(BT23)-2),$M$5)))</f>
        <v>0</v>
      </c>
      <c r="BV23" t="s">
        <v>330</v>
      </c>
      <c r="BW23" s="200">
        <f t="shared" ref="BW23" si="664">IF(ISBLANK($P23),0,SUM(IF(LEFT($P23,1)=LEFT(BV23,1),$M$4),IF(RIGHT($P23,LEN($P23)-2)=RIGHT(BV23,LEN(BV23)-2),$M$5)))</f>
        <v>0</v>
      </c>
      <c r="BX23" t="s">
        <v>323</v>
      </c>
      <c r="BY23" s="200">
        <f t="shared" ref="BY23" si="665">IF(ISBLANK($P23),0,SUM(IF(LEFT($P23,1)=LEFT(BX23,1),$M$4),IF(RIGHT($P23,LEN($P23)-2)=RIGHT(BX23,LEN(BX23)-2),$M$5)))</f>
        <v>0</v>
      </c>
      <c r="BZ23" t="s">
        <v>330</v>
      </c>
      <c r="CA23" s="200">
        <f t="shared" ref="CA23" si="666">IF(ISBLANK($P23),0,SUM(IF(LEFT($P23,1)=LEFT(BZ23,1),$M$4),IF(RIGHT($P23,LEN($P23)-2)=RIGHT(BZ23,LEN(BZ23)-2),$M$5)))</f>
        <v>0</v>
      </c>
      <c r="CB23" t="s">
        <v>336</v>
      </c>
      <c r="CC23" s="200">
        <f t="shared" ref="CC23" si="667">IF(ISBLANK($P23),0,SUM(IF(LEFT($P23,1)=LEFT(CB23,1),$M$4),IF(RIGHT($P23,LEN($P23)-2)=RIGHT(CB23,LEN(CB23)-2),$M$5)))</f>
        <v>0</v>
      </c>
      <c r="CD23" t="s">
        <v>326</v>
      </c>
      <c r="CE23" s="200">
        <f t="shared" ref="CE23" si="668">IF(ISBLANK($P23),0,SUM(IF(LEFT($P23,1)=LEFT(CD23,1),$M$4),IF(RIGHT($P23,LEN($P23)-2)=RIGHT(CD23,LEN(CD23)-2),$M$5)))</f>
        <v>0</v>
      </c>
      <c r="CF23" s="197" t="s">
        <v>330</v>
      </c>
      <c r="CG23" s="200">
        <f t="shared" ref="CG23" si="669">IF(ISBLANK($P23),0,SUM(IF(LEFT($P23,1)=LEFT(CF23,1),$M$4),IF(RIGHT($P23,LEN($P23)-2)=RIGHT(CF23,LEN(CF23)-2),$M$5)))</f>
        <v>0</v>
      </c>
      <c r="CH23" t="s">
        <v>330</v>
      </c>
      <c r="CI23" s="200">
        <f t="shared" ref="CI23" si="670">IF(ISBLANK($P23),0,SUM(IF(LEFT($P23,1)=LEFT(CH23,1),$M$4),IF(RIGHT($P23,LEN($P23)-2)=RIGHT(CH23,LEN(CH23)-2),$M$5)))</f>
        <v>0</v>
      </c>
      <c r="CJ23" t="s">
        <v>346</v>
      </c>
      <c r="CK23" s="200">
        <f t="shared" ref="CK23" si="671">IF(ISBLANK($P23),0,SUM(IF(LEFT($P23,1)=LEFT(CJ23,1),$M$4),IF(RIGHT($P23,LEN($P23)-2)=RIGHT(CJ23,LEN(CJ23)-2),$M$5)))</f>
        <v>0</v>
      </c>
      <c r="CL23" s="197" t="s">
        <v>346</v>
      </c>
      <c r="CM23" s="200">
        <f t="shared" ref="CM23" si="672">IF(ISBLANK($P23),0,SUM(IF(LEFT($P23,1)=LEFT(CL23,1),$M$4),IF(RIGHT($P23,LEN($P23)-2)=RIGHT(CL23,LEN(CL23)-2),$M$5)))</f>
        <v>0</v>
      </c>
      <c r="CN23" t="s">
        <v>270</v>
      </c>
      <c r="CO23" s="200">
        <f t="shared" ref="CO23" si="673">IF(ISBLANK($P23),0,SUM(IF(LEFT($P23,1)=LEFT(CN23,1),$M$4),IF(RIGHT($P23,LEN($P23)-2)=RIGHT(CN23,LEN(CN23)-2),$M$5)))</f>
        <v>0</v>
      </c>
      <c r="CP23" t="s">
        <v>336</v>
      </c>
      <c r="CQ23" s="200">
        <f t="shared" ref="CQ23" si="674">IF(ISBLANK($P23),0,SUM(IF(LEFT($P23,1)=LEFT(CP23,1),$M$4),IF(RIGHT($P23,LEN($P23)-2)=RIGHT(CP23,LEN(CP23)-2),$M$5)))</f>
        <v>0</v>
      </c>
      <c r="CR23" t="s">
        <v>346</v>
      </c>
      <c r="CS23" s="200">
        <f t="shared" ref="CS23" si="675">IF(ISBLANK($P23),0,SUM(IF(LEFT($P23,1)=LEFT(CR23,1),$M$4),IF(RIGHT($P23,LEN($P23)-2)=RIGHT(CR23,LEN(CR23)-2),$M$5)))</f>
        <v>0</v>
      </c>
      <c r="CT23" s="197" t="s">
        <v>346</v>
      </c>
      <c r="CU23" s="200">
        <f t="shared" ref="CU23" si="676">IF(ISBLANK($P23),0,SUM(IF(LEFT($P23,1)=LEFT(CT23,1),$M$4),IF(RIGHT($P23,LEN($P23)-2)=RIGHT(CT23,LEN(CT23)-2),$M$5)))</f>
        <v>0</v>
      </c>
      <c r="CV23" s="197" t="s">
        <v>330</v>
      </c>
      <c r="CW23" s="200">
        <f t="shared" ref="CW23" si="677">IF(ISBLANK($P23),0,SUM(IF(LEFT($P23,1)=LEFT(CV23,1),$M$4),IF(RIGHT($P23,LEN($P23)-2)=RIGHT(CV23,LEN(CV23)-2),$M$5)))</f>
        <v>0</v>
      </c>
      <c r="CX23" s="197" t="s">
        <v>336</v>
      </c>
      <c r="CY23" s="200">
        <f t="shared" ref="CY23" si="678">IF(ISBLANK($P23),0,SUM(IF(LEFT($P23,1)=LEFT(CX23,1),$M$4),IF(RIGHT($P23,LEN($P23)-2)=RIGHT(CX23,LEN(CX23)-2),$M$5)))</f>
        <v>0</v>
      </c>
      <c r="CZ23" s="197" t="s">
        <v>326</v>
      </c>
      <c r="DA23" s="200">
        <f t="shared" ref="DA23" si="679">IF(ISBLANK($P23),0,SUM(IF(LEFT($P23,1)=LEFT(CZ23,1),$M$4),IF(RIGHT($P23,LEN($P23)-2)=RIGHT(CZ23,LEN(CZ23)-2),$M$5)))</f>
        <v>0</v>
      </c>
    </row>
    <row r="24" spans="1:105" x14ac:dyDescent="0.25">
      <c r="A24" s="184" t="s">
        <v>333</v>
      </c>
      <c r="B24" s="184">
        <f t="shared" si="465"/>
        <v>2</v>
      </c>
      <c r="C24" s="184">
        <f t="shared" si="466"/>
        <v>2.024</v>
      </c>
      <c r="D24" s="184">
        <f>RANK(Tabla6[[#This Row],[PUNTOS1]],Tabla6[PUNTOS1],0)</f>
        <v>19</v>
      </c>
      <c r="E24" s="184">
        <f>RANK(Tabla6[[#This Row],[PUNTOS2]],Tabla6[PUNTOS2],0)</f>
        <v>39</v>
      </c>
      <c r="F24" s="184" t="str">
        <f t="shared" si="510"/>
        <v>EVA LÓPEZ</v>
      </c>
      <c r="G24" s="184">
        <f t="shared" si="511"/>
        <v>2</v>
      </c>
      <c r="H24" s="94"/>
      <c r="I24" s="94"/>
      <c r="J24" s="189">
        <f t="shared" si="467"/>
        <v>6</v>
      </c>
      <c r="K24" s="200" t="str">
        <f>IF(Tabla5[[#This Row],[Puntos]]=M23,".",Tabla5[[#This Row],[PosReal]])</f>
        <v>.</v>
      </c>
      <c r="L24" s="193" t="str">
        <f>VLOOKUP(J24,Tabla6[[ORDEN2]:[PUNTOS]],2,FALSE)</f>
        <v>RAÚL FERNÁNDEZ</v>
      </c>
      <c r="M24" s="194">
        <f>VLOOKUP(J24,Tabla6[[ORDEN2]:[PUNTOS]],3,FALSE)</f>
        <v>3</v>
      </c>
      <c r="O24" s="10" t="s">
        <v>290</v>
      </c>
      <c r="P24" s="10"/>
      <c r="Q24" s="5"/>
      <c r="R24" s="97" t="s">
        <v>262</v>
      </c>
      <c r="S24" s="200">
        <f t="shared" si="2"/>
        <v>0</v>
      </c>
      <c r="T24" s="97" t="s">
        <v>323</v>
      </c>
      <c r="U24" s="200">
        <f t="shared" si="2"/>
        <v>0</v>
      </c>
      <c r="V24" s="97" t="s">
        <v>322</v>
      </c>
      <c r="W24" s="200">
        <f t="shared" ref="W24" si="680">IF(ISBLANK($P24),0,SUM(IF(LEFT($P24,1)=LEFT(V24,1),$M$4),IF(RIGHT($P24,LEN($P24)-2)=RIGHT(V24,LEN(V24)-2),$M$5)))</f>
        <v>0</v>
      </c>
      <c r="X24" s="97" t="s">
        <v>271</v>
      </c>
      <c r="Y24" s="200">
        <f t="shared" ref="Y24" si="681">IF(ISBLANK($P24),0,SUM(IF(LEFT($P24,1)=LEFT(X24,1),$M$4),IF(RIGHT($P24,LEN($P24)-2)=RIGHT(X24,LEN(X24)-2),$M$5)))</f>
        <v>0</v>
      </c>
      <c r="Z24" s="97" t="s">
        <v>326</v>
      </c>
      <c r="AA24" s="200">
        <f t="shared" ref="AA24" si="682">IF(ISBLANK($P24),0,SUM(IF(LEFT($P24,1)=LEFT(Z24,1),$M$4),IF(RIGHT($P24,LEN($P24)-2)=RIGHT(Z24,LEN(Z24)-2),$M$5)))</f>
        <v>0</v>
      </c>
      <c r="AB24" s="97" t="s">
        <v>262</v>
      </c>
      <c r="AC24" s="200">
        <f t="shared" ref="AC24" si="683">IF(ISBLANK($P24),0,SUM(IF(LEFT($P24,1)=LEFT(AB24,1),$M$4),IF(RIGHT($P24,LEN($P24)-2)=RIGHT(AB24,LEN(AB24)-2),$M$5)))</f>
        <v>0</v>
      </c>
      <c r="AD24" t="s">
        <v>323</v>
      </c>
      <c r="AE24" s="200">
        <f t="shared" ref="AE24" si="684">IF(ISBLANK($P24),0,SUM(IF(LEFT($P24,1)=LEFT(AD24,1),$M$4),IF(RIGHT($P24,LEN($P24)-2)=RIGHT(AD24,LEN(AD24)-2),$M$5)))</f>
        <v>0</v>
      </c>
      <c r="AF24" t="s">
        <v>323</v>
      </c>
      <c r="AG24" s="200">
        <f t="shared" ref="AG24" si="685">IF(ISBLANK($P24),0,SUM(IF(LEFT($P24,1)=LEFT(AF24,1),$M$4),IF(RIGHT($P24,LEN($P24)-2)=RIGHT(AF24,LEN(AF24)-2),$M$5)))</f>
        <v>0</v>
      </c>
      <c r="AH24" t="s">
        <v>323</v>
      </c>
      <c r="AI24" s="200">
        <f t="shared" ref="AI24" si="686">IF(ISBLANK($P24),0,SUM(IF(LEFT($P24,1)=LEFT(AH24,1),$M$4),IF(RIGHT($P24,LEN($P24)-2)=RIGHT(AH24,LEN(AH24)-2),$M$5)))</f>
        <v>0</v>
      </c>
      <c r="AJ24" t="s">
        <v>262</v>
      </c>
      <c r="AK24" s="200">
        <f t="shared" ref="AK24" si="687">IF(ISBLANK($P24),0,SUM(IF(LEFT($P24,1)=LEFT(AJ24,1),$M$4),IF(RIGHT($P24,LEN($P24)-2)=RIGHT(AJ24,LEN(AJ24)-2),$M$5)))</f>
        <v>0</v>
      </c>
      <c r="AL24" t="s">
        <v>262</v>
      </c>
      <c r="AM24" s="200">
        <f t="shared" ref="AM24" si="688">IF(ISBLANK($P24),0,SUM(IF(LEFT($P24,1)=LEFT(AL24,1),$M$4),IF(RIGHT($P24,LEN($P24)-2)=RIGHT(AL24,LEN(AL24)-2),$M$5)))</f>
        <v>0</v>
      </c>
      <c r="AN24" t="s">
        <v>326</v>
      </c>
      <c r="AO24" s="200">
        <f t="shared" ref="AO24" si="689">IF(ISBLANK($P24),0,SUM(IF(LEFT($P24,1)=LEFT(AN24,1),$M$4),IF(RIGHT($P24,LEN($P24)-2)=RIGHT(AN24,LEN(AN24)-2),$M$5)))</f>
        <v>0</v>
      </c>
      <c r="AP24" t="s">
        <v>330</v>
      </c>
      <c r="AQ24" s="200">
        <f t="shared" ref="AQ24" si="690">IF(ISBLANK($P24),0,SUM(IF(LEFT($P24,1)=LEFT(AP24,1),$M$4),IF(RIGHT($P24,LEN($P24)-2)=RIGHT(AP24,LEN(AP24)-2),$M$5)))</f>
        <v>0</v>
      </c>
      <c r="AR24" t="s">
        <v>267</v>
      </c>
      <c r="AS24" s="200">
        <f t="shared" ref="AS24" si="691">IF(ISBLANK($P24),0,SUM(IF(LEFT($P24,1)=LEFT(AR24,1),$M$4),IF(RIGHT($P24,LEN($P24)-2)=RIGHT(AR24,LEN(AR24)-2),$M$5)))</f>
        <v>0</v>
      </c>
      <c r="AT24" t="s">
        <v>271</v>
      </c>
      <c r="AU24" s="200">
        <f t="shared" ref="AU24" si="692">IF(ISBLANK($P24),0,SUM(IF(LEFT($P24,1)=LEFT(AT24,1),$M$4),IF(RIGHT($P24,LEN($P24)-2)=RIGHT(AT24,LEN(AT24)-2),$M$5)))</f>
        <v>0</v>
      </c>
      <c r="AV24" t="s">
        <v>262</v>
      </c>
      <c r="AW24" s="200">
        <f t="shared" ref="AW24" si="693">IF(ISBLANK($P24),0,SUM(IF(LEFT($P24,1)=LEFT(AV24,1),$M$4),IF(RIGHT($P24,LEN($P24)-2)=RIGHT(AV24,LEN(AV24)-2),$M$5)))</f>
        <v>0</v>
      </c>
      <c r="AX24" t="s">
        <v>262</v>
      </c>
      <c r="AY24" s="200">
        <f t="shared" ref="AY24" si="694">IF(ISBLANK($P24),0,SUM(IF(LEFT($P24,1)=LEFT(AX24,1),$M$4),IF(RIGHT($P24,LEN($P24)-2)=RIGHT(AX24,LEN(AX24)-2),$M$5)))</f>
        <v>0</v>
      </c>
      <c r="AZ24" t="s">
        <v>262</v>
      </c>
      <c r="BA24" s="200">
        <f t="shared" ref="BA24" si="695">IF(ISBLANK($P24),0,SUM(IF(LEFT($P24,1)=LEFT(AZ24,1),$M$4),IF(RIGHT($P24,LEN($P24)-2)=RIGHT(AZ24,LEN(AZ24)-2),$M$5)))</f>
        <v>0</v>
      </c>
      <c r="BB24" t="s">
        <v>262</v>
      </c>
      <c r="BC24" s="200">
        <f t="shared" ref="BC24" si="696">IF(ISBLANK($P24),0,SUM(IF(LEFT($P24,1)=LEFT(BB24,1),$M$4),IF(RIGHT($P24,LEN($P24)-2)=RIGHT(BB24,LEN(BB24)-2),$M$5)))</f>
        <v>0</v>
      </c>
      <c r="BD24" t="s">
        <v>271</v>
      </c>
      <c r="BE24" s="200">
        <f t="shared" ref="BE24" si="697">IF(ISBLANK($P24),0,SUM(IF(LEFT($P24,1)=LEFT(BD24,1),$M$4),IF(RIGHT($P24,LEN($P24)-2)=RIGHT(BD24,LEN(BD24)-2),$M$5)))</f>
        <v>0</v>
      </c>
      <c r="BF24" t="s">
        <v>271</v>
      </c>
      <c r="BG24" s="200">
        <f t="shared" ref="BG24" si="698">IF(ISBLANK($P24),0,SUM(IF(LEFT($P24,1)=LEFT(BF24,1),$M$4),IF(RIGHT($P24,LEN($P24)-2)=RIGHT(BF24,LEN(BF24)-2),$M$5)))</f>
        <v>0</v>
      </c>
      <c r="BH24" t="s">
        <v>326</v>
      </c>
      <c r="BI24" s="200">
        <f t="shared" ref="BI24" si="699">IF(ISBLANK($P24),0,SUM(IF(LEFT($P24,1)=LEFT(BH24,1),$M$4),IF(RIGHT($P24,LEN($P24)-2)=RIGHT(BH24,LEN(BH24)-2),$M$5)))</f>
        <v>0</v>
      </c>
      <c r="BJ24" t="s">
        <v>268</v>
      </c>
      <c r="BK24" s="200">
        <f t="shared" ref="BK24" si="700">IF(ISBLANK($P24),0,SUM(IF(LEFT($P24,1)=LEFT(BJ24,1),$M$4),IF(RIGHT($P24,LEN($P24)-2)=RIGHT(BJ24,LEN(BJ24)-2),$M$5)))</f>
        <v>0</v>
      </c>
      <c r="BL24" t="s">
        <v>330</v>
      </c>
      <c r="BM24" s="200">
        <f t="shared" ref="BM24" si="701">IF(ISBLANK($P24),0,SUM(IF(LEFT($P24,1)=LEFT(BL24,1),$M$4),IF(RIGHT($P24,LEN($P24)-2)=RIGHT(BL24,LEN(BL24)-2),$M$5)))</f>
        <v>0</v>
      </c>
      <c r="BN24" t="s">
        <v>330</v>
      </c>
      <c r="BO24" s="200">
        <f t="shared" ref="BO24" si="702">IF(ISBLANK($P24),0,SUM(IF(LEFT($P24,1)=LEFT(BN24,1),$M$4),IF(RIGHT($P24,LEN($P24)-2)=RIGHT(BN24,LEN(BN24)-2),$M$5)))</f>
        <v>0</v>
      </c>
      <c r="BP24" t="s">
        <v>323</v>
      </c>
      <c r="BQ24" s="200">
        <f t="shared" ref="BQ24" si="703">IF(ISBLANK($P24),0,SUM(IF(LEFT($P24,1)=LEFT(BP24,1),$M$4),IF(RIGHT($P24,LEN($P24)-2)=RIGHT(BP24,LEN(BP24)-2),$M$5)))</f>
        <v>0</v>
      </c>
      <c r="BR24" t="s">
        <v>330</v>
      </c>
      <c r="BS24" s="200">
        <f t="shared" ref="BS24" si="704">IF(ISBLANK($P24),0,SUM(IF(LEFT($P24,1)=LEFT(BR24,1),$M$4),IF(RIGHT($P24,LEN($P24)-2)=RIGHT(BR24,LEN(BR24)-2),$M$5)))</f>
        <v>0</v>
      </c>
      <c r="BT24" t="s">
        <v>321</v>
      </c>
      <c r="BU24" s="200">
        <f t="shared" ref="BU24" si="705">IF(ISBLANK($P24),0,SUM(IF(LEFT($P24,1)=LEFT(BT24,1),$M$4),IF(RIGHT($P24,LEN($P24)-2)=RIGHT(BT24,LEN(BT24)-2),$M$5)))</f>
        <v>0</v>
      </c>
      <c r="BV24" t="s">
        <v>262</v>
      </c>
      <c r="BW24" s="200">
        <f t="shared" ref="BW24" si="706">IF(ISBLANK($P24),0,SUM(IF(LEFT($P24,1)=LEFT(BV24,1),$M$4),IF(RIGHT($P24,LEN($P24)-2)=RIGHT(BV24,LEN(BV24)-2),$M$5)))</f>
        <v>0</v>
      </c>
      <c r="BX24" t="s">
        <v>330</v>
      </c>
      <c r="BY24" s="200">
        <f t="shared" ref="BY24" si="707">IF(ISBLANK($P24),0,SUM(IF(LEFT($P24,1)=LEFT(BX24,1),$M$4),IF(RIGHT($P24,LEN($P24)-2)=RIGHT(BX24,LEN(BX24)-2),$M$5)))</f>
        <v>0</v>
      </c>
      <c r="BZ24" t="s">
        <v>267</v>
      </c>
      <c r="CA24" s="200">
        <f t="shared" ref="CA24" si="708">IF(ISBLANK($P24),0,SUM(IF(LEFT($P24,1)=LEFT(BZ24,1),$M$4),IF(RIGHT($P24,LEN($P24)-2)=RIGHT(BZ24,LEN(BZ24)-2),$M$5)))</f>
        <v>0</v>
      </c>
      <c r="CB24" t="s">
        <v>321</v>
      </c>
      <c r="CC24" s="200">
        <f t="shared" ref="CC24" si="709">IF(ISBLANK($P24),0,SUM(IF(LEFT($P24,1)=LEFT(CB24,1),$M$4),IF(RIGHT($P24,LEN($P24)-2)=RIGHT(CB24,LEN(CB24)-2),$M$5)))</f>
        <v>0</v>
      </c>
      <c r="CD24" t="s">
        <v>262</v>
      </c>
      <c r="CE24" s="200">
        <f t="shared" ref="CE24" si="710">IF(ISBLANK($P24),0,SUM(IF(LEFT($P24,1)=LEFT(CD24,1),$M$4),IF(RIGHT($P24,LEN($P24)-2)=RIGHT(CD24,LEN(CD24)-2),$M$5)))</f>
        <v>0</v>
      </c>
      <c r="CF24" s="197" t="s">
        <v>323</v>
      </c>
      <c r="CG24" s="200">
        <f t="shared" ref="CG24" si="711">IF(ISBLANK($P24),0,SUM(IF(LEFT($P24,1)=LEFT(CF24,1),$M$4),IF(RIGHT($P24,LEN($P24)-2)=RIGHT(CF24,LEN(CF24)-2),$M$5)))</f>
        <v>0</v>
      </c>
      <c r="CH24" t="s">
        <v>268</v>
      </c>
      <c r="CI24" s="200">
        <f t="shared" ref="CI24" si="712">IF(ISBLANK($P24),0,SUM(IF(LEFT($P24,1)=LEFT(CH24,1),$M$4),IF(RIGHT($P24,LEN($P24)-2)=RIGHT(CH24,LEN(CH24)-2),$M$5)))</f>
        <v>0</v>
      </c>
      <c r="CJ24" t="s">
        <v>330</v>
      </c>
      <c r="CK24" s="200">
        <f t="shared" ref="CK24" si="713">IF(ISBLANK($P24),0,SUM(IF(LEFT($P24,1)=LEFT(CJ24,1),$M$4),IF(RIGHT($P24,LEN($P24)-2)=RIGHT(CJ24,LEN(CJ24)-2),$M$5)))</f>
        <v>0</v>
      </c>
      <c r="CL24" s="197" t="s">
        <v>330</v>
      </c>
      <c r="CM24" s="200">
        <f t="shared" ref="CM24" si="714">IF(ISBLANK($P24),0,SUM(IF(LEFT($P24,1)=LEFT(CL24,1),$M$4),IF(RIGHT($P24,LEN($P24)-2)=RIGHT(CL24,LEN(CL24)-2),$M$5)))</f>
        <v>0</v>
      </c>
      <c r="CN24" t="s">
        <v>330</v>
      </c>
      <c r="CO24" s="200">
        <f t="shared" ref="CO24" si="715">IF(ISBLANK($P24),0,SUM(IF(LEFT($P24,1)=LEFT(CN24,1),$M$4),IF(RIGHT($P24,LEN($P24)-2)=RIGHT(CN24,LEN(CN24)-2),$M$5)))</f>
        <v>0</v>
      </c>
      <c r="CP24" t="s">
        <v>262</v>
      </c>
      <c r="CQ24" s="200">
        <f t="shared" ref="CQ24" si="716">IF(ISBLANK($P24),0,SUM(IF(LEFT($P24,1)=LEFT(CP24,1),$M$4),IF(RIGHT($P24,LEN($P24)-2)=RIGHT(CP24,LEN(CP24)-2),$M$5)))</f>
        <v>0</v>
      </c>
      <c r="CR24" t="s">
        <v>322</v>
      </c>
      <c r="CS24" s="200">
        <f t="shared" ref="CS24" si="717">IF(ISBLANK($P24),0,SUM(IF(LEFT($P24,1)=LEFT(CR24,1),$M$4),IF(RIGHT($P24,LEN($P24)-2)=RIGHT(CR24,LEN(CR24)-2),$M$5)))</f>
        <v>0</v>
      </c>
      <c r="CT24" s="197" t="s">
        <v>268</v>
      </c>
      <c r="CU24" s="200">
        <f t="shared" ref="CU24" si="718">IF(ISBLANK($P24),0,SUM(IF(LEFT($P24,1)=LEFT(CT24,1),$M$4),IF(RIGHT($P24,LEN($P24)-2)=RIGHT(CT24,LEN(CT24)-2),$M$5)))</f>
        <v>0</v>
      </c>
      <c r="CV24" s="197" t="s">
        <v>268</v>
      </c>
      <c r="CW24" s="200">
        <f t="shared" ref="CW24" si="719">IF(ISBLANK($P24),0,SUM(IF(LEFT($P24,1)=LEFT(CV24,1),$M$4),IF(RIGHT($P24,LEN($P24)-2)=RIGHT(CV24,LEN(CV24)-2),$M$5)))</f>
        <v>0</v>
      </c>
      <c r="CX24" s="197" t="s">
        <v>262</v>
      </c>
      <c r="CY24" s="200">
        <f t="shared" ref="CY24" si="720">IF(ISBLANK($P24),0,SUM(IF(LEFT($P24,1)=LEFT(CX24,1),$M$4),IF(RIGHT($P24,LEN($P24)-2)=RIGHT(CX24,LEN(CX24)-2),$M$5)))</f>
        <v>0</v>
      </c>
      <c r="CZ24" s="197" t="s">
        <v>267</v>
      </c>
      <c r="DA24" s="200">
        <f t="shared" ref="DA24" si="721">IF(ISBLANK($P24),0,SUM(IF(LEFT($P24,1)=LEFT(CZ24,1),$M$4),IF(RIGHT($P24,LEN($P24)-2)=RIGHT(CZ24,LEN(CZ24)-2),$M$5)))</f>
        <v>0</v>
      </c>
    </row>
    <row r="25" spans="1:105" x14ac:dyDescent="0.25">
      <c r="A25" s="188" t="s">
        <v>348</v>
      </c>
      <c r="B25" s="189">
        <f t="shared" ref="B25:B60" si="722">HLOOKUP(A25,$R$3:$EY$4,2,FALSE)</f>
        <v>0</v>
      </c>
      <c r="C25" s="189">
        <f t="shared" ref="C25:C60" si="723">SUM(G25,ROW()/1000)</f>
        <v>2.5000000000000001E-2</v>
      </c>
      <c r="D25" s="189">
        <f>RANK(Tabla6[[#This Row],[PUNTOS1]],Tabla6[PUNTOS1],0)</f>
        <v>43</v>
      </c>
      <c r="E25" s="189">
        <f>RANK(Tabla6[[#This Row],[PUNTOS2]],Tabla6[PUNTOS2],0)</f>
        <v>44</v>
      </c>
      <c r="F25" s="188" t="str">
        <f t="shared" ref="F25:F60" si="724">UPPER(A25)</f>
        <v>ANA LERANOZ</v>
      </c>
      <c r="G25" s="188">
        <f t="shared" ref="G25:G60" si="725">HLOOKUP(A25,$R$3:$EY$4,2,FALSE)</f>
        <v>0</v>
      </c>
      <c r="H25" s="94"/>
      <c r="I25" s="94"/>
      <c r="J25" s="192">
        <f t="shared" si="467"/>
        <v>7</v>
      </c>
      <c r="K25" s="200" t="str">
        <f>IF(Tabla5[[#This Row],[Puntos]]=M24,".",Tabla5[[#This Row],[PosReal]])</f>
        <v>.</v>
      </c>
      <c r="L25" s="193" t="str">
        <f>VLOOKUP(J25,Tabla6[[ORDEN2]:[PUNTOS]],2,FALSE)</f>
        <v>PEDRO MENDIVE</v>
      </c>
      <c r="M25" s="194">
        <f>VLOOKUP(J25,Tabla6[[ORDEN2]:[PUNTOS]],3,FALSE)</f>
        <v>3</v>
      </c>
      <c r="O25" s="10" t="s">
        <v>291</v>
      </c>
      <c r="P25" s="10"/>
      <c r="Q25" s="5"/>
      <c r="R25" s="97" t="s">
        <v>322</v>
      </c>
      <c r="S25" s="200">
        <f t="shared" si="2"/>
        <v>0</v>
      </c>
      <c r="T25" s="97" t="s">
        <v>308</v>
      </c>
      <c r="U25" s="200">
        <f t="shared" si="2"/>
        <v>0</v>
      </c>
      <c r="V25" s="97" t="s">
        <v>322</v>
      </c>
      <c r="W25" s="200">
        <f t="shared" ref="W25" si="726">IF(ISBLANK($P25),0,SUM(IF(LEFT($P25,1)=LEFT(V25,1),$M$4),IF(RIGHT($P25,LEN($P25)-2)=RIGHT(V25,LEN(V25)-2),$M$5)))</f>
        <v>0</v>
      </c>
      <c r="X25" s="97" t="s">
        <v>308</v>
      </c>
      <c r="Y25" s="200">
        <f t="shared" ref="Y25" si="727">IF(ISBLANK($P25),0,SUM(IF(LEFT($P25,1)=LEFT(X25,1),$M$4),IF(RIGHT($P25,LEN($P25)-2)=RIGHT(X25,LEN(X25)-2),$M$5)))</f>
        <v>0</v>
      </c>
      <c r="Z25" s="97" t="s">
        <v>322</v>
      </c>
      <c r="AA25" s="200">
        <f t="shared" ref="AA25" si="728">IF(ISBLANK($P25),0,SUM(IF(LEFT($P25,1)=LEFT(Z25,1),$M$4),IF(RIGHT($P25,LEN($P25)-2)=RIGHT(Z25,LEN(Z25)-2),$M$5)))</f>
        <v>0</v>
      </c>
      <c r="AB25" s="97" t="s">
        <v>322</v>
      </c>
      <c r="AC25" s="200">
        <f t="shared" ref="AC25" si="729">IF(ISBLANK($P25),0,SUM(IF(LEFT($P25,1)=LEFT(AB25,1),$M$4),IF(RIGHT($P25,LEN($P25)-2)=RIGHT(AB25,LEN(AB25)-2),$M$5)))</f>
        <v>0</v>
      </c>
      <c r="AD25" t="s">
        <v>271</v>
      </c>
      <c r="AE25" s="200">
        <f t="shared" ref="AE25" si="730">IF(ISBLANK($P25),0,SUM(IF(LEFT($P25,1)=LEFT(AD25,1),$M$4),IF(RIGHT($P25,LEN($P25)-2)=RIGHT(AD25,LEN(AD25)-2),$M$5)))</f>
        <v>0</v>
      </c>
      <c r="AF25" t="s">
        <v>267</v>
      </c>
      <c r="AG25" s="200">
        <f t="shared" ref="AG25" si="731">IF(ISBLANK($P25),0,SUM(IF(LEFT($P25,1)=LEFT(AF25,1),$M$4),IF(RIGHT($P25,LEN($P25)-2)=RIGHT(AF25,LEN(AF25)-2),$M$5)))</f>
        <v>0</v>
      </c>
      <c r="AH25" t="s">
        <v>322</v>
      </c>
      <c r="AI25" s="200">
        <f t="shared" ref="AI25" si="732">IF(ISBLANK($P25),0,SUM(IF(LEFT($P25,1)=LEFT(AH25,1),$M$4),IF(RIGHT($P25,LEN($P25)-2)=RIGHT(AH25,LEN(AH25)-2),$M$5)))</f>
        <v>0</v>
      </c>
      <c r="AJ25" t="s">
        <v>322</v>
      </c>
      <c r="AK25" s="200">
        <f t="shared" ref="AK25" si="733">IF(ISBLANK($P25),0,SUM(IF(LEFT($P25,1)=LEFT(AJ25,1),$M$4),IF(RIGHT($P25,LEN($P25)-2)=RIGHT(AJ25,LEN(AJ25)-2),$M$5)))</f>
        <v>0</v>
      </c>
      <c r="AL25" t="s">
        <v>320</v>
      </c>
      <c r="AM25" s="200">
        <f t="shared" ref="AM25" si="734">IF(ISBLANK($P25),0,SUM(IF(LEFT($P25,1)=LEFT(AL25,1),$M$4),IF(RIGHT($P25,LEN($P25)-2)=RIGHT(AL25,LEN(AL25)-2),$M$5)))</f>
        <v>0</v>
      </c>
      <c r="AN25" t="s">
        <v>271</v>
      </c>
      <c r="AO25" s="200">
        <f t="shared" ref="AO25" si="735">IF(ISBLANK($P25),0,SUM(IF(LEFT($P25,1)=LEFT(AN25,1),$M$4),IF(RIGHT($P25,LEN($P25)-2)=RIGHT(AN25,LEN(AN25)-2),$M$5)))</f>
        <v>0</v>
      </c>
      <c r="AP25" t="s">
        <v>320</v>
      </c>
      <c r="AQ25" s="200">
        <f t="shared" ref="AQ25" si="736">IF(ISBLANK($P25),0,SUM(IF(LEFT($P25,1)=LEFT(AP25,1),$M$4),IF(RIGHT($P25,LEN($P25)-2)=RIGHT(AP25,LEN(AP25)-2),$M$5)))</f>
        <v>0</v>
      </c>
      <c r="AR25" t="s">
        <v>308</v>
      </c>
      <c r="AS25" s="200">
        <f t="shared" ref="AS25" si="737">IF(ISBLANK($P25),0,SUM(IF(LEFT($P25,1)=LEFT(AR25,1),$M$4),IF(RIGHT($P25,LEN($P25)-2)=RIGHT(AR25,LEN(AR25)-2),$M$5)))</f>
        <v>0</v>
      </c>
      <c r="AT25" t="s">
        <v>262</v>
      </c>
      <c r="AU25" s="200">
        <f t="shared" ref="AU25" si="738">IF(ISBLANK($P25),0,SUM(IF(LEFT($P25,1)=LEFT(AT25,1),$M$4),IF(RIGHT($P25,LEN($P25)-2)=RIGHT(AT25,LEN(AT25)-2),$M$5)))</f>
        <v>0</v>
      </c>
      <c r="AV25" t="s">
        <v>308</v>
      </c>
      <c r="AW25" s="200">
        <f t="shared" ref="AW25" si="739">IF(ISBLANK($P25),0,SUM(IF(LEFT($P25,1)=LEFT(AV25,1),$M$4),IF(RIGHT($P25,LEN($P25)-2)=RIGHT(AV25,LEN(AV25)-2),$M$5)))</f>
        <v>0</v>
      </c>
      <c r="AX25" t="s">
        <v>271</v>
      </c>
      <c r="AY25" s="200">
        <f t="shared" ref="AY25" si="740">IF(ISBLANK($P25),0,SUM(IF(LEFT($P25,1)=LEFT(AX25,1),$M$4),IF(RIGHT($P25,LEN($P25)-2)=RIGHT(AX25,LEN(AX25)-2),$M$5)))</f>
        <v>0</v>
      </c>
      <c r="AZ25" t="s">
        <v>322</v>
      </c>
      <c r="BA25" s="200">
        <f t="shared" ref="BA25" si="741">IF(ISBLANK($P25),0,SUM(IF(LEFT($P25,1)=LEFT(AZ25,1),$M$4),IF(RIGHT($P25,LEN($P25)-2)=RIGHT(AZ25,LEN(AZ25)-2),$M$5)))</f>
        <v>0</v>
      </c>
      <c r="BB25" t="s">
        <v>271</v>
      </c>
      <c r="BC25" s="200">
        <f t="shared" ref="BC25" si="742">IF(ISBLANK($P25),0,SUM(IF(LEFT($P25,1)=LEFT(BB25,1),$M$4),IF(RIGHT($P25,LEN($P25)-2)=RIGHT(BB25,LEN(BB25)-2),$M$5)))</f>
        <v>0</v>
      </c>
      <c r="BD25" t="s">
        <v>322</v>
      </c>
      <c r="BE25" s="200">
        <f t="shared" ref="BE25" si="743">IF(ISBLANK($P25),0,SUM(IF(LEFT($P25,1)=LEFT(BD25,1),$M$4),IF(RIGHT($P25,LEN($P25)-2)=RIGHT(BD25,LEN(BD25)-2),$M$5)))</f>
        <v>0</v>
      </c>
      <c r="BF25" t="s">
        <v>266</v>
      </c>
      <c r="BG25" s="200">
        <f t="shared" ref="BG25" si="744">IF(ISBLANK($P25),0,SUM(IF(LEFT($P25,1)=LEFT(BF25,1),$M$4),IF(RIGHT($P25,LEN($P25)-2)=RIGHT(BF25,LEN(BF25)-2),$M$5)))</f>
        <v>0</v>
      </c>
      <c r="BH25" t="s">
        <v>267</v>
      </c>
      <c r="BI25" s="200">
        <f t="shared" ref="BI25" si="745">IF(ISBLANK($P25),0,SUM(IF(LEFT($P25,1)=LEFT(BH25,1),$M$4),IF(RIGHT($P25,LEN($P25)-2)=RIGHT(BH25,LEN(BH25)-2),$M$5)))</f>
        <v>0</v>
      </c>
      <c r="BJ25" t="s">
        <v>322</v>
      </c>
      <c r="BK25" s="200">
        <f t="shared" ref="BK25" si="746">IF(ISBLANK($P25),0,SUM(IF(LEFT($P25,1)=LEFT(BJ25,1),$M$4),IF(RIGHT($P25,LEN($P25)-2)=RIGHT(BJ25,LEN(BJ25)-2),$M$5)))</f>
        <v>0</v>
      </c>
      <c r="BL25" t="s">
        <v>267</v>
      </c>
      <c r="BM25" s="200">
        <f t="shared" ref="BM25" si="747">IF(ISBLANK($P25),0,SUM(IF(LEFT($P25,1)=LEFT(BL25,1),$M$4),IF(RIGHT($P25,LEN($P25)-2)=RIGHT(BL25,LEN(BL25)-2),$M$5)))</f>
        <v>0</v>
      </c>
      <c r="BN25" t="s">
        <v>320</v>
      </c>
      <c r="BO25" s="200">
        <f t="shared" ref="BO25" si="748">IF(ISBLANK($P25),0,SUM(IF(LEFT($P25,1)=LEFT(BN25,1),$M$4),IF(RIGHT($P25,LEN($P25)-2)=RIGHT(BN25,LEN(BN25)-2),$M$5)))</f>
        <v>0</v>
      </c>
      <c r="BP25" t="s">
        <v>266</v>
      </c>
      <c r="BQ25" s="200">
        <f t="shared" ref="BQ25" si="749">IF(ISBLANK($P25),0,SUM(IF(LEFT($P25,1)=LEFT(BP25,1),$M$4),IF(RIGHT($P25,LEN($P25)-2)=RIGHT(BP25,LEN(BP25)-2),$M$5)))</f>
        <v>0</v>
      </c>
      <c r="BR25" t="s">
        <v>271</v>
      </c>
      <c r="BS25" s="200">
        <f t="shared" ref="BS25" si="750">IF(ISBLANK($P25),0,SUM(IF(LEFT($P25,1)=LEFT(BR25,1),$M$4),IF(RIGHT($P25,LEN($P25)-2)=RIGHT(BR25,LEN(BR25)-2),$M$5)))</f>
        <v>0</v>
      </c>
      <c r="BT25" t="s">
        <v>267</v>
      </c>
      <c r="BU25" s="200">
        <f t="shared" ref="BU25" si="751">IF(ISBLANK($P25),0,SUM(IF(LEFT($P25,1)=LEFT(BT25,1),$M$4),IF(RIGHT($P25,LEN($P25)-2)=RIGHT(BT25,LEN(BT25)-2),$M$5)))</f>
        <v>0</v>
      </c>
      <c r="BV25" t="s">
        <v>308</v>
      </c>
      <c r="BW25" s="200">
        <f t="shared" ref="BW25" si="752">IF(ISBLANK($P25),0,SUM(IF(LEFT($P25,1)=LEFT(BV25,1),$M$4),IF(RIGHT($P25,LEN($P25)-2)=RIGHT(BV25,LEN(BV25)-2),$M$5)))</f>
        <v>0</v>
      </c>
      <c r="BX25" t="s">
        <v>322</v>
      </c>
      <c r="BY25" s="200">
        <f t="shared" ref="BY25" si="753">IF(ISBLANK($P25),0,SUM(IF(LEFT($P25,1)=LEFT(BX25,1),$M$4),IF(RIGHT($P25,LEN($P25)-2)=RIGHT(BX25,LEN(BX25)-2),$M$5)))</f>
        <v>0</v>
      </c>
      <c r="BZ25" t="s">
        <v>322</v>
      </c>
      <c r="CA25" s="200">
        <f t="shared" ref="CA25" si="754">IF(ISBLANK($P25),0,SUM(IF(LEFT($P25,1)=LEFT(BZ25,1),$M$4),IF(RIGHT($P25,LEN($P25)-2)=RIGHT(BZ25,LEN(BZ25)-2),$M$5)))</f>
        <v>0</v>
      </c>
      <c r="CB25" t="s">
        <v>308</v>
      </c>
      <c r="CC25" s="200">
        <f t="shared" ref="CC25" si="755">IF(ISBLANK($P25),0,SUM(IF(LEFT($P25,1)=LEFT(CB25,1),$M$4),IF(RIGHT($P25,LEN($P25)-2)=RIGHT(CB25,LEN(CB25)-2),$M$5)))</f>
        <v>0</v>
      </c>
      <c r="CD25" t="s">
        <v>308</v>
      </c>
      <c r="CE25" s="200">
        <f t="shared" ref="CE25" si="756">IF(ISBLANK($P25),0,SUM(IF(LEFT($P25,1)=LEFT(CD25,1),$M$4),IF(RIGHT($P25,LEN($P25)-2)=RIGHT(CD25,LEN(CD25)-2),$M$5)))</f>
        <v>0</v>
      </c>
      <c r="CF25" s="197" t="s">
        <v>308</v>
      </c>
      <c r="CG25" s="200">
        <f t="shared" ref="CG25" si="757">IF(ISBLANK($P25),0,SUM(IF(LEFT($P25,1)=LEFT(CF25,1),$M$4),IF(RIGHT($P25,LEN($P25)-2)=RIGHT(CF25,LEN(CF25)-2),$M$5)))</f>
        <v>0</v>
      </c>
      <c r="CH25" t="s">
        <v>308</v>
      </c>
      <c r="CI25" s="200">
        <f t="shared" ref="CI25" si="758">IF(ISBLANK($P25),0,SUM(IF(LEFT($P25,1)=LEFT(CH25,1),$M$4),IF(RIGHT($P25,LEN($P25)-2)=RIGHT(CH25,LEN(CH25)-2),$M$5)))</f>
        <v>0</v>
      </c>
      <c r="CJ25" t="s">
        <v>322</v>
      </c>
      <c r="CK25" s="200">
        <f t="shared" ref="CK25" si="759">IF(ISBLANK($P25),0,SUM(IF(LEFT($P25,1)=LEFT(CJ25,1),$M$4),IF(RIGHT($P25,LEN($P25)-2)=RIGHT(CJ25,LEN(CJ25)-2),$M$5)))</f>
        <v>0</v>
      </c>
      <c r="CL25" s="197" t="s">
        <v>322</v>
      </c>
      <c r="CM25" s="200">
        <f t="shared" ref="CM25" si="760">IF(ISBLANK($P25),0,SUM(IF(LEFT($P25,1)=LEFT(CL25,1),$M$4),IF(RIGHT($P25,LEN($P25)-2)=RIGHT(CL25,LEN(CL25)-2),$M$5)))</f>
        <v>0</v>
      </c>
      <c r="CN25" t="s">
        <v>321</v>
      </c>
      <c r="CO25" s="200">
        <f t="shared" ref="CO25" si="761">IF(ISBLANK($P25),0,SUM(IF(LEFT($P25,1)=LEFT(CN25,1),$M$4),IF(RIGHT($P25,LEN($P25)-2)=RIGHT(CN25,LEN(CN25)-2),$M$5)))</f>
        <v>0</v>
      </c>
      <c r="CP25" t="s">
        <v>320</v>
      </c>
      <c r="CQ25" s="200">
        <f t="shared" ref="CQ25" si="762">IF(ISBLANK($P25),0,SUM(IF(LEFT($P25,1)=LEFT(CP25,1),$M$4),IF(RIGHT($P25,LEN($P25)-2)=RIGHT(CP25,LEN(CP25)-2),$M$5)))</f>
        <v>0</v>
      </c>
      <c r="CR25" t="s">
        <v>262</v>
      </c>
      <c r="CS25" s="200">
        <f t="shared" ref="CS25" si="763">IF(ISBLANK($P25),0,SUM(IF(LEFT($P25,1)=LEFT(CR25,1),$M$4),IF(RIGHT($P25,LEN($P25)-2)=RIGHT(CR25,LEN(CR25)-2),$M$5)))</f>
        <v>0</v>
      </c>
      <c r="CT25" s="197" t="s">
        <v>271</v>
      </c>
      <c r="CU25" s="200">
        <f t="shared" ref="CU25" si="764">IF(ISBLANK($P25),0,SUM(IF(LEFT($P25,1)=LEFT(CT25,1),$M$4),IF(RIGHT($P25,LEN($P25)-2)=RIGHT(CT25,LEN(CT25)-2),$M$5)))</f>
        <v>0</v>
      </c>
      <c r="CV25" s="197" t="s">
        <v>267</v>
      </c>
      <c r="CW25" s="200">
        <f t="shared" ref="CW25" si="765">IF(ISBLANK($P25),0,SUM(IF(LEFT($P25,1)=LEFT(CV25,1),$M$4),IF(RIGHT($P25,LEN($P25)-2)=RIGHT(CV25,LEN(CV25)-2),$M$5)))</f>
        <v>0</v>
      </c>
      <c r="CX25" s="197" t="s">
        <v>322</v>
      </c>
      <c r="CY25" s="200">
        <f t="shared" ref="CY25" si="766">IF(ISBLANK($P25),0,SUM(IF(LEFT($P25,1)=LEFT(CX25,1),$M$4),IF(RIGHT($P25,LEN($P25)-2)=RIGHT(CX25,LEN(CX25)-2),$M$5)))</f>
        <v>0</v>
      </c>
      <c r="CZ25" s="197" t="s">
        <v>267</v>
      </c>
      <c r="DA25" s="200">
        <f t="shared" ref="DA25" si="767">IF(ISBLANK($P25),0,SUM(IF(LEFT($P25,1)=LEFT(CZ25,1),$M$4),IF(RIGHT($P25,LEN($P25)-2)=RIGHT(CZ25,LEN(CZ25)-2),$M$5)))</f>
        <v>0</v>
      </c>
    </row>
    <row r="26" spans="1:105" x14ac:dyDescent="0.25">
      <c r="A26" s="190" t="s">
        <v>350</v>
      </c>
      <c r="B26" s="191">
        <f t="shared" si="722"/>
        <v>3</v>
      </c>
      <c r="C26" s="191">
        <f t="shared" si="723"/>
        <v>3.0259999999999998</v>
      </c>
      <c r="D26" s="191">
        <f>RANK(Tabla6[[#This Row],[PUNTOS1]],Tabla6[PUNTOS1],0)</f>
        <v>1</v>
      </c>
      <c r="E26" s="191">
        <f>RANK(Tabla6[[#This Row],[PUNTOS2]],Tabla6[PUNTOS2],0)</f>
        <v>16</v>
      </c>
      <c r="F26" s="188" t="str">
        <f t="shared" si="724"/>
        <v>ANDER CLAVIJO</v>
      </c>
      <c r="G26" s="188">
        <f t="shared" si="725"/>
        <v>3</v>
      </c>
      <c r="H26" s="94"/>
      <c r="I26" s="94"/>
      <c r="J26" s="192">
        <f t="shared" si="467"/>
        <v>8</v>
      </c>
      <c r="K26" s="200" t="str">
        <f>IF(Tabla5[[#This Row],[Puntos]]=M25,".",Tabla5[[#This Row],[PosReal]])</f>
        <v>.</v>
      </c>
      <c r="L26" s="193" t="str">
        <f>VLOOKUP(J26,Tabla6[[ORDEN2]:[PUNTOS]],2,FALSE)</f>
        <v>PABLO MUNÁRRIZ</v>
      </c>
      <c r="M26" s="194">
        <f>VLOOKUP(J26,Tabla6[[ORDEN2]:[PUNTOS]],3,FALSE)</f>
        <v>3</v>
      </c>
      <c r="O26" s="10" t="s">
        <v>292</v>
      </c>
      <c r="P26" s="10"/>
      <c r="Q26" s="5"/>
      <c r="R26" s="97" t="s">
        <v>323</v>
      </c>
      <c r="S26" s="200">
        <f t="shared" si="2"/>
        <v>0</v>
      </c>
      <c r="T26" s="97" t="s">
        <v>322</v>
      </c>
      <c r="U26" s="200">
        <f t="shared" si="2"/>
        <v>0</v>
      </c>
      <c r="V26" s="97" t="s">
        <v>323</v>
      </c>
      <c r="W26" s="200">
        <f t="shared" ref="W26" si="768">IF(ISBLANK($P26),0,SUM(IF(LEFT($P26,1)=LEFT(V26,1),$M$4),IF(RIGHT($P26,LEN($P26)-2)=RIGHT(V26,LEN(V26)-2),$M$5)))</f>
        <v>0</v>
      </c>
      <c r="X26" s="97" t="s">
        <v>262</v>
      </c>
      <c r="Y26" s="200">
        <f t="shared" ref="Y26" si="769">IF(ISBLANK($P26),0,SUM(IF(LEFT($P26,1)=LEFT(X26,1),$M$4),IF(RIGHT($P26,LEN($P26)-2)=RIGHT(X26,LEN(X26)-2),$M$5)))</f>
        <v>0</v>
      </c>
      <c r="Z26" s="97" t="s">
        <v>271</v>
      </c>
      <c r="AA26" s="200">
        <f t="shared" ref="AA26" si="770">IF(ISBLANK($P26),0,SUM(IF(LEFT($P26,1)=LEFT(Z26,1),$M$4),IF(RIGHT($P26,LEN($P26)-2)=RIGHT(Z26,LEN(Z26)-2),$M$5)))</f>
        <v>0</v>
      </c>
      <c r="AB26" s="97" t="s">
        <v>321</v>
      </c>
      <c r="AC26" s="200">
        <f t="shared" ref="AC26" si="771">IF(ISBLANK($P26),0,SUM(IF(LEFT($P26,1)=LEFT(AB26,1),$M$4),IF(RIGHT($P26,LEN($P26)-2)=RIGHT(AB26,LEN(AB26)-2),$M$5)))</f>
        <v>0</v>
      </c>
      <c r="AD26" t="s">
        <v>271</v>
      </c>
      <c r="AE26" s="200">
        <f t="shared" ref="AE26" si="772">IF(ISBLANK($P26),0,SUM(IF(LEFT($P26,1)=LEFT(AD26,1),$M$4),IF(RIGHT($P26,LEN($P26)-2)=RIGHT(AD26,LEN(AD26)-2),$M$5)))</f>
        <v>0</v>
      </c>
      <c r="AF26" t="s">
        <v>268</v>
      </c>
      <c r="AG26" s="200">
        <f t="shared" ref="AG26" si="773">IF(ISBLANK($P26),0,SUM(IF(LEFT($P26,1)=LEFT(AF26,1),$M$4),IF(RIGHT($P26,LEN($P26)-2)=RIGHT(AF26,LEN(AF26)-2),$M$5)))</f>
        <v>0</v>
      </c>
      <c r="AH26" t="s">
        <v>271</v>
      </c>
      <c r="AI26" s="200">
        <f t="shared" ref="AI26" si="774">IF(ISBLANK($P26),0,SUM(IF(LEFT($P26,1)=LEFT(AH26,1),$M$4),IF(RIGHT($P26,LEN($P26)-2)=RIGHT(AH26,LEN(AH26)-2),$M$5)))</f>
        <v>0</v>
      </c>
      <c r="AJ26" t="s">
        <v>262</v>
      </c>
      <c r="AK26" s="200">
        <f t="shared" ref="AK26" si="775">IF(ISBLANK($P26),0,SUM(IF(LEFT($P26,1)=LEFT(AJ26,1),$M$4),IF(RIGHT($P26,LEN($P26)-2)=RIGHT(AJ26,LEN(AJ26)-2),$M$5)))</f>
        <v>0</v>
      </c>
      <c r="AL26" t="s">
        <v>271</v>
      </c>
      <c r="AM26" s="200">
        <f t="shared" ref="AM26" si="776">IF(ISBLANK($P26),0,SUM(IF(LEFT($P26,1)=LEFT(AL26,1),$M$4),IF(RIGHT($P26,LEN($P26)-2)=RIGHT(AL26,LEN(AL26)-2),$M$5)))</f>
        <v>0</v>
      </c>
      <c r="AN26" t="s">
        <v>323</v>
      </c>
      <c r="AO26" s="200">
        <f t="shared" ref="AO26" si="777">IF(ISBLANK($P26),0,SUM(IF(LEFT($P26,1)=LEFT(AN26,1),$M$4),IF(RIGHT($P26,LEN($P26)-2)=RIGHT(AN26,LEN(AN26)-2),$M$5)))</f>
        <v>0</v>
      </c>
      <c r="AP26" t="s">
        <v>262</v>
      </c>
      <c r="AQ26" s="200">
        <f t="shared" ref="AQ26" si="778">IF(ISBLANK($P26),0,SUM(IF(LEFT($P26,1)=LEFT(AP26,1),$M$4),IF(RIGHT($P26,LEN($P26)-2)=RIGHT(AP26,LEN(AP26)-2),$M$5)))</f>
        <v>0</v>
      </c>
      <c r="AR26" t="s">
        <v>271</v>
      </c>
      <c r="AS26" s="200">
        <f t="shared" ref="AS26" si="779">IF(ISBLANK($P26),0,SUM(IF(LEFT($P26,1)=LEFT(AR26,1),$M$4),IF(RIGHT($P26,LEN($P26)-2)=RIGHT(AR26,LEN(AR26)-2),$M$5)))</f>
        <v>0</v>
      </c>
      <c r="AT26" t="s">
        <v>321</v>
      </c>
      <c r="AU26" s="200">
        <f t="shared" ref="AU26" si="780">IF(ISBLANK($P26),0,SUM(IF(LEFT($P26,1)=LEFT(AT26,1),$M$4),IF(RIGHT($P26,LEN($P26)-2)=RIGHT(AT26,LEN(AT26)-2),$M$5)))</f>
        <v>0</v>
      </c>
      <c r="AV26" t="s">
        <v>262</v>
      </c>
      <c r="AW26" s="200">
        <f t="shared" ref="AW26" si="781">IF(ISBLANK($P26),0,SUM(IF(LEFT($P26,1)=LEFT(AV26,1),$M$4),IF(RIGHT($P26,LEN($P26)-2)=RIGHT(AV26,LEN(AV26)-2),$M$5)))</f>
        <v>0</v>
      </c>
      <c r="AX26" t="s">
        <v>262</v>
      </c>
      <c r="AY26" s="200">
        <f t="shared" ref="AY26" si="782">IF(ISBLANK($P26),0,SUM(IF(LEFT($P26,1)=LEFT(AX26,1),$M$4),IF(RIGHT($P26,LEN($P26)-2)=RIGHT(AX26,LEN(AX26)-2),$M$5)))</f>
        <v>0</v>
      </c>
      <c r="AZ26" t="s">
        <v>335</v>
      </c>
      <c r="BA26" s="200">
        <f t="shared" ref="BA26" si="783">IF(ISBLANK($P26),0,SUM(IF(LEFT($P26,1)=LEFT(AZ26,1),$M$4),IF(RIGHT($P26,LEN($P26)-2)=RIGHT(AZ26,LEN(AZ26)-2),$M$5)))</f>
        <v>0</v>
      </c>
      <c r="BB26" t="s">
        <v>262</v>
      </c>
      <c r="BC26" s="200">
        <f t="shared" ref="BC26" si="784">IF(ISBLANK($P26),0,SUM(IF(LEFT($P26,1)=LEFT(BB26,1),$M$4),IF(RIGHT($P26,LEN($P26)-2)=RIGHT(BB26,LEN(BB26)-2),$M$5)))</f>
        <v>0</v>
      </c>
      <c r="BD26" t="s">
        <v>271</v>
      </c>
      <c r="BE26" s="200">
        <f t="shared" ref="BE26" si="785">IF(ISBLANK($P26),0,SUM(IF(LEFT($P26,1)=LEFT(BD26,1),$M$4),IF(RIGHT($P26,LEN($P26)-2)=RIGHT(BD26,LEN(BD26)-2),$M$5)))</f>
        <v>0</v>
      </c>
      <c r="BF26" t="s">
        <v>262</v>
      </c>
      <c r="BG26" s="200">
        <f t="shared" ref="BG26" si="786">IF(ISBLANK($P26),0,SUM(IF(LEFT($P26,1)=LEFT(BF26,1),$M$4),IF(RIGHT($P26,LEN($P26)-2)=RIGHT(BF26,LEN(BF26)-2),$M$5)))</f>
        <v>0</v>
      </c>
      <c r="BH26" t="s">
        <v>326</v>
      </c>
      <c r="BI26" s="200">
        <f t="shared" ref="BI26" si="787">IF(ISBLANK($P26),0,SUM(IF(LEFT($P26,1)=LEFT(BH26,1),$M$4),IF(RIGHT($P26,LEN($P26)-2)=RIGHT(BH26,LEN(BH26)-2),$M$5)))</f>
        <v>0</v>
      </c>
      <c r="BJ26" t="s">
        <v>262</v>
      </c>
      <c r="BK26" s="200">
        <f t="shared" ref="BK26" si="788">IF(ISBLANK($P26),0,SUM(IF(LEFT($P26,1)=LEFT(BJ26,1),$M$4),IF(RIGHT($P26,LEN($P26)-2)=RIGHT(BJ26,LEN(BJ26)-2),$M$5)))</f>
        <v>0</v>
      </c>
      <c r="BL26" t="s">
        <v>268</v>
      </c>
      <c r="BM26" s="200">
        <f t="shared" ref="BM26" si="789">IF(ISBLANK($P26),0,SUM(IF(LEFT($P26,1)=LEFT(BL26,1),$M$4),IF(RIGHT($P26,LEN($P26)-2)=RIGHT(BL26,LEN(BL26)-2),$M$5)))</f>
        <v>0</v>
      </c>
      <c r="BN26" t="s">
        <v>262</v>
      </c>
      <c r="BO26" s="200">
        <f t="shared" ref="BO26" si="790">IF(ISBLANK($P26),0,SUM(IF(LEFT($P26,1)=LEFT(BN26,1),$M$4),IF(RIGHT($P26,LEN($P26)-2)=RIGHT(BN26,LEN(BN26)-2),$M$5)))</f>
        <v>0</v>
      </c>
      <c r="BP26" t="s">
        <v>323</v>
      </c>
      <c r="BQ26" s="200">
        <f t="shared" ref="BQ26" si="791">IF(ISBLANK($P26),0,SUM(IF(LEFT($P26,1)=LEFT(BP26,1),$M$4),IF(RIGHT($P26,LEN($P26)-2)=RIGHT(BP26,LEN(BP26)-2),$M$5)))</f>
        <v>0</v>
      </c>
      <c r="BR26" t="s">
        <v>321</v>
      </c>
      <c r="BS26" s="200">
        <f t="shared" ref="BS26" si="792">IF(ISBLANK($P26),0,SUM(IF(LEFT($P26,1)=LEFT(BR26,1),$M$4),IF(RIGHT($P26,LEN($P26)-2)=RIGHT(BR26,LEN(BR26)-2),$M$5)))</f>
        <v>0</v>
      </c>
      <c r="BT26" t="s">
        <v>323</v>
      </c>
      <c r="BU26" s="200">
        <f t="shared" ref="BU26" si="793">IF(ISBLANK($P26),0,SUM(IF(LEFT($P26,1)=LEFT(BT26,1),$M$4),IF(RIGHT($P26,LEN($P26)-2)=RIGHT(BT26,LEN(BT26)-2),$M$5)))</f>
        <v>0</v>
      </c>
      <c r="BV26" t="s">
        <v>323</v>
      </c>
      <c r="BW26" s="200">
        <f t="shared" ref="BW26" si="794">IF(ISBLANK($P26),0,SUM(IF(LEFT($P26,1)=LEFT(BV26,1),$M$4),IF(RIGHT($P26,LEN($P26)-2)=RIGHT(BV26,LEN(BV26)-2),$M$5)))</f>
        <v>0</v>
      </c>
      <c r="BX26" t="s">
        <v>262</v>
      </c>
      <c r="BY26" s="200">
        <f t="shared" ref="BY26" si="795">IF(ISBLANK($P26),0,SUM(IF(LEFT($P26,1)=LEFT(BX26,1),$M$4),IF(RIGHT($P26,LEN($P26)-2)=RIGHT(BX26,LEN(BX26)-2),$M$5)))</f>
        <v>0</v>
      </c>
      <c r="BZ26" t="s">
        <v>262</v>
      </c>
      <c r="CA26" s="200">
        <f t="shared" ref="CA26" si="796">IF(ISBLANK($P26),0,SUM(IF(LEFT($P26,1)=LEFT(BZ26,1),$M$4),IF(RIGHT($P26,LEN($P26)-2)=RIGHT(BZ26,LEN(BZ26)-2),$M$5)))</f>
        <v>0</v>
      </c>
      <c r="CB26" t="s">
        <v>268</v>
      </c>
      <c r="CC26" s="200">
        <f t="shared" ref="CC26" si="797">IF(ISBLANK($P26),0,SUM(IF(LEFT($P26,1)=LEFT(CB26,1),$M$4),IF(RIGHT($P26,LEN($P26)-2)=RIGHT(CB26,LEN(CB26)-2),$M$5)))</f>
        <v>0</v>
      </c>
      <c r="CD26" t="s">
        <v>262</v>
      </c>
      <c r="CE26" s="200">
        <f t="shared" ref="CE26" si="798">IF(ISBLANK($P26),0,SUM(IF(LEFT($P26,1)=LEFT(CD26,1),$M$4),IF(RIGHT($P26,LEN($P26)-2)=RIGHT(CD26,LEN(CD26)-2),$M$5)))</f>
        <v>0</v>
      </c>
      <c r="CF26" s="197" t="s">
        <v>323</v>
      </c>
      <c r="CG26" s="200">
        <f t="shared" ref="CG26" si="799">IF(ISBLANK($P26),0,SUM(IF(LEFT($P26,1)=LEFT(CF26,1),$M$4),IF(RIGHT($P26,LEN($P26)-2)=RIGHT(CF26,LEN(CF26)-2),$M$5)))</f>
        <v>0</v>
      </c>
      <c r="CH26" t="s">
        <v>330</v>
      </c>
      <c r="CI26" s="200">
        <f t="shared" ref="CI26" si="800">IF(ISBLANK($P26),0,SUM(IF(LEFT($P26,1)=LEFT(CH26,1),$M$4),IF(RIGHT($P26,LEN($P26)-2)=RIGHT(CH26,LEN(CH26)-2),$M$5)))</f>
        <v>0</v>
      </c>
      <c r="CJ26" t="s">
        <v>326</v>
      </c>
      <c r="CK26" s="200">
        <f t="shared" ref="CK26" si="801">IF(ISBLANK($P26),0,SUM(IF(LEFT($P26,1)=LEFT(CJ26,1),$M$4),IF(RIGHT($P26,LEN($P26)-2)=RIGHT(CJ26,LEN(CJ26)-2),$M$5)))</f>
        <v>0</v>
      </c>
      <c r="CL26" s="197" t="s">
        <v>323</v>
      </c>
      <c r="CM26" s="200">
        <f t="shared" ref="CM26" si="802">IF(ISBLANK($P26),0,SUM(IF(LEFT($P26,1)=LEFT(CL26,1),$M$4),IF(RIGHT($P26,LEN($P26)-2)=RIGHT(CL26,LEN(CL26)-2),$M$5)))</f>
        <v>0</v>
      </c>
      <c r="CN26" t="s">
        <v>321</v>
      </c>
      <c r="CO26" s="200">
        <f t="shared" ref="CO26" si="803">IF(ISBLANK($P26),0,SUM(IF(LEFT($P26,1)=LEFT(CN26,1),$M$4),IF(RIGHT($P26,LEN($P26)-2)=RIGHT(CN26,LEN(CN26)-2),$M$5)))</f>
        <v>0</v>
      </c>
      <c r="CP26" t="s">
        <v>330</v>
      </c>
      <c r="CQ26" s="200">
        <f t="shared" ref="CQ26" si="804">IF(ISBLANK($P26),0,SUM(IF(LEFT($P26,1)=LEFT(CP26,1),$M$4),IF(RIGHT($P26,LEN($P26)-2)=RIGHT(CP26,LEN(CP26)-2),$M$5)))</f>
        <v>0</v>
      </c>
      <c r="CR26" t="s">
        <v>267</v>
      </c>
      <c r="CS26" s="200">
        <f t="shared" ref="CS26" si="805">IF(ISBLANK($P26),0,SUM(IF(LEFT($P26,1)=LEFT(CR26,1),$M$4),IF(RIGHT($P26,LEN($P26)-2)=RIGHT(CR26,LEN(CR26)-2),$M$5)))</f>
        <v>0</v>
      </c>
      <c r="CT26" s="197" t="s">
        <v>262</v>
      </c>
      <c r="CU26" s="200">
        <f t="shared" ref="CU26" si="806">IF(ISBLANK($P26),0,SUM(IF(LEFT($P26,1)=LEFT(CT26,1),$M$4),IF(RIGHT($P26,LEN($P26)-2)=RIGHT(CT26,LEN(CT26)-2),$M$5)))</f>
        <v>0</v>
      </c>
      <c r="CV26" s="197" t="s">
        <v>271</v>
      </c>
      <c r="CW26" s="200">
        <f t="shared" ref="CW26" si="807">IF(ISBLANK($P26),0,SUM(IF(LEFT($P26,1)=LEFT(CV26,1),$M$4),IF(RIGHT($P26,LEN($P26)-2)=RIGHT(CV26,LEN(CV26)-2),$M$5)))</f>
        <v>0</v>
      </c>
      <c r="CX26" s="197" t="s">
        <v>321</v>
      </c>
      <c r="CY26" s="200">
        <f t="shared" ref="CY26" si="808">IF(ISBLANK($P26),0,SUM(IF(LEFT($P26,1)=LEFT(CX26,1),$M$4),IF(RIGHT($P26,LEN($P26)-2)=RIGHT(CX26,LEN(CX26)-2),$M$5)))</f>
        <v>0</v>
      </c>
      <c r="CZ26" s="197" t="s">
        <v>271</v>
      </c>
      <c r="DA26" s="200">
        <f t="shared" ref="DA26" si="809">IF(ISBLANK($P26),0,SUM(IF(LEFT($P26,1)=LEFT(CZ26,1),$M$4),IF(RIGHT($P26,LEN($P26)-2)=RIGHT(CZ26,LEN(CZ26)-2),$M$5)))</f>
        <v>0</v>
      </c>
    </row>
    <row r="27" spans="1:105" x14ac:dyDescent="0.25">
      <c r="A27" s="188" t="s">
        <v>352</v>
      </c>
      <c r="B27" s="189">
        <f t="shared" si="722"/>
        <v>3</v>
      </c>
      <c r="C27" s="189">
        <f t="shared" si="723"/>
        <v>3.0270000000000001</v>
      </c>
      <c r="D27" s="189">
        <f>RANK(Tabla6[[#This Row],[PUNTOS1]],Tabla6[PUNTOS1],0)</f>
        <v>1</v>
      </c>
      <c r="E27" s="189">
        <f>RANK(Tabla6[[#This Row],[PUNTOS2]],Tabla6[PUNTOS2],0)</f>
        <v>15</v>
      </c>
      <c r="F27" s="188" t="str">
        <f t="shared" si="724"/>
        <v>CÉSAR DIAZ</v>
      </c>
      <c r="G27" s="188">
        <f t="shared" si="725"/>
        <v>3</v>
      </c>
      <c r="H27" s="94"/>
      <c r="I27" s="94"/>
      <c r="J27" s="192">
        <f t="shared" si="467"/>
        <v>9</v>
      </c>
      <c r="K27" s="200" t="str">
        <f>IF(Tabla5[[#This Row],[Puntos]]=M26,".",Tabla5[[#This Row],[PosReal]])</f>
        <v>.</v>
      </c>
      <c r="L27" s="193" t="str">
        <f>VLOOKUP(J27,Tabla6[[ORDEN2]:[PUNTOS]],2,FALSE)</f>
        <v>KEPA LARREA</v>
      </c>
      <c r="M27" s="194">
        <f>VLOOKUP(J27,Tabla6[[ORDEN2]:[PUNTOS]],3,FALSE)</f>
        <v>3</v>
      </c>
      <c r="O27" s="10" t="s">
        <v>293</v>
      </c>
      <c r="P27" s="10"/>
      <c r="Q27" s="5"/>
      <c r="R27" s="97" t="s">
        <v>322</v>
      </c>
      <c r="S27" s="200">
        <f t="shared" si="2"/>
        <v>0</v>
      </c>
      <c r="T27" s="97" t="s">
        <v>271</v>
      </c>
      <c r="U27" s="200">
        <f t="shared" si="2"/>
        <v>0</v>
      </c>
      <c r="V27" s="97" t="s">
        <v>266</v>
      </c>
      <c r="W27" s="200">
        <f t="shared" ref="W27" si="810">IF(ISBLANK($P27),0,SUM(IF(LEFT($P27,1)=LEFT(V27,1),$M$4),IF(RIGHT($P27,LEN($P27)-2)=RIGHT(V27,LEN(V27)-2),$M$5)))</f>
        <v>0</v>
      </c>
      <c r="X27" s="97" t="s">
        <v>267</v>
      </c>
      <c r="Y27" s="200">
        <f t="shared" ref="Y27" si="811">IF(ISBLANK($P27),0,SUM(IF(LEFT($P27,1)=LEFT(X27,1),$M$4),IF(RIGHT($P27,LEN($P27)-2)=RIGHT(X27,LEN(X27)-2),$M$5)))</f>
        <v>0</v>
      </c>
      <c r="Z27" s="97" t="s">
        <v>266</v>
      </c>
      <c r="AA27" s="200">
        <f t="shared" ref="AA27" si="812">IF(ISBLANK($P27),0,SUM(IF(LEFT($P27,1)=LEFT(Z27,1),$M$4),IF(RIGHT($P27,LEN($P27)-2)=RIGHT(Z27,LEN(Z27)-2),$M$5)))</f>
        <v>0</v>
      </c>
      <c r="AB27" s="97" t="s">
        <v>266</v>
      </c>
      <c r="AC27" s="200">
        <f t="shared" ref="AC27" si="813">IF(ISBLANK($P27),0,SUM(IF(LEFT($P27,1)=LEFT(AB27,1),$M$4),IF(RIGHT($P27,LEN($P27)-2)=RIGHT(AB27,LEN(AB27)-2),$M$5)))</f>
        <v>0</v>
      </c>
      <c r="AD27" t="s">
        <v>267</v>
      </c>
      <c r="AE27" s="200">
        <f t="shared" ref="AE27" si="814">IF(ISBLANK($P27),0,SUM(IF(LEFT($P27,1)=LEFT(AD27,1),$M$4),IF(RIGHT($P27,LEN($P27)-2)=RIGHT(AD27,LEN(AD27)-2),$M$5)))</f>
        <v>0</v>
      </c>
      <c r="AF27" t="s">
        <v>271</v>
      </c>
      <c r="AG27" s="200">
        <f t="shared" ref="AG27" si="815">IF(ISBLANK($P27),0,SUM(IF(LEFT($P27,1)=LEFT(AF27,1),$M$4),IF(RIGHT($P27,LEN($P27)-2)=RIGHT(AF27,LEN(AF27)-2),$M$5)))</f>
        <v>0</v>
      </c>
      <c r="AH27" t="s">
        <v>267</v>
      </c>
      <c r="AI27" s="200">
        <f t="shared" ref="AI27" si="816">IF(ISBLANK($P27),0,SUM(IF(LEFT($P27,1)=LEFT(AH27,1),$M$4),IF(RIGHT($P27,LEN($P27)-2)=RIGHT(AH27,LEN(AH27)-2),$M$5)))</f>
        <v>0</v>
      </c>
      <c r="AJ27" t="s">
        <v>267</v>
      </c>
      <c r="AK27" s="200">
        <f t="shared" ref="AK27" si="817">IF(ISBLANK($P27),0,SUM(IF(LEFT($P27,1)=LEFT(AJ27,1),$M$4),IF(RIGHT($P27,LEN($P27)-2)=RIGHT(AJ27,LEN(AJ27)-2),$M$5)))</f>
        <v>0</v>
      </c>
      <c r="AL27" t="s">
        <v>308</v>
      </c>
      <c r="AM27" s="200">
        <f t="shared" ref="AM27" si="818">IF(ISBLANK($P27),0,SUM(IF(LEFT($P27,1)=LEFT(AL27,1),$M$4),IF(RIGHT($P27,LEN($P27)-2)=RIGHT(AL27,LEN(AL27)-2),$M$5)))</f>
        <v>0</v>
      </c>
      <c r="AN27" t="s">
        <v>308</v>
      </c>
      <c r="AO27" s="200">
        <f t="shared" ref="AO27" si="819">IF(ISBLANK($P27),0,SUM(IF(LEFT($P27,1)=LEFT(AN27,1),$M$4),IF(RIGHT($P27,LEN($P27)-2)=RIGHT(AN27,LEN(AN27)-2),$M$5)))</f>
        <v>0</v>
      </c>
      <c r="AP27" t="s">
        <v>322</v>
      </c>
      <c r="AQ27" s="200">
        <f t="shared" ref="AQ27" si="820">IF(ISBLANK($P27),0,SUM(IF(LEFT($P27,1)=LEFT(AP27,1),$M$4),IF(RIGHT($P27,LEN($P27)-2)=RIGHT(AP27,LEN(AP27)-2),$M$5)))</f>
        <v>0</v>
      </c>
      <c r="AR27" t="s">
        <v>267</v>
      </c>
      <c r="AS27" s="200">
        <f t="shared" ref="AS27" si="821">IF(ISBLANK($P27),0,SUM(IF(LEFT($P27,1)=LEFT(AR27,1),$M$4),IF(RIGHT($P27,LEN($P27)-2)=RIGHT(AR27,LEN(AR27)-2),$M$5)))</f>
        <v>0</v>
      </c>
      <c r="AT27" t="s">
        <v>266</v>
      </c>
      <c r="AU27" s="200">
        <f t="shared" ref="AU27" si="822">IF(ISBLANK($P27),0,SUM(IF(LEFT($P27,1)=LEFT(AT27,1),$M$4),IF(RIGHT($P27,LEN($P27)-2)=RIGHT(AT27,LEN(AT27)-2),$M$5)))</f>
        <v>0</v>
      </c>
      <c r="AV27" t="s">
        <v>308</v>
      </c>
      <c r="AW27" s="200">
        <f t="shared" ref="AW27" si="823">IF(ISBLANK($P27),0,SUM(IF(LEFT($P27,1)=LEFT(AV27,1),$M$4),IF(RIGHT($P27,LEN($P27)-2)=RIGHT(AV27,LEN(AV27)-2),$M$5)))</f>
        <v>0</v>
      </c>
      <c r="AX27" t="s">
        <v>322</v>
      </c>
      <c r="AY27" s="200">
        <f t="shared" ref="AY27" si="824">IF(ISBLANK($P27),0,SUM(IF(LEFT($P27,1)=LEFT(AX27,1),$M$4),IF(RIGHT($P27,LEN($P27)-2)=RIGHT(AX27,LEN(AX27)-2),$M$5)))</f>
        <v>0</v>
      </c>
      <c r="AZ27" t="s">
        <v>322</v>
      </c>
      <c r="BA27" s="200">
        <f t="shared" ref="BA27" si="825">IF(ISBLANK($P27),0,SUM(IF(LEFT($P27,1)=LEFT(AZ27,1),$M$4),IF(RIGHT($P27,LEN($P27)-2)=RIGHT(AZ27,LEN(AZ27)-2),$M$5)))</f>
        <v>0</v>
      </c>
      <c r="BB27" t="s">
        <v>267</v>
      </c>
      <c r="BC27" s="200">
        <f t="shared" ref="BC27" si="826">IF(ISBLANK($P27),0,SUM(IF(LEFT($P27,1)=LEFT(BB27,1),$M$4),IF(RIGHT($P27,LEN($P27)-2)=RIGHT(BB27,LEN(BB27)-2),$M$5)))</f>
        <v>0</v>
      </c>
      <c r="BD27" t="s">
        <v>322</v>
      </c>
      <c r="BE27" s="200">
        <f t="shared" ref="BE27" si="827">IF(ISBLANK($P27),0,SUM(IF(LEFT($P27,1)=LEFT(BD27,1),$M$4),IF(RIGHT($P27,LEN($P27)-2)=RIGHT(BD27,LEN(BD27)-2),$M$5)))</f>
        <v>0</v>
      </c>
      <c r="BF27" t="s">
        <v>267</v>
      </c>
      <c r="BG27" s="200">
        <f t="shared" ref="BG27" si="828">IF(ISBLANK($P27),0,SUM(IF(LEFT($P27,1)=LEFT(BF27,1),$M$4),IF(RIGHT($P27,LEN($P27)-2)=RIGHT(BF27,LEN(BF27)-2),$M$5)))</f>
        <v>0</v>
      </c>
      <c r="BH27" t="s">
        <v>308</v>
      </c>
      <c r="BI27" s="200">
        <f t="shared" ref="BI27" si="829">IF(ISBLANK($P27),0,SUM(IF(LEFT($P27,1)=LEFT(BH27,1),$M$4),IF(RIGHT($P27,LEN($P27)-2)=RIGHT(BH27,LEN(BH27)-2),$M$5)))</f>
        <v>0</v>
      </c>
      <c r="BJ27" t="s">
        <v>308</v>
      </c>
      <c r="BK27" s="200">
        <f t="shared" ref="BK27" si="830">IF(ISBLANK($P27),0,SUM(IF(LEFT($P27,1)=LEFT(BJ27,1),$M$4),IF(RIGHT($P27,LEN($P27)-2)=RIGHT(BJ27,LEN(BJ27)-2),$M$5)))</f>
        <v>0</v>
      </c>
      <c r="BL27" t="s">
        <v>322</v>
      </c>
      <c r="BM27" s="200">
        <f t="shared" ref="BM27" si="831">IF(ISBLANK($P27),0,SUM(IF(LEFT($P27,1)=LEFT(BL27,1),$M$4),IF(RIGHT($P27,LEN($P27)-2)=RIGHT(BL27,LEN(BL27)-2),$M$5)))</f>
        <v>0</v>
      </c>
      <c r="BN27" t="s">
        <v>322</v>
      </c>
      <c r="BO27" s="200">
        <f t="shared" ref="BO27" si="832">IF(ISBLANK($P27),0,SUM(IF(LEFT($P27,1)=LEFT(BN27,1),$M$4),IF(RIGHT($P27,LEN($P27)-2)=RIGHT(BN27,LEN(BN27)-2),$M$5)))</f>
        <v>0</v>
      </c>
      <c r="BP27" t="s">
        <v>322</v>
      </c>
      <c r="BQ27" s="200">
        <f t="shared" ref="BQ27" si="833">IF(ISBLANK($P27),0,SUM(IF(LEFT($P27,1)=LEFT(BP27,1),$M$4),IF(RIGHT($P27,LEN($P27)-2)=RIGHT(BP27,LEN(BP27)-2),$M$5)))</f>
        <v>0</v>
      </c>
      <c r="BR27" t="s">
        <v>322</v>
      </c>
      <c r="BS27" s="200">
        <f t="shared" ref="BS27" si="834">IF(ISBLANK($P27),0,SUM(IF(LEFT($P27,1)=LEFT(BR27,1),$M$4),IF(RIGHT($P27,LEN($P27)-2)=RIGHT(BR27,LEN(BR27)-2),$M$5)))</f>
        <v>0</v>
      </c>
      <c r="BT27" t="s">
        <v>322</v>
      </c>
      <c r="BU27" s="200">
        <f t="shared" ref="BU27" si="835">IF(ISBLANK($P27),0,SUM(IF(LEFT($P27,1)=LEFT(BT27,1),$M$4),IF(RIGHT($P27,LEN($P27)-2)=RIGHT(BT27,LEN(BT27)-2),$M$5)))</f>
        <v>0</v>
      </c>
      <c r="BV27" t="s">
        <v>322</v>
      </c>
      <c r="BW27" s="200">
        <f t="shared" ref="BW27" si="836">IF(ISBLANK($P27),0,SUM(IF(LEFT($P27,1)=LEFT(BV27,1),$M$4),IF(RIGHT($P27,LEN($P27)-2)=RIGHT(BV27,LEN(BV27)-2),$M$5)))</f>
        <v>0</v>
      </c>
      <c r="BX27" t="s">
        <v>320</v>
      </c>
      <c r="BY27" s="200">
        <f t="shared" ref="BY27" si="837">IF(ISBLANK($P27),0,SUM(IF(LEFT($P27,1)=LEFT(BX27,1),$M$4),IF(RIGHT($P27,LEN($P27)-2)=RIGHT(BX27,LEN(BX27)-2),$M$5)))</f>
        <v>0</v>
      </c>
      <c r="BZ27" t="s">
        <v>322</v>
      </c>
      <c r="CA27" s="200">
        <f t="shared" ref="CA27" si="838">IF(ISBLANK($P27),0,SUM(IF(LEFT($P27,1)=LEFT(BZ27,1),$M$4),IF(RIGHT($P27,LEN($P27)-2)=RIGHT(BZ27,LEN(BZ27)-2),$M$5)))</f>
        <v>0</v>
      </c>
      <c r="CB27" t="s">
        <v>267</v>
      </c>
      <c r="CC27" s="200">
        <f t="shared" ref="CC27" si="839">IF(ISBLANK($P27),0,SUM(IF(LEFT($P27,1)=LEFT(CB27,1),$M$4),IF(RIGHT($P27,LEN($P27)-2)=RIGHT(CB27,LEN(CB27)-2),$M$5)))</f>
        <v>0</v>
      </c>
      <c r="CD27" t="s">
        <v>271</v>
      </c>
      <c r="CE27" s="200">
        <f t="shared" ref="CE27" si="840">IF(ISBLANK($P27),0,SUM(IF(LEFT($P27,1)=LEFT(CD27,1),$M$4),IF(RIGHT($P27,LEN($P27)-2)=RIGHT(CD27,LEN(CD27)-2),$M$5)))</f>
        <v>0</v>
      </c>
      <c r="CF27" s="197" t="s">
        <v>267</v>
      </c>
      <c r="CG27" s="200">
        <f t="shared" ref="CG27" si="841">IF(ISBLANK($P27),0,SUM(IF(LEFT($P27,1)=LEFT(CF27,1),$M$4),IF(RIGHT($P27,LEN($P27)-2)=RIGHT(CF27,LEN(CF27)-2),$M$5)))</f>
        <v>0</v>
      </c>
      <c r="CH27" t="s">
        <v>267</v>
      </c>
      <c r="CI27" s="200">
        <f t="shared" ref="CI27" si="842">IF(ISBLANK($P27),0,SUM(IF(LEFT($P27,1)=LEFT(CH27,1),$M$4),IF(RIGHT($P27,LEN($P27)-2)=RIGHT(CH27,LEN(CH27)-2),$M$5)))</f>
        <v>0</v>
      </c>
      <c r="CJ27" t="s">
        <v>322</v>
      </c>
      <c r="CK27" s="200">
        <f t="shared" ref="CK27" si="843">IF(ISBLANK($P27),0,SUM(IF(LEFT($P27,1)=LEFT(CJ27,1),$M$4),IF(RIGHT($P27,LEN($P27)-2)=RIGHT(CJ27,LEN(CJ27)-2),$M$5)))</f>
        <v>0</v>
      </c>
      <c r="CL27" s="197" t="s">
        <v>322</v>
      </c>
      <c r="CM27" s="200">
        <f t="shared" ref="CM27" si="844">IF(ISBLANK($P27),0,SUM(IF(LEFT($P27,1)=LEFT(CL27,1),$M$4),IF(RIGHT($P27,LEN($P27)-2)=RIGHT(CL27,LEN(CL27)-2),$M$5)))</f>
        <v>0</v>
      </c>
      <c r="CN27" t="s">
        <v>320</v>
      </c>
      <c r="CO27" s="200">
        <f t="shared" ref="CO27" si="845">IF(ISBLANK($P27),0,SUM(IF(LEFT($P27,1)=LEFT(CN27,1),$M$4),IF(RIGHT($P27,LEN($P27)-2)=RIGHT(CN27,LEN(CN27)-2),$M$5)))</f>
        <v>0</v>
      </c>
      <c r="CP27" t="s">
        <v>267</v>
      </c>
      <c r="CQ27" s="200">
        <f t="shared" ref="CQ27" si="846">IF(ISBLANK($P27),0,SUM(IF(LEFT($P27,1)=LEFT(CP27,1),$M$4),IF(RIGHT($P27,LEN($P27)-2)=RIGHT(CP27,LEN(CP27)-2),$M$5)))</f>
        <v>0</v>
      </c>
      <c r="CR27" t="s">
        <v>267</v>
      </c>
      <c r="CS27" s="200">
        <f t="shared" ref="CS27" si="847">IF(ISBLANK($P27),0,SUM(IF(LEFT($P27,1)=LEFT(CR27,1),$M$4),IF(RIGHT($P27,LEN($P27)-2)=RIGHT(CR27,LEN(CR27)-2),$M$5)))</f>
        <v>0</v>
      </c>
      <c r="CT27" s="197" t="s">
        <v>267</v>
      </c>
      <c r="CU27" s="200">
        <f t="shared" ref="CU27" si="848">IF(ISBLANK($P27),0,SUM(IF(LEFT($P27,1)=LEFT(CT27,1),$M$4),IF(RIGHT($P27,LEN($P27)-2)=RIGHT(CT27,LEN(CT27)-2),$M$5)))</f>
        <v>0</v>
      </c>
      <c r="CV27" s="197" t="s">
        <v>308</v>
      </c>
      <c r="CW27" s="200">
        <f t="shared" ref="CW27" si="849">IF(ISBLANK($P27),0,SUM(IF(LEFT($P27,1)=LEFT(CV27,1),$M$4),IF(RIGHT($P27,LEN($P27)-2)=RIGHT(CV27,LEN(CV27)-2),$M$5)))</f>
        <v>0</v>
      </c>
      <c r="CX27" s="197" t="s">
        <v>267</v>
      </c>
      <c r="CY27" s="200">
        <f t="shared" ref="CY27" si="850">IF(ISBLANK($P27),0,SUM(IF(LEFT($P27,1)=LEFT(CX27,1),$M$4),IF(RIGHT($P27,LEN($P27)-2)=RIGHT(CX27,LEN(CX27)-2),$M$5)))</f>
        <v>0</v>
      </c>
      <c r="CZ27" s="197" t="s">
        <v>267</v>
      </c>
      <c r="DA27" s="200">
        <f t="shared" ref="DA27" si="851">IF(ISBLANK($P27),0,SUM(IF(LEFT($P27,1)=LEFT(CZ27,1),$M$4),IF(RIGHT($P27,LEN($P27)-2)=RIGHT(CZ27,LEN(CZ27)-2),$M$5)))</f>
        <v>0</v>
      </c>
    </row>
    <row r="28" spans="1:105" x14ac:dyDescent="0.25">
      <c r="A28" s="190" t="s">
        <v>354</v>
      </c>
      <c r="B28" s="191">
        <f t="shared" si="722"/>
        <v>2</v>
      </c>
      <c r="C28" s="191">
        <f t="shared" si="723"/>
        <v>2.028</v>
      </c>
      <c r="D28" s="191">
        <f>RANK(Tabla6[[#This Row],[PUNTOS1]],Tabla6[PUNTOS1],0)</f>
        <v>19</v>
      </c>
      <c r="E28" s="191">
        <f>RANK(Tabla6[[#This Row],[PUNTOS2]],Tabla6[PUNTOS2],0)</f>
        <v>38</v>
      </c>
      <c r="F28" s="188" t="str">
        <f t="shared" si="724"/>
        <v>DAVID MARTINEZ</v>
      </c>
      <c r="G28" s="188">
        <f t="shared" si="725"/>
        <v>2</v>
      </c>
      <c r="H28" s="94"/>
      <c r="I28" s="94"/>
      <c r="J28" s="192">
        <f t="shared" si="467"/>
        <v>10</v>
      </c>
      <c r="K28" s="200" t="str">
        <f>IF(Tabla5[[#This Row],[Puntos]]=M27,".",Tabla5[[#This Row],[PosReal]])</f>
        <v>.</v>
      </c>
      <c r="L28" s="193" t="str">
        <f>VLOOKUP(J28,Tabla6[[ORDEN2]:[PUNTOS]],2,FALSE)</f>
        <v>JUANLU CARDOSO</v>
      </c>
      <c r="M28" s="194">
        <f>VLOOKUP(J28,Tabla6[[ORDEN2]:[PUNTOS]],3,FALSE)</f>
        <v>3</v>
      </c>
      <c r="O28" s="10" t="s">
        <v>294</v>
      </c>
      <c r="P28" s="10"/>
      <c r="Q28" s="5"/>
      <c r="R28" s="97" t="s">
        <v>308</v>
      </c>
      <c r="S28" s="200">
        <f t="shared" si="2"/>
        <v>0</v>
      </c>
      <c r="T28" s="97" t="s">
        <v>267</v>
      </c>
      <c r="U28" s="200">
        <f t="shared" si="2"/>
        <v>0</v>
      </c>
      <c r="V28" s="97" t="s">
        <v>321</v>
      </c>
      <c r="W28" s="200">
        <f t="shared" ref="W28" si="852">IF(ISBLANK($P28),0,SUM(IF(LEFT($P28,1)=LEFT(V28,1),$M$4),IF(RIGHT($P28,LEN($P28)-2)=RIGHT(V28,LEN(V28)-2),$M$5)))</f>
        <v>0</v>
      </c>
      <c r="X28" s="97" t="s">
        <v>308</v>
      </c>
      <c r="Y28" s="200">
        <f t="shared" ref="Y28" si="853">IF(ISBLANK($P28),0,SUM(IF(LEFT($P28,1)=LEFT(X28,1),$M$4),IF(RIGHT($P28,LEN($P28)-2)=RIGHT(X28,LEN(X28)-2),$M$5)))</f>
        <v>0</v>
      </c>
      <c r="Z28" s="97" t="s">
        <v>267</v>
      </c>
      <c r="AA28" s="200">
        <f t="shared" ref="AA28" si="854">IF(ISBLANK($P28),0,SUM(IF(LEFT($P28,1)=LEFT(Z28,1),$M$4),IF(RIGHT($P28,LEN($P28)-2)=RIGHT(Z28,LEN(Z28)-2),$M$5)))</f>
        <v>0</v>
      </c>
      <c r="AB28" s="97" t="s">
        <v>268</v>
      </c>
      <c r="AC28" s="200">
        <f t="shared" ref="AC28" si="855">IF(ISBLANK($P28),0,SUM(IF(LEFT($P28,1)=LEFT(AB28,1),$M$4),IF(RIGHT($P28,LEN($P28)-2)=RIGHT(AB28,LEN(AB28)-2),$M$5)))</f>
        <v>0</v>
      </c>
      <c r="AD28" t="s">
        <v>271</v>
      </c>
      <c r="AE28" s="200">
        <f t="shared" ref="AE28" si="856">IF(ISBLANK($P28),0,SUM(IF(LEFT($P28,1)=LEFT(AD28,1),$M$4),IF(RIGHT($P28,LEN($P28)-2)=RIGHT(AD28,LEN(AD28)-2),$M$5)))</f>
        <v>0</v>
      </c>
      <c r="AF28" t="s">
        <v>322</v>
      </c>
      <c r="AG28" s="200">
        <f t="shared" ref="AG28" si="857">IF(ISBLANK($P28),0,SUM(IF(LEFT($P28,1)=LEFT(AF28,1),$M$4),IF(RIGHT($P28,LEN($P28)-2)=RIGHT(AF28,LEN(AF28)-2),$M$5)))</f>
        <v>0</v>
      </c>
      <c r="AH28" t="s">
        <v>308</v>
      </c>
      <c r="AI28" s="200">
        <f t="shared" ref="AI28" si="858">IF(ISBLANK($P28),0,SUM(IF(LEFT($P28,1)=LEFT(AH28,1),$M$4),IF(RIGHT($P28,LEN($P28)-2)=RIGHT(AH28,LEN(AH28)-2),$M$5)))</f>
        <v>0</v>
      </c>
      <c r="AJ28" t="s">
        <v>271</v>
      </c>
      <c r="AK28" s="200">
        <f t="shared" ref="AK28" si="859">IF(ISBLANK($P28),0,SUM(IF(LEFT($P28,1)=LEFT(AJ28,1),$M$4),IF(RIGHT($P28,LEN($P28)-2)=RIGHT(AJ28,LEN(AJ28)-2),$M$5)))</f>
        <v>0</v>
      </c>
      <c r="AL28" t="s">
        <v>308</v>
      </c>
      <c r="AM28" s="200">
        <f t="shared" ref="AM28" si="860">IF(ISBLANK($P28),0,SUM(IF(LEFT($P28,1)=LEFT(AL28,1),$M$4),IF(RIGHT($P28,LEN($P28)-2)=RIGHT(AL28,LEN(AL28)-2),$M$5)))</f>
        <v>0</v>
      </c>
      <c r="AN28" t="s">
        <v>326</v>
      </c>
      <c r="AO28" s="200">
        <f t="shared" ref="AO28" si="861">IF(ISBLANK($P28),0,SUM(IF(LEFT($P28,1)=LEFT(AN28,1),$M$4),IF(RIGHT($P28,LEN($P28)-2)=RIGHT(AN28,LEN(AN28)-2),$M$5)))</f>
        <v>0</v>
      </c>
      <c r="AP28" t="s">
        <v>323</v>
      </c>
      <c r="AQ28" s="200">
        <f t="shared" ref="AQ28" si="862">IF(ISBLANK($P28),0,SUM(IF(LEFT($P28,1)=LEFT(AP28,1),$M$4),IF(RIGHT($P28,LEN($P28)-2)=RIGHT(AP28,LEN(AP28)-2),$M$5)))</f>
        <v>0</v>
      </c>
      <c r="AR28" t="s">
        <v>321</v>
      </c>
      <c r="AS28" s="200">
        <f t="shared" ref="AS28" si="863">IF(ISBLANK($P28),0,SUM(IF(LEFT($P28,1)=LEFT(AR28,1),$M$4),IF(RIGHT($P28,LEN($P28)-2)=RIGHT(AR28,LEN(AR28)-2),$M$5)))</f>
        <v>0</v>
      </c>
      <c r="AT28" t="s">
        <v>271</v>
      </c>
      <c r="AU28" s="200">
        <f t="shared" ref="AU28" si="864">IF(ISBLANK($P28),0,SUM(IF(LEFT($P28,1)=LEFT(AT28,1),$M$4),IF(RIGHT($P28,LEN($P28)-2)=RIGHT(AT28,LEN(AT28)-2),$M$5)))</f>
        <v>0</v>
      </c>
      <c r="AV28" t="s">
        <v>322</v>
      </c>
      <c r="AW28" s="200">
        <f t="shared" ref="AW28" si="865">IF(ISBLANK($P28),0,SUM(IF(LEFT($P28,1)=LEFT(AV28,1),$M$4),IF(RIGHT($P28,LEN($P28)-2)=RIGHT(AV28,LEN(AV28)-2),$M$5)))</f>
        <v>0</v>
      </c>
      <c r="AX28" t="s">
        <v>267</v>
      </c>
      <c r="AY28" s="200">
        <f t="shared" ref="AY28" si="866">IF(ISBLANK($P28),0,SUM(IF(LEFT($P28,1)=LEFT(AX28,1),$M$4),IF(RIGHT($P28,LEN($P28)-2)=RIGHT(AX28,LEN(AX28)-2),$M$5)))</f>
        <v>0</v>
      </c>
      <c r="AZ28" t="s">
        <v>322</v>
      </c>
      <c r="BA28" s="200">
        <f t="shared" ref="BA28" si="867">IF(ISBLANK($P28),0,SUM(IF(LEFT($P28,1)=LEFT(AZ28,1),$M$4),IF(RIGHT($P28,LEN($P28)-2)=RIGHT(AZ28,LEN(AZ28)-2),$M$5)))</f>
        <v>0</v>
      </c>
      <c r="BB28" t="s">
        <v>262</v>
      </c>
      <c r="BC28" s="200">
        <f t="shared" ref="BC28" si="868">IF(ISBLANK($P28),0,SUM(IF(LEFT($P28,1)=LEFT(BB28,1),$M$4),IF(RIGHT($P28,LEN($P28)-2)=RIGHT(BB28,LEN(BB28)-2),$M$5)))</f>
        <v>0</v>
      </c>
      <c r="BD28" t="s">
        <v>262</v>
      </c>
      <c r="BE28" s="200">
        <f t="shared" ref="BE28" si="869">IF(ISBLANK($P28),0,SUM(IF(LEFT($P28,1)=LEFT(BD28,1),$M$4),IF(RIGHT($P28,LEN($P28)-2)=RIGHT(BD28,LEN(BD28)-2),$M$5)))</f>
        <v>0</v>
      </c>
      <c r="BF28" t="s">
        <v>271</v>
      </c>
      <c r="BG28" s="200">
        <f t="shared" ref="BG28" si="870">IF(ISBLANK($P28),0,SUM(IF(LEFT($P28,1)=LEFT(BF28,1),$M$4),IF(RIGHT($P28,LEN($P28)-2)=RIGHT(BF28,LEN(BF28)-2),$M$5)))</f>
        <v>0</v>
      </c>
      <c r="BH28" t="s">
        <v>321</v>
      </c>
      <c r="BI28" s="200">
        <f t="shared" ref="BI28" si="871">IF(ISBLANK($P28),0,SUM(IF(LEFT($P28,1)=LEFT(BH28,1),$M$4),IF(RIGHT($P28,LEN($P28)-2)=RIGHT(BH28,LEN(BH28)-2),$M$5)))</f>
        <v>0</v>
      </c>
      <c r="BJ28" t="s">
        <v>268</v>
      </c>
      <c r="BK28" s="200">
        <f t="shared" ref="BK28" si="872">IF(ISBLANK($P28),0,SUM(IF(LEFT($P28,1)=LEFT(BJ28,1),$M$4),IF(RIGHT($P28,LEN($P28)-2)=RIGHT(BJ28,LEN(BJ28)-2),$M$5)))</f>
        <v>0</v>
      </c>
      <c r="BL28" t="s">
        <v>266</v>
      </c>
      <c r="BM28" s="200">
        <f t="shared" ref="BM28" si="873">IF(ISBLANK($P28),0,SUM(IF(LEFT($P28,1)=LEFT(BL28,1),$M$4),IF(RIGHT($P28,LEN($P28)-2)=RIGHT(BL28,LEN(BL28)-2),$M$5)))</f>
        <v>0</v>
      </c>
      <c r="BN28" t="s">
        <v>323</v>
      </c>
      <c r="BO28" s="200">
        <f t="shared" ref="BO28" si="874">IF(ISBLANK($P28),0,SUM(IF(LEFT($P28,1)=LEFT(BN28,1),$M$4),IF(RIGHT($P28,LEN($P28)-2)=RIGHT(BN28,LEN(BN28)-2),$M$5)))</f>
        <v>0</v>
      </c>
      <c r="BP28" t="s">
        <v>321</v>
      </c>
      <c r="BQ28" s="200">
        <f t="shared" ref="BQ28" si="875">IF(ISBLANK($P28),0,SUM(IF(LEFT($P28,1)=LEFT(BP28,1),$M$4),IF(RIGHT($P28,LEN($P28)-2)=RIGHT(BP28,LEN(BP28)-2),$M$5)))</f>
        <v>0</v>
      </c>
      <c r="BR28" t="s">
        <v>322</v>
      </c>
      <c r="BS28" s="200">
        <f t="shared" ref="BS28" si="876">IF(ISBLANK($P28),0,SUM(IF(LEFT($P28,1)=LEFT(BR28,1),$M$4),IF(RIGHT($P28,LEN($P28)-2)=RIGHT(BR28,LEN(BR28)-2),$M$5)))</f>
        <v>0</v>
      </c>
      <c r="BT28" t="s">
        <v>271</v>
      </c>
      <c r="BU28" s="200">
        <f t="shared" ref="BU28" si="877">IF(ISBLANK($P28),0,SUM(IF(LEFT($P28,1)=LEFT(BT28,1),$M$4),IF(RIGHT($P28,LEN($P28)-2)=RIGHT(BT28,LEN(BT28)-2),$M$5)))</f>
        <v>0</v>
      </c>
      <c r="BV28" t="s">
        <v>323</v>
      </c>
      <c r="BW28" s="200">
        <f t="shared" ref="BW28" si="878">IF(ISBLANK($P28),0,SUM(IF(LEFT($P28,1)=LEFT(BV28,1),$M$4),IF(RIGHT($P28,LEN($P28)-2)=RIGHT(BV28,LEN(BV28)-2),$M$5)))</f>
        <v>0</v>
      </c>
      <c r="BX28" t="s">
        <v>308</v>
      </c>
      <c r="BY28" s="200">
        <f t="shared" ref="BY28" si="879">IF(ISBLANK($P28),0,SUM(IF(LEFT($P28,1)=LEFT(BX28,1),$M$4),IF(RIGHT($P28,LEN($P28)-2)=RIGHT(BX28,LEN(BX28)-2),$M$5)))</f>
        <v>0</v>
      </c>
      <c r="BZ28" t="s">
        <v>321</v>
      </c>
      <c r="CA28" s="200">
        <f t="shared" ref="CA28" si="880">IF(ISBLANK($P28),0,SUM(IF(LEFT($P28,1)=LEFT(BZ28,1),$M$4),IF(RIGHT($P28,LEN($P28)-2)=RIGHT(BZ28,LEN(BZ28)-2),$M$5)))</f>
        <v>0</v>
      </c>
      <c r="CB28" t="s">
        <v>271</v>
      </c>
      <c r="CC28" s="200">
        <f t="shared" ref="CC28" si="881">IF(ISBLANK($P28),0,SUM(IF(LEFT($P28,1)=LEFT(CB28,1),$M$4),IF(RIGHT($P28,LEN($P28)-2)=RIGHT(CB28,LEN(CB28)-2),$M$5)))</f>
        <v>0</v>
      </c>
      <c r="CD28" t="s">
        <v>262</v>
      </c>
      <c r="CE28" s="200">
        <f t="shared" ref="CE28" si="882">IF(ISBLANK($P28),0,SUM(IF(LEFT($P28,1)=LEFT(CD28,1),$M$4),IF(RIGHT($P28,LEN($P28)-2)=RIGHT(CD28,LEN(CD28)-2),$M$5)))</f>
        <v>0</v>
      </c>
      <c r="CF28" s="197" t="s">
        <v>271</v>
      </c>
      <c r="CG28" s="200">
        <f t="shared" ref="CG28" si="883">IF(ISBLANK($P28),0,SUM(IF(LEFT($P28,1)=LEFT(CF28,1),$M$4),IF(RIGHT($P28,LEN($P28)-2)=RIGHT(CF28,LEN(CF28)-2),$M$5)))</f>
        <v>0</v>
      </c>
      <c r="CH28" t="s">
        <v>326</v>
      </c>
      <c r="CI28" s="200">
        <f t="shared" ref="CI28" si="884">IF(ISBLANK($P28),0,SUM(IF(LEFT($P28,1)=LEFT(CH28,1),$M$4),IF(RIGHT($P28,LEN($P28)-2)=RIGHT(CH28,LEN(CH28)-2),$M$5)))</f>
        <v>0</v>
      </c>
      <c r="CJ28" t="s">
        <v>262</v>
      </c>
      <c r="CK28" s="200">
        <f t="shared" ref="CK28" si="885">IF(ISBLANK($P28),0,SUM(IF(LEFT($P28,1)=LEFT(CJ28,1),$M$4),IF(RIGHT($P28,LEN($P28)-2)=RIGHT(CJ28,LEN(CJ28)-2),$M$5)))</f>
        <v>0</v>
      </c>
      <c r="CL28" s="197" t="s">
        <v>271</v>
      </c>
      <c r="CM28" s="200">
        <f t="shared" ref="CM28" si="886">IF(ISBLANK($P28),0,SUM(IF(LEFT($P28,1)=LEFT(CL28,1),$M$4),IF(RIGHT($P28,LEN($P28)-2)=RIGHT(CL28,LEN(CL28)-2),$M$5)))</f>
        <v>0</v>
      </c>
      <c r="CN28" t="s">
        <v>330</v>
      </c>
      <c r="CO28" s="200">
        <f t="shared" ref="CO28" si="887">IF(ISBLANK($P28),0,SUM(IF(LEFT($P28,1)=LEFT(CN28,1),$M$4),IF(RIGHT($P28,LEN($P28)-2)=RIGHT(CN28,LEN(CN28)-2),$M$5)))</f>
        <v>0</v>
      </c>
      <c r="CP28" t="s">
        <v>262</v>
      </c>
      <c r="CQ28" s="200">
        <f t="shared" ref="CQ28" si="888">IF(ISBLANK($P28),0,SUM(IF(LEFT($P28,1)=LEFT(CP28,1),$M$4),IF(RIGHT($P28,LEN($P28)-2)=RIGHT(CP28,LEN(CP28)-2),$M$5)))</f>
        <v>0</v>
      </c>
      <c r="CR28" t="s">
        <v>268</v>
      </c>
      <c r="CS28" s="200">
        <f t="shared" ref="CS28" si="889">IF(ISBLANK($P28),0,SUM(IF(LEFT($P28,1)=LEFT(CR28,1),$M$4),IF(RIGHT($P28,LEN($P28)-2)=RIGHT(CR28,LEN(CR28)-2),$M$5)))</f>
        <v>0</v>
      </c>
      <c r="CT28" s="197" t="s">
        <v>267</v>
      </c>
      <c r="CU28" s="200">
        <f t="shared" ref="CU28" si="890">IF(ISBLANK($P28),0,SUM(IF(LEFT($P28,1)=LEFT(CT28,1),$M$4),IF(RIGHT($P28,LEN($P28)-2)=RIGHT(CT28,LEN(CT28)-2),$M$5)))</f>
        <v>0</v>
      </c>
      <c r="CV28" s="197" t="s">
        <v>262</v>
      </c>
      <c r="CW28" s="200">
        <f t="shared" ref="CW28" si="891">IF(ISBLANK($P28),0,SUM(IF(LEFT($P28,1)=LEFT(CV28,1),$M$4),IF(RIGHT($P28,LEN($P28)-2)=RIGHT(CV28,LEN(CV28)-2),$M$5)))</f>
        <v>0</v>
      </c>
      <c r="CX28" s="197" t="s">
        <v>271</v>
      </c>
      <c r="CY28" s="200">
        <f t="shared" ref="CY28" si="892">IF(ISBLANK($P28),0,SUM(IF(LEFT($P28,1)=LEFT(CX28,1),$M$4),IF(RIGHT($P28,LEN($P28)-2)=RIGHT(CX28,LEN(CX28)-2),$M$5)))</f>
        <v>0</v>
      </c>
      <c r="CZ28" s="197" t="s">
        <v>268</v>
      </c>
      <c r="DA28" s="200">
        <f t="shared" ref="DA28" si="893">IF(ISBLANK($P28),0,SUM(IF(LEFT($P28,1)=LEFT(CZ28,1),$M$4),IF(RIGHT($P28,LEN($P28)-2)=RIGHT(CZ28,LEN(CZ28)-2),$M$5)))</f>
        <v>0</v>
      </c>
    </row>
    <row r="29" spans="1:105" x14ac:dyDescent="0.25">
      <c r="A29" s="188" t="s">
        <v>357</v>
      </c>
      <c r="B29" s="189">
        <f t="shared" si="722"/>
        <v>2</v>
      </c>
      <c r="C29" s="189">
        <f t="shared" si="723"/>
        <v>2.0289999999999999</v>
      </c>
      <c r="D29" s="189">
        <f>RANK(Tabla6[[#This Row],[PUNTOS1]],Tabla6[PUNTOS1],0)</f>
        <v>19</v>
      </c>
      <c r="E29" s="189">
        <f>RANK(Tabla6[[#This Row],[PUNTOS2]],Tabla6[PUNTOS2],0)</f>
        <v>37</v>
      </c>
      <c r="F29" s="188" t="str">
        <f t="shared" si="724"/>
        <v>FERMÍN GALAR</v>
      </c>
      <c r="G29" s="188">
        <f t="shared" si="725"/>
        <v>2</v>
      </c>
      <c r="H29" s="94"/>
      <c r="I29" s="94"/>
      <c r="J29" s="192">
        <f t="shared" si="467"/>
        <v>11</v>
      </c>
      <c r="K29" s="200" t="str">
        <f>IF(Tabla5[[#This Row],[Puntos]]=M28,".",Tabla5[[#This Row],[PosReal]])</f>
        <v>.</v>
      </c>
      <c r="L29" s="193" t="str">
        <f>VLOOKUP(J29,Tabla6[[ORDEN2]:[PUNTOS]],2,FALSE)</f>
        <v>JOSU RAMIREZ</v>
      </c>
      <c r="M29" s="194">
        <f>VLOOKUP(J29,Tabla6[[ORDEN2]:[PUNTOS]],3,FALSE)</f>
        <v>3</v>
      </c>
      <c r="O29" s="10" t="s">
        <v>295</v>
      </c>
      <c r="P29" s="10"/>
      <c r="Q29" s="5"/>
      <c r="R29" s="97" t="s">
        <v>323</v>
      </c>
      <c r="S29" s="200">
        <f t="shared" si="2"/>
        <v>0</v>
      </c>
      <c r="T29" s="97" t="s">
        <v>262</v>
      </c>
      <c r="U29" s="200">
        <f t="shared" si="2"/>
        <v>0</v>
      </c>
      <c r="V29" s="97" t="s">
        <v>271</v>
      </c>
      <c r="W29" s="200">
        <f t="shared" ref="W29" si="894">IF(ISBLANK($P29),0,SUM(IF(LEFT($P29,1)=LEFT(V29,1),$M$4),IF(RIGHT($P29,LEN($P29)-2)=RIGHT(V29,LEN(V29)-2),$M$5)))</f>
        <v>0</v>
      </c>
      <c r="X29" s="97" t="s">
        <v>268</v>
      </c>
      <c r="Y29" s="200">
        <f t="shared" ref="Y29" si="895">IF(ISBLANK($P29),0,SUM(IF(LEFT($P29,1)=LEFT(X29,1),$M$4),IF(RIGHT($P29,LEN($P29)-2)=RIGHT(X29,LEN(X29)-2),$M$5)))</f>
        <v>0</v>
      </c>
      <c r="Z29" s="97" t="s">
        <v>321</v>
      </c>
      <c r="AA29" s="200">
        <f t="shared" ref="AA29" si="896">IF(ISBLANK($P29),0,SUM(IF(LEFT($P29,1)=LEFT(Z29,1),$M$4),IF(RIGHT($P29,LEN($P29)-2)=RIGHT(Z29,LEN(Z29)-2),$M$5)))</f>
        <v>0</v>
      </c>
      <c r="AB29" s="97" t="s">
        <v>262</v>
      </c>
      <c r="AC29" s="200">
        <f t="shared" ref="AC29" si="897">IF(ISBLANK($P29),0,SUM(IF(LEFT($P29,1)=LEFT(AB29,1),$M$4),IF(RIGHT($P29,LEN($P29)-2)=RIGHT(AB29,LEN(AB29)-2),$M$5)))</f>
        <v>0</v>
      </c>
      <c r="AD29" t="s">
        <v>271</v>
      </c>
      <c r="AE29" s="200">
        <f t="shared" ref="AE29" si="898">IF(ISBLANK($P29),0,SUM(IF(LEFT($P29,1)=LEFT(AD29,1),$M$4),IF(RIGHT($P29,LEN($P29)-2)=RIGHT(AD29,LEN(AD29)-2),$M$5)))</f>
        <v>0</v>
      </c>
      <c r="AF29" t="s">
        <v>323</v>
      </c>
      <c r="AG29" s="200">
        <f t="shared" ref="AG29" si="899">IF(ISBLANK($P29),0,SUM(IF(LEFT($P29,1)=LEFT(AF29,1),$M$4),IF(RIGHT($P29,LEN($P29)-2)=RIGHT(AF29,LEN(AF29)-2),$M$5)))</f>
        <v>0</v>
      </c>
      <c r="AH29" t="s">
        <v>271</v>
      </c>
      <c r="AI29" s="200">
        <f t="shared" ref="AI29" si="900">IF(ISBLANK($P29),0,SUM(IF(LEFT($P29,1)=LEFT(AH29,1),$M$4),IF(RIGHT($P29,LEN($P29)-2)=RIGHT(AH29,LEN(AH29)-2),$M$5)))</f>
        <v>0</v>
      </c>
      <c r="AJ29" t="s">
        <v>268</v>
      </c>
      <c r="AK29" s="200">
        <f t="shared" ref="AK29" si="901">IF(ISBLANK($P29),0,SUM(IF(LEFT($P29,1)=LEFT(AJ29,1),$M$4),IF(RIGHT($P29,LEN($P29)-2)=RIGHT(AJ29,LEN(AJ29)-2),$M$5)))</f>
        <v>0</v>
      </c>
      <c r="AL29" t="s">
        <v>262</v>
      </c>
      <c r="AM29" s="200">
        <f t="shared" ref="AM29" si="902">IF(ISBLANK($P29),0,SUM(IF(LEFT($P29,1)=LEFT(AL29,1),$M$4),IF(RIGHT($P29,LEN($P29)-2)=RIGHT(AL29,LEN(AL29)-2),$M$5)))</f>
        <v>0</v>
      </c>
      <c r="AN29" t="s">
        <v>271</v>
      </c>
      <c r="AO29" s="200">
        <f t="shared" ref="AO29" si="903">IF(ISBLANK($P29),0,SUM(IF(LEFT($P29,1)=LEFT(AN29,1),$M$4),IF(RIGHT($P29,LEN($P29)-2)=RIGHT(AN29,LEN(AN29)-2),$M$5)))</f>
        <v>0</v>
      </c>
      <c r="AP29" t="s">
        <v>330</v>
      </c>
      <c r="AQ29" s="200">
        <f t="shared" ref="AQ29" si="904">IF(ISBLANK($P29),0,SUM(IF(LEFT($P29,1)=LEFT(AP29,1),$M$4),IF(RIGHT($P29,LEN($P29)-2)=RIGHT(AP29,LEN(AP29)-2),$M$5)))</f>
        <v>0</v>
      </c>
      <c r="AR29" t="s">
        <v>268</v>
      </c>
      <c r="AS29" s="200">
        <f t="shared" ref="AS29" si="905">IF(ISBLANK($P29),0,SUM(IF(LEFT($P29,1)=LEFT(AR29,1),$M$4),IF(RIGHT($P29,LEN($P29)-2)=RIGHT(AR29,LEN(AR29)-2),$M$5)))</f>
        <v>0</v>
      </c>
      <c r="AT29" t="s">
        <v>271</v>
      </c>
      <c r="AU29" s="200">
        <f t="shared" ref="AU29" si="906">IF(ISBLANK($P29),0,SUM(IF(LEFT($P29,1)=LEFT(AT29,1),$M$4),IF(RIGHT($P29,LEN($P29)-2)=RIGHT(AT29,LEN(AT29)-2),$M$5)))</f>
        <v>0</v>
      </c>
      <c r="AV29" t="s">
        <v>271</v>
      </c>
      <c r="AW29" s="200">
        <f t="shared" ref="AW29" si="907">IF(ISBLANK($P29),0,SUM(IF(LEFT($P29,1)=LEFT(AV29,1),$M$4),IF(RIGHT($P29,LEN($P29)-2)=RIGHT(AV29,LEN(AV29)-2),$M$5)))</f>
        <v>0</v>
      </c>
      <c r="AX29" t="s">
        <v>330</v>
      </c>
      <c r="AY29" s="200">
        <f t="shared" ref="AY29" si="908">IF(ISBLANK($P29),0,SUM(IF(LEFT($P29,1)=LEFT(AX29,1),$M$4),IF(RIGHT($P29,LEN($P29)-2)=RIGHT(AX29,LEN(AX29)-2),$M$5)))</f>
        <v>0</v>
      </c>
      <c r="AZ29" t="s">
        <v>268</v>
      </c>
      <c r="BA29" s="200">
        <f t="shared" ref="BA29" si="909">IF(ISBLANK($P29),0,SUM(IF(LEFT($P29,1)=LEFT(AZ29,1),$M$4),IF(RIGHT($P29,LEN($P29)-2)=RIGHT(AZ29,LEN(AZ29)-2),$M$5)))</f>
        <v>0</v>
      </c>
      <c r="BB29" t="s">
        <v>267</v>
      </c>
      <c r="BC29" s="200">
        <f t="shared" ref="BC29" si="910">IF(ISBLANK($P29),0,SUM(IF(LEFT($P29,1)=LEFT(BB29,1),$M$4),IF(RIGHT($P29,LEN($P29)-2)=RIGHT(BB29,LEN(BB29)-2),$M$5)))</f>
        <v>0</v>
      </c>
      <c r="BD29" t="s">
        <v>330</v>
      </c>
      <c r="BE29" s="200">
        <f t="shared" ref="BE29" si="911">IF(ISBLANK($P29),0,SUM(IF(LEFT($P29,1)=LEFT(BD29,1),$M$4),IF(RIGHT($P29,LEN($P29)-2)=RIGHT(BD29,LEN(BD29)-2),$M$5)))</f>
        <v>0</v>
      </c>
      <c r="BF29" t="s">
        <v>268</v>
      </c>
      <c r="BG29" s="200">
        <f t="shared" ref="BG29" si="912">IF(ISBLANK($P29),0,SUM(IF(LEFT($P29,1)=LEFT(BF29,1),$M$4),IF(RIGHT($P29,LEN($P29)-2)=RIGHT(BF29,LEN(BF29)-2),$M$5)))</f>
        <v>0</v>
      </c>
      <c r="BH29" t="s">
        <v>271</v>
      </c>
      <c r="BI29" s="200">
        <f t="shared" ref="BI29" si="913">IF(ISBLANK($P29),0,SUM(IF(LEFT($P29,1)=LEFT(BH29,1),$M$4),IF(RIGHT($P29,LEN($P29)-2)=RIGHT(BH29,LEN(BH29)-2),$M$5)))</f>
        <v>0</v>
      </c>
      <c r="BJ29" t="s">
        <v>268</v>
      </c>
      <c r="BK29" s="200">
        <f t="shared" ref="BK29" si="914">IF(ISBLANK($P29),0,SUM(IF(LEFT($P29,1)=LEFT(BJ29,1),$M$4),IF(RIGHT($P29,LEN($P29)-2)=RIGHT(BJ29,LEN(BJ29)-2),$M$5)))</f>
        <v>0</v>
      </c>
      <c r="BL29" t="s">
        <v>268</v>
      </c>
      <c r="BM29" s="200">
        <f t="shared" ref="BM29" si="915">IF(ISBLANK($P29),0,SUM(IF(LEFT($P29,1)=LEFT(BL29,1),$M$4),IF(RIGHT($P29,LEN($P29)-2)=RIGHT(BL29,LEN(BL29)-2),$M$5)))</f>
        <v>0</v>
      </c>
      <c r="BN29" t="s">
        <v>330</v>
      </c>
      <c r="BO29" s="200">
        <f t="shared" ref="BO29" si="916">IF(ISBLANK($P29),0,SUM(IF(LEFT($P29,1)=LEFT(BN29,1),$M$4),IF(RIGHT($P29,LEN($P29)-2)=RIGHT(BN29,LEN(BN29)-2),$M$5)))</f>
        <v>0</v>
      </c>
      <c r="BP29" t="s">
        <v>271</v>
      </c>
      <c r="BQ29" s="200">
        <f t="shared" ref="BQ29" si="917">IF(ISBLANK($P29),0,SUM(IF(LEFT($P29,1)=LEFT(BP29,1),$M$4),IF(RIGHT($P29,LEN($P29)-2)=RIGHT(BP29,LEN(BP29)-2),$M$5)))</f>
        <v>0</v>
      </c>
      <c r="BR29" t="s">
        <v>326</v>
      </c>
      <c r="BS29" s="200">
        <f t="shared" ref="BS29" si="918">IF(ISBLANK($P29),0,SUM(IF(LEFT($P29,1)=LEFT(BR29,1),$M$4),IF(RIGHT($P29,LEN($P29)-2)=RIGHT(BR29,LEN(BR29)-2),$M$5)))</f>
        <v>0</v>
      </c>
      <c r="BT29" t="s">
        <v>262</v>
      </c>
      <c r="BU29" s="200">
        <f t="shared" ref="BU29" si="919">IF(ISBLANK($P29),0,SUM(IF(LEFT($P29,1)=LEFT(BT29,1),$M$4),IF(RIGHT($P29,LEN($P29)-2)=RIGHT(BT29,LEN(BT29)-2),$M$5)))</f>
        <v>0</v>
      </c>
      <c r="BV29" t="s">
        <v>323</v>
      </c>
      <c r="BW29" s="200">
        <f t="shared" ref="BW29" si="920">IF(ISBLANK($P29),0,SUM(IF(LEFT($P29,1)=LEFT(BV29,1),$M$4),IF(RIGHT($P29,LEN($P29)-2)=RIGHT(BV29,LEN(BV29)-2),$M$5)))</f>
        <v>0</v>
      </c>
      <c r="BX29" t="s">
        <v>262</v>
      </c>
      <c r="BY29" s="200">
        <f t="shared" ref="BY29" si="921">IF(ISBLANK($P29),0,SUM(IF(LEFT($P29,1)=LEFT(BX29,1),$M$4),IF(RIGHT($P29,LEN($P29)-2)=RIGHT(BX29,LEN(BX29)-2),$M$5)))</f>
        <v>0</v>
      </c>
      <c r="BZ29" t="s">
        <v>321</v>
      </c>
      <c r="CA29" s="200">
        <f t="shared" ref="CA29" si="922">IF(ISBLANK($P29),0,SUM(IF(LEFT($P29,1)=LEFT(BZ29,1),$M$4),IF(RIGHT($P29,LEN($P29)-2)=RIGHT(BZ29,LEN(BZ29)-2),$M$5)))</f>
        <v>0</v>
      </c>
      <c r="CB29" t="s">
        <v>308</v>
      </c>
      <c r="CC29" s="200">
        <f t="shared" ref="CC29" si="923">IF(ISBLANK($P29),0,SUM(IF(LEFT($P29,1)=LEFT(CB29,1),$M$4),IF(RIGHT($P29,LEN($P29)-2)=RIGHT(CB29,LEN(CB29)-2),$M$5)))</f>
        <v>0</v>
      </c>
      <c r="CD29" t="s">
        <v>271</v>
      </c>
      <c r="CE29" s="200">
        <f t="shared" ref="CE29" si="924">IF(ISBLANK($P29),0,SUM(IF(LEFT($P29,1)=LEFT(CD29,1),$M$4),IF(RIGHT($P29,LEN($P29)-2)=RIGHT(CD29,LEN(CD29)-2),$M$5)))</f>
        <v>0</v>
      </c>
      <c r="CF29" s="197" t="s">
        <v>271</v>
      </c>
      <c r="CG29" s="200">
        <f t="shared" ref="CG29" si="925">IF(ISBLANK($P29),0,SUM(IF(LEFT($P29,1)=LEFT(CF29,1),$M$4),IF(RIGHT($P29,LEN($P29)-2)=RIGHT(CF29,LEN(CF29)-2),$M$5)))</f>
        <v>0</v>
      </c>
      <c r="CH29" t="s">
        <v>308</v>
      </c>
      <c r="CI29" s="200">
        <f t="shared" ref="CI29" si="926">IF(ISBLANK($P29),0,SUM(IF(LEFT($P29,1)=LEFT(CH29,1),$M$4),IF(RIGHT($P29,LEN($P29)-2)=RIGHT(CH29,LEN(CH29)-2),$M$5)))</f>
        <v>0</v>
      </c>
      <c r="CJ29" t="s">
        <v>335</v>
      </c>
      <c r="CK29" s="200">
        <f t="shared" ref="CK29" si="927">IF(ISBLANK($P29),0,SUM(IF(LEFT($P29,1)=LEFT(CJ29,1),$M$4),IF(RIGHT($P29,LEN($P29)-2)=RIGHT(CJ29,LEN(CJ29)-2),$M$5)))</f>
        <v>0</v>
      </c>
      <c r="CL29" s="197" t="s">
        <v>262</v>
      </c>
      <c r="CM29" s="200">
        <f t="shared" ref="CM29" si="928">IF(ISBLANK($P29),0,SUM(IF(LEFT($P29,1)=LEFT(CL29,1),$M$4),IF(RIGHT($P29,LEN($P29)-2)=RIGHT(CL29,LEN(CL29)-2),$M$5)))</f>
        <v>0</v>
      </c>
      <c r="CN29" t="s">
        <v>271</v>
      </c>
      <c r="CO29" s="200">
        <f t="shared" ref="CO29" si="929">IF(ISBLANK($P29),0,SUM(IF(LEFT($P29,1)=LEFT(CN29,1),$M$4),IF(RIGHT($P29,LEN($P29)-2)=RIGHT(CN29,LEN(CN29)-2),$M$5)))</f>
        <v>0</v>
      </c>
      <c r="CP29" t="s">
        <v>271</v>
      </c>
      <c r="CQ29" s="200">
        <f t="shared" ref="CQ29" si="930">IF(ISBLANK($P29),0,SUM(IF(LEFT($P29,1)=LEFT(CP29,1),$M$4),IF(RIGHT($P29,LEN($P29)-2)=RIGHT(CP29,LEN(CP29)-2),$M$5)))</f>
        <v>0</v>
      </c>
      <c r="CR29" t="s">
        <v>323</v>
      </c>
      <c r="CS29" s="200">
        <f t="shared" ref="CS29" si="931">IF(ISBLANK($P29),0,SUM(IF(LEFT($P29,1)=LEFT(CR29,1),$M$4),IF(RIGHT($P29,LEN($P29)-2)=RIGHT(CR29,LEN(CR29)-2),$M$5)))</f>
        <v>0</v>
      </c>
      <c r="CT29" s="197" t="s">
        <v>271</v>
      </c>
      <c r="CU29" s="200">
        <f t="shared" ref="CU29" si="932">IF(ISBLANK($P29),0,SUM(IF(LEFT($P29,1)=LEFT(CT29,1),$M$4),IF(RIGHT($P29,LEN($P29)-2)=RIGHT(CT29,LEN(CT29)-2),$M$5)))</f>
        <v>0</v>
      </c>
      <c r="CV29" s="197" t="s">
        <v>330</v>
      </c>
      <c r="CW29" s="200">
        <f t="shared" ref="CW29" si="933">IF(ISBLANK($P29),0,SUM(IF(LEFT($P29,1)=LEFT(CV29,1),$M$4),IF(RIGHT($P29,LEN($P29)-2)=RIGHT(CV29,LEN(CV29)-2),$M$5)))</f>
        <v>0</v>
      </c>
      <c r="CX29" s="197" t="s">
        <v>271</v>
      </c>
      <c r="CY29" s="200">
        <f t="shared" ref="CY29" si="934">IF(ISBLANK($P29),0,SUM(IF(LEFT($P29,1)=LEFT(CX29,1),$M$4),IF(RIGHT($P29,LEN($P29)-2)=RIGHT(CX29,LEN(CX29)-2),$M$5)))</f>
        <v>0</v>
      </c>
      <c r="CZ29" s="197" t="s">
        <v>323</v>
      </c>
      <c r="DA29" s="200">
        <f t="shared" ref="DA29" si="935">IF(ISBLANK($P29),0,SUM(IF(LEFT($P29,1)=LEFT(CZ29,1),$M$4),IF(RIGHT($P29,LEN($P29)-2)=RIGHT(CZ29,LEN(CZ29)-2),$M$5)))</f>
        <v>0</v>
      </c>
    </row>
    <row r="30" spans="1:105" x14ac:dyDescent="0.25">
      <c r="A30" s="188" t="s">
        <v>360</v>
      </c>
      <c r="B30" s="189">
        <f t="shared" si="722"/>
        <v>0</v>
      </c>
      <c r="C30" s="189">
        <f t="shared" si="723"/>
        <v>0.03</v>
      </c>
      <c r="D30" s="189">
        <f>RANK(Tabla6[[#This Row],[PUNTOS1]],Tabla6[PUNTOS1],0)</f>
        <v>43</v>
      </c>
      <c r="E30" s="189">
        <f>RANK(Tabla6[[#This Row],[PUNTOS2]],Tabla6[PUNTOS2],0)</f>
        <v>43</v>
      </c>
      <c r="F30" s="188" t="str">
        <f t="shared" si="724"/>
        <v>FERMÍN ROS</v>
      </c>
      <c r="G30" s="188">
        <f t="shared" si="725"/>
        <v>0</v>
      </c>
      <c r="H30" s="94"/>
      <c r="I30" s="94"/>
      <c r="J30" s="192">
        <f t="shared" si="467"/>
        <v>12</v>
      </c>
      <c r="K30" s="200" t="str">
        <f>IF(Tabla5[[#This Row],[Puntos]]=M29,".",Tabla5[[#This Row],[PosReal]])</f>
        <v>.</v>
      </c>
      <c r="L30" s="193" t="str">
        <f>VLOOKUP(J30,Tabla6[[ORDEN2]:[PUNTOS]],2,FALSE)</f>
        <v>JOANES</v>
      </c>
      <c r="M30" s="194">
        <f>VLOOKUP(J30,Tabla6[[ORDEN2]:[PUNTOS]],3,FALSE)</f>
        <v>3</v>
      </c>
      <c r="O30" s="10" t="s">
        <v>296</v>
      </c>
      <c r="P30" s="10"/>
      <c r="Q30" s="5"/>
      <c r="R30" s="97" t="s">
        <v>271</v>
      </c>
      <c r="S30" s="200">
        <f t="shared" si="2"/>
        <v>0</v>
      </c>
      <c r="T30" s="97" t="s">
        <v>271</v>
      </c>
      <c r="U30" s="200">
        <f t="shared" si="2"/>
        <v>0</v>
      </c>
      <c r="V30" s="97" t="s">
        <v>271</v>
      </c>
      <c r="W30" s="200">
        <f t="shared" ref="W30" si="936">IF(ISBLANK($P30),0,SUM(IF(LEFT($P30,1)=LEFT(V30,1),$M$4),IF(RIGHT($P30,LEN($P30)-2)=RIGHT(V30,LEN(V30)-2),$M$5)))</f>
        <v>0</v>
      </c>
      <c r="X30" s="97" t="s">
        <v>268</v>
      </c>
      <c r="Y30" s="200">
        <f t="shared" ref="Y30" si="937">IF(ISBLANK($P30),0,SUM(IF(LEFT($P30,1)=LEFT(X30,1),$M$4),IF(RIGHT($P30,LEN($P30)-2)=RIGHT(X30,LEN(X30)-2),$M$5)))</f>
        <v>0</v>
      </c>
      <c r="Z30" s="97" t="s">
        <v>262</v>
      </c>
      <c r="AA30" s="200">
        <f t="shared" ref="AA30" si="938">IF(ISBLANK($P30),0,SUM(IF(LEFT($P30,1)=LEFT(Z30,1),$M$4),IF(RIGHT($P30,LEN($P30)-2)=RIGHT(Z30,LEN(Z30)-2),$M$5)))</f>
        <v>0</v>
      </c>
      <c r="AB30" s="97" t="s">
        <v>271</v>
      </c>
      <c r="AC30" s="200">
        <f t="shared" ref="AC30" si="939">IF(ISBLANK($P30),0,SUM(IF(LEFT($P30,1)=LEFT(AB30,1),$M$4),IF(RIGHT($P30,LEN($P30)-2)=RIGHT(AB30,LEN(AB30)-2),$M$5)))</f>
        <v>0</v>
      </c>
      <c r="AD30" t="s">
        <v>321</v>
      </c>
      <c r="AE30" s="200">
        <f t="shared" ref="AE30" si="940">IF(ISBLANK($P30),0,SUM(IF(LEFT($P30,1)=LEFT(AD30,1),$M$4),IF(RIGHT($P30,LEN($P30)-2)=RIGHT(AD30,LEN(AD30)-2),$M$5)))</f>
        <v>0</v>
      </c>
      <c r="AF30" t="s">
        <v>321</v>
      </c>
      <c r="AG30" s="200">
        <f t="shared" ref="AG30" si="941">IF(ISBLANK($P30),0,SUM(IF(LEFT($P30,1)=LEFT(AF30,1),$M$4),IF(RIGHT($P30,LEN($P30)-2)=RIGHT(AF30,LEN(AF30)-2),$M$5)))</f>
        <v>0</v>
      </c>
      <c r="AH30" t="s">
        <v>321</v>
      </c>
      <c r="AI30" s="200">
        <f t="shared" ref="AI30" si="942">IF(ISBLANK($P30),0,SUM(IF(LEFT($P30,1)=LEFT(AH30,1),$M$4),IF(RIGHT($P30,LEN($P30)-2)=RIGHT(AH30,LEN(AH30)-2),$M$5)))</f>
        <v>0</v>
      </c>
      <c r="AJ30" t="s">
        <v>262</v>
      </c>
      <c r="AK30" s="200">
        <f t="shared" ref="AK30" si="943">IF(ISBLANK($P30),0,SUM(IF(LEFT($P30,1)=LEFT(AJ30,1),$M$4),IF(RIGHT($P30,LEN($P30)-2)=RIGHT(AJ30,LEN(AJ30)-2),$M$5)))</f>
        <v>0</v>
      </c>
      <c r="AL30" t="s">
        <v>326</v>
      </c>
      <c r="AM30" s="200">
        <f t="shared" ref="AM30" si="944">IF(ISBLANK($P30),0,SUM(IF(LEFT($P30,1)=LEFT(AL30,1),$M$4),IF(RIGHT($P30,LEN($P30)-2)=RIGHT(AL30,LEN(AL30)-2),$M$5)))</f>
        <v>0</v>
      </c>
      <c r="AN30" t="s">
        <v>268</v>
      </c>
      <c r="AO30" s="200">
        <f t="shared" ref="AO30" si="945">IF(ISBLANK($P30),0,SUM(IF(LEFT($P30,1)=LEFT(AN30,1),$M$4),IF(RIGHT($P30,LEN($P30)-2)=RIGHT(AN30,LEN(AN30)-2),$M$5)))</f>
        <v>0</v>
      </c>
      <c r="AP30" t="s">
        <v>322</v>
      </c>
      <c r="AQ30" s="200">
        <f t="shared" ref="AQ30" si="946">IF(ISBLANK($P30),0,SUM(IF(LEFT($P30,1)=LEFT(AP30,1),$M$4),IF(RIGHT($P30,LEN($P30)-2)=RIGHT(AP30,LEN(AP30)-2),$M$5)))</f>
        <v>0</v>
      </c>
      <c r="AR30" t="s">
        <v>323</v>
      </c>
      <c r="AS30" s="200">
        <f t="shared" ref="AS30" si="947">IF(ISBLANK($P30),0,SUM(IF(LEFT($P30,1)=LEFT(AR30,1),$M$4),IF(RIGHT($P30,LEN($P30)-2)=RIGHT(AR30,LEN(AR30)-2),$M$5)))</f>
        <v>0</v>
      </c>
      <c r="AT30" t="s">
        <v>308</v>
      </c>
      <c r="AU30" s="200">
        <f t="shared" ref="AU30" si="948">IF(ISBLANK($P30),0,SUM(IF(LEFT($P30,1)=LEFT(AT30,1),$M$4),IF(RIGHT($P30,LEN($P30)-2)=RIGHT(AT30,LEN(AT30)-2),$M$5)))</f>
        <v>0</v>
      </c>
      <c r="AV30" t="s">
        <v>262</v>
      </c>
      <c r="AW30" s="200">
        <f t="shared" ref="AW30" si="949">IF(ISBLANK($P30),0,SUM(IF(LEFT($P30,1)=LEFT(AV30,1),$M$4),IF(RIGHT($P30,LEN($P30)-2)=RIGHT(AV30,LEN(AV30)-2),$M$5)))</f>
        <v>0</v>
      </c>
      <c r="AX30" t="s">
        <v>323</v>
      </c>
      <c r="AY30" s="200">
        <f t="shared" ref="AY30" si="950">IF(ISBLANK($P30),0,SUM(IF(LEFT($P30,1)=LEFT(AX30,1),$M$4),IF(RIGHT($P30,LEN($P30)-2)=RIGHT(AX30,LEN(AX30)-2),$M$5)))</f>
        <v>0</v>
      </c>
      <c r="AZ30" t="s">
        <v>326</v>
      </c>
      <c r="BA30" s="200">
        <f t="shared" ref="BA30" si="951">IF(ISBLANK($P30),0,SUM(IF(LEFT($P30,1)=LEFT(AZ30,1),$M$4),IF(RIGHT($P30,LEN($P30)-2)=RIGHT(AZ30,LEN(AZ30)-2),$M$5)))</f>
        <v>0</v>
      </c>
      <c r="BB30" t="s">
        <v>262</v>
      </c>
      <c r="BC30" s="200">
        <f t="shared" ref="BC30" si="952">IF(ISBLANK($P30),0,SUM(IF(LEFT($P30,1)=LEFT(BB30,1),$M$4),IF(RIGHT($P30,LEN($P30)-2)=RIGHT(BB30,LEN(BB30)-2),$M$5)))</f>
        <v>0</v>
      </c>
      <c r="BD30" t="s">
        <v>330</v>
      </c>
      <c r="BE30" s="200">
        <f t="shared" ref="BE30" si="953">IF(ISBLANK($P30),0,SUM(IF(LEFT($P30,1)=LEFT(BD30,1),$M$4),IF(RIGHT($P30,LEN($P30)-2)=RIGHT(BD30,LEN(BD30)-2),$M$5)))</f>
        <v>0</v>
      </c>
      <c r="BF30" t="s">
        <v>323</v>
      </c>
      <c r="BG30" s="200">
        <f t="shared" ref="BG30" si="954">IF(ISBLANK($P30),0,SUM(IF(LEFT($P30,1)=LEFT(BF30,1),$M$4),IF(RIGHT($P30,LEN($P30)-2)=RIGHT(BF30,LEN(BF30)-2),$M$5)))</f>
        <v>0</v>
      </c>
      <c r="BH30" t="s">
        <v>262</v>
      </c>
      <c r="BI30" s="200">
        <f t="shared" ref="BI30" si="955">IF(ISBLANK($P30),0,SUM(IF(LEFT($P30,1)=LEFT(BH30,1),$M$4),IF(RIGHT($P30,LEN($P30)-2)=RIGHT(BH30,LEN(BH30)-2),$M$5)))</f>
        <v>0</v>
      </c>
      <c r="BJ30" t="s">
        <v>262</v>
      </c>
      <c r="BK30" s="200">
        <f t="shared" ref="BK30" si="956">IF(ISBLANK($P30),0,SUM(IF(LEFT($P30,1)=LEFT(BJ30,1),$M$4),IF(RIGHT($P30,LEN($P30)-2)=RIGHT(BJ30,LEN(BJ30)-2),$M$5)))</f>
        <v>0</v>
      </c>
      <c r="BL30" t="s">
        <v>271</v>
      </c>
      <c r="BM30" s="200">
        <f t="shared" ref="BM30" si="957">IF(ISBLANK($P30),0,SUM(IF(LEFT($P30,1)=LEFT(BL30,1),$M$4),IF(RIGHT($P30,LEN($P30)-2)=RIGHT(BL30,LEN(BL30)-2),$M$5)))</f>
        <v>0</v>
      </c>
      <c r="BN30" t="s">
        <v>322</v>
      </c>
      <c r="BO30" s="200">
        <f t="shared" ref="BO30" si="958">IF(ISBLANK($P30),0,SUM(IF(LEFT($P30,1)=LEFT(BN30,1),$M$4),IF(RIGHT($P30,LEN($P30)-2)=RIGHT(BN30,LEN(BN30)-2),$M$5)))</f>
        <v>0</v>
      </c>
      <c r="BP30" t="s">
        <v>323</v>
      </c>
      <c r="BQ30" s="200">
        <f t="shared" ref="BQ30" si="959">IF(ISBLANK($P30),0,SUM(IF(LEFT($P30,1)=LEFT(BP30,1),$M$4),IF(RIGHT($P30,LEN($P30)-2)=RIGHT(BP30,LEN(BP30)-2),$M$5)))</f>
        <v>0</v>
      </c>
      <c r="BR30" t="s">
        <v>271</v>
      </c>
      <c r="BS30" s="200">
        <f t="shared" ref="BS30" si="960">IF(ISBLANK($P30),0,SUM(IF(LEFT($P30,1)=LEFT(BR30,1),$M$4),IF(RIGHT($P30,LEN($P30)-2)=RIGHT(BR30,LEN(BR30)-2),$M$5)))</f>
        <v>0</v>
      </c>
      <c r="BT30" t="s">
        <v>323</v>
      </c>
      <c r="BU30" s="200">
        <f t="shared" ref="BU30" si="961">IF(ISBLANK($P30),0,SUM(IF(LEFT($P30,1)=LEFT(BT30,1),$M$4),IF(RIGHT($P30,LEN($P30)-2)=RIGHT(BT30,LEN(BT30)-2),$M$5)))</f>
        <v>0</v>
      </c>
      <c r="BV30" t="s">
        <v>323</v>
      </c>
      <c r="BW30" s="200">
        <f t="shared" ref="BW30" si="962">IF(ISBLANK($P30),0,SUM(IF(LEFT($P30,1)=LEFT(BV30,1),$M$4),IF(RIGHT($P30,LEN($P30)-2)=RIGHT(BV30,LEN(BV30)-2),$M$5)))</f>
        <v>0</v>
      </c>
      <c r="BX30" t="s">
        <v>323</v>
      </c>
      <c r="BY30" s="200">
        <f t="shared" ref="BY30" si="963">IF(ISBLANK($P30),0,SUM(IF(LEFT($P30,1)=LEFT(BX30,1),$M$4),IF(RIGHT($P30,LEN($P30)-2)=RIGHT(BX30,LEN(BX30)-2),$M$5)))</f>
        <v>0</v>
      </c>
      <c r="BZ30" t="s">
        <v>262</v>
      </c>
      <c r="CA30" s="200">
        <f t="shared" ref="CA30" si="964">IF(ISBLANK($P30),0,SUM(IF(LEFT($P30,1)=LEFT(BZ30,1),$M$4),IF(RIGHT($P30,LEN($P30)-2)=RIGHT(BZ30,LEN(BZ30)-2),$M$5)))</f>
        <v>0</v>
      </c>
      <c r="CB30" t="s">
        <v>323</v>
      </c>
      <c r="CC30" s="200">
        <f t="shared" ref="CC30" si="965">IF(ISBLANK($P30),0,SUM(IF(LEFT($P30,1)=LEFT(CB30,1),$M$4),IF(RIGHT($P30,LEN($P30)-2)=RIGHT(CB30,LEN(CB30)-2),$M$5)))</f>
        <v>0</v>
      </c>
      <c r="CD30" t="s">
        <v>262</v>
      </c>
      <c r="CE30" s="200">
        <f t="shared" ref="CE30" si="966">IF(ISBLANK($P30),0,SUM(IF(LEFT($P30,1)=LEFT(CD30,1),$M$4),IF(RIGHT($P30,LEN($P30)-2)=RIGHT(CD30,LEN(CD30)-2),$M$5)))</f>
        <v>0</v>
      </c>
      <c r="CF30" s="197" t="s">
        <v>271</v>
      </c>
      <c r="CG30" s="200">
        <f t="shared" ref="CG30" si="967">IF(ISBLANK($P30),0,SUM(IF(LEFT($P30,1)=LEFT(CF30,1),$M$4),IF(RIGHT($P30,LEN($P30)-2)=RIGHT(CF30,LEN(CF30)-2),$M$5)))</f>
        <v>0</v>
      </c>
      <c r="CH30" t="s">
        <v>308</v>
      </c>
      <c r="CI30" s="200">
        <f t="shared" ref="CI30" si="968">IF(ISBLANK($P30),0,SUM(IF(LEFT($P30,1)=LEFT(CH30,1),$M$4),IF(RIGHT($P30,LEN($P30)-2)=RIGHT(CH30,LEN(CH30)-2),$M$5)))</f>
        <v>0</v>
      </c>
      <c r="CJ30" t="s">
        <v>323</v>
      </c>
      <c r="CK30" s="200">
        <f t="shared" ref="CK30" si="969">IF(ISBLANK($P30),0,SUM(IF(LEFT($P30,1)=LEFT(CJ30,1),$M$4),IF(RIGHT($P30,LEN($P30)-2)=RIGHT(CJ30,LEN(CJ30)-2),$M$5)))</f>
        <v>0</v>
      </c>
      <c r="CL30" s="197" t="s">
        <v>323</v>
      </c>
      <c r="CM30" s="200">
        <f t="shared" ref="CM30" si="970">IF(ISBLANK($P30),0,SUM(IF(LEFT($P30,1)=LEFT(CL30,1),$M$4),IF(RIGHT($P30,LEN($P30)-2)=RIGHT(CL30,LEN(CL30)-2),$M$5)))</f>
        <v>0</v>
      </c>
      <c r="CN30" t="s">
        <v>326</v>
      </c>
      <c r="CO30" s="200">
        <f t="shared" ref="CO30" si="971">IF(ISBLANK($P30),0,SUM(IF(LEFT($P30,1)=LEFT(CN30,1),$M$4),IF(RIGHT($P30,LEN($P30)-2)=RIGHT(CN30,LEN(CN30)-2),$M$5)))</f>
        <v>0</v>
      </c>
      <c r="CP30" t="s">
        <v>323</v>
      </c>
      <c r="CQ30" s="200">
        <f t="shared" ref="CQ30" si="972">IF(ISBLANK($P30),0,SUM(IF(LEFT($P30,1)=LEFT(CP30,1),$M$4),IF(RIGHT($P30,LEN($P30)-2)=RIGHT(CP30,LEN(CP30)-2),$M$5)))</f>
        <v>0</v>
      </c>
      <c r="CR30" t="s">
        <v>326</v>
      </c>
      <c r="CS30" s="200">
        <f t="shared" ref="CS30" si="973">IF(ISBLANK($P30),0,SUM(IF(LEFT($P30,1)=LEFT(CR30,1),$M$4),IF(RIGHT($P30,LEN($P30)-2)=RIGHT(CR30,LEN(CR30)-2),$M$5)))</f>
        <v>0</v>
      </c>
      <c r="CT30" s="197" t="s">
        <v>330</v>
      </c>
      <c r="CU30" s="200">
        <f t="shared" ref="CU30" si="974">IF(ISBLANK($P30),0,SUM(IF(LEFT($P30,1)=LEFT(CT30,1),$M$4),IF(RIGHT($P30,LEN($P30)-2)=RIGHT(CT30,LEN(CT30)-2),$M$5)))</f>
        <v>0</v>
      </c>
      <c r="CV30" s="197" t="s">
        <v>271</v>
      </c>
      <c r="CW30" s="200">
        <f t="shared" ref="CW30" si="975">IF(ISBLANK($P30),0,SUM(IF(LEFT($P30,1)=LEFT(CV30,1),$M$4),IF(RIGHT($P30,LEN($P30)-2)=RIGHT(CV30,LEN(CV30)-2),$M$5)))</f>
        <v>0</v>
      </c>
      <c r="CX30" s="197" t="s">
        <v>262</v>
      </c>
      <c r="CY30" s="200">
        <f t="shared" ref="CY30" si="976">IF(ISBLANK($P30),0,SUM(IF(LEFT($P30,1)=LEFT(CX30,1),$M$4),IF(RIGHT($P30,LEN($P30)-2)=RIGHT(CX30,LEN(CX30)-2),$M$5)))</f>
        <v>0</v>
      </c>
      <c r="CZ30" s="197" t="s">
        <v>267</v>
      </c>
      <c r="DA30" s="200">
        <f t="shared" ref="DA30" si="977">IF(ISBLANK($P30),0,SUM(IF(LEFT($P30,1)=LEFT(CZ30,1),$M$4),IF(RIGHT($P30,LEN($P30)-2)=RIGHT(CZ30,LEN(CZ30)-2),$M$5)))</f>
        <v>0</v>
      </c>
    </row>
    <row r="31" spans="1:105" x14ac:dyDescent="0.25">
      <c r="A31" s="188" t="s">
        <v>361</v>
      </c>
      <c r="B31" s="189">
        <f t="shared" si="722"/>
        <v>3</v>
      </c>
      <c r="C31" s="189">
        <f t="shared" si="723"/>
        <v>3.0310000000000001</v>
      </c>
      <c r="D31" s="189">
        <f>RANK(Tabla6[[#This Row],[PUNTOS1]],Tabla6[PUNTOS1],0)</f>
        <v>1</v>
      </c>
      <c r="E31" s="189">
        <f>RANK(Tabla6[[#This Row],[PUNTOS2]],Tabla6[PUNTOS2],0)</f>
        <v>14</v>
      </c>
      <c r="F31" s="188" t="str">
        <f t="shared" si="724"/>
        <v>IÑAKI LÓPEZ</v>
      </c>
      <c r="G31" s="188">
        <f t="shared" si="725"/>
        <v>3</v>
      </c>
      <c r="H31" s="94"/>
      <c r="I31" s="94"/>
      <c r="J31" s="189">
        <f t="shared" si="467"/>
        <v>13</v>
      </c>
      <c r="K31" s="200" t="str">
        <f>IF(Tabla5[[#This Row],[Puntos]]=M30,".",Tabla5[[#This Row],[PosReal]])</f>
        <v>.</v>
      </c>
      <c r="L31" s="193" t="str">
        <f>VLOOKUP(J31,Tabla6[[ORDEN2]:[PUNTOS]],2,FALSE)</f>
        <v>JAVIER LAINEZ</v>
      </c>
      <c r="M31" s="194">
        <f>VLOOKUP(J31,Tabla6[[ORDEN2]:[PUNTOS]],3,FALSE)</f>
        <v>3</v>
      </c>
      <c r="O31" s="10" t="s">
        <v>297</v>
      </c>
      <c r="P31" s="10"/>
      <c r="Q31" s="5"/>
      <c r="R31" s="97" t="s">
        <v>271</v>
      </c>
      <c r="S31" s="200">
        <f t="shared" si="2"/>
        <v>0</v>
      </c>
      <c r="T31" s="97" t="s">
        <v>262</v>
      </c>
      <c r="U31" s="200">
        <f t="shared" si="2"/>
        <v>0</v>
      </c>
      <c r="V31" s="97" t="s">
        <v>323</v>
      </c>
      <c r="W31" s="200">
        <f t="shared" ref="W31" si="978">IF(ISBLANK($P31),0,SUM(IF(LEFT($P31,1)=LEFT(V31,1),$M$4),IF(RIGHT($P31,LEN($P31)-2)=RIGHT(V31,LEN(V31)-2),$M$5)))</f>
        <v>0</v>
      </c>
      <c r="X31" s="97" t="s">
        <v>323</v>
      </c>
      <c r="Y31" s="200">
        <f t="shared" ref="Y31" si="979">IF(ISBLANK($P31),0,SUM(IF(LEFT($P31,1)=LEFT(X31,1),$M$4),IF(RIGHT($P31,LEN($P31)-2)=RIGHT(X31,LEN(X31)-2),$M$5)))</f>
        <v>0</v>
      </c>
      <c r="Z31" s="97" t="s">
        <v>271</v>
      </c>
      <c r="AA31" s="200">
        <f t="shared" ref="AA31" si="980">IF(ISBLANK($P31),0,SUM(IF(LEFT($P31,1)=LEFT(Z31,1),$M$4),IF(RIGHT($P31,LEN($P31)-2)=RIGHT(Z31,LEN(Z31)-2),$M$5)))</f>
        <v>0</v>
      </c>
      <c r="AB31" s="97" t="s">
        <v>268</v>
      </c>
      <c r="AC31" s="200">
        <f t="shared" ref="AC31" si="981">IF(ISBLANK($P31),0,SUM(IF(LEFT($P31,1)=LEFT(AB31,1),$M$4),IF(RIGHT($P31,LEN($P31)-2)=RIGHT(AB31,LEN(AB31)-2),$M$5)))</f>
        <v>0</v>
      </c>
      <c r="AD31" t="s">
        <v>271</v>
      </c>
      <c r="AE31" s="200">
        <f t="shared" ref="AE31" si="982">IF(ISBLANK($P31),0,SUM(IF(LEFT($P31,1)=LEFT(AD31,1),$M$4),IF(RIGHT($P31,LEN($P31)-2)=RIGHT(AD31,LEN(AD31)-2),$M$5)))</f>
        <v>0</v>
      </c>
      <c r="AF31" t="s">
        <v>267</v>
      </c>
      <c r="AG31" s="200">
        <f t="shared" ref="AG31" si="983">IF(ISBLANK($P31),0,SUM(IF(LEFT($P31,1)=LEFT(AF31,1),$M$4),IF(RIGHT($P31,LEN($P31)-2)=RIGHT(AF31,LEN(AF31)-2),$M$5)))</f>
        <v>0</v>
      </c>
      <c r="AH31" t="s">
        <v>271</v>
      </c>
      <c r="AI31" s="200">
        <f t="shared" ref="AI31" si="984">IF(ISBLANK($P31),0,SUM(IF(LEFT($P31,1)=LEFT(AH31,1),$M$4),IF(RIGHT($P31,LEN($P31)-2)=RIGHT(AH31,LEN(AH31)-2),$M$5)))</f>
        <v>0</v>
      </c>
      <c r="AJ31" t="s">
        <v>267</v>
      </c>
      <c r="AK31" s="200">
        <f t="shared" ref="AK31" si="985">IF(ISBLANK($P31),0,SUM(IF(LEFT($P31,1)=LEFT(AJ31,1),$M$4),IF(RIGHT($P31,LEN($P31)-2)=RIGHT(AJ31,LEN(AJ31)-2),$M$5)))</f>
        <v>0</v>
      </c>
      <c r="AL31" t="s">
        <v>323</v>
      </c>
      <c r="AM31" s="200">
        <f t="shared" ref="AM31" si="986">IF(ISBLANK($P31),0,SUM(IF(LEFT($P31,1)=LEFT(AL31,1),$M$4),IF(RIGHT($P31,LEN($P31)-2)=RIGHT(AL31,LEN(AL31)-2),$M$5)))</f>
        <v>0</v>
      </c>
      <c r="AN31" t="s">
        <v>321</v>
      </c>
      <c r="AO31" s="200">
        <f t="shared" ref="AO31" si="987">IF(ISBLANK($P31),0,SUM(IF(LEFT($P31,1)=LEFT(AN31,1),$M$4),IF(RIGHT($P31,LEN($P31)-2)=RIGHT(AN31,LEN(AN31)-2),$M$5)))</f>
        <v>0</v>
      </c>
      <c r="AP31" t="s">
        <v>262</v>
      </c>
      <c r="AQ31" s="200">
        <f t="shared" ref="AQ31" si="988">IF(ISBLANK($P31),0,SUM(IF(LEFT($P31,1)=LEFT(AP31,1),$M$4),IF(RIGHT($P31,LEN($P31)-2)=RIGHT(AP31,LEN(AP31)-2),$M$5)))</f>
        <v>0</v>
      </c>
      <c r="AR31" t="s">
        <v>271</v>
      </c>
      <c r="AS31" s="200">
        <f t="shared" ref="AS31" si="989">IF(ISBLANK($P31),0,SUM(IF(LEFT($P31,1)=LEFT(AR31,1),$M$4),IF(RIGHT($P31,LEN($P31)-2)=RIGHT(AR31,LEN(AR31)-2),$M$5)))</f>
        <v>0</v>
      </c>
      <c r="AT31" t="s">
        <v>326</v>
      </c>
      <c r="AU31" s="200">
        <f t="shared" ref="AU31" si="990">IF(ISBLANK($P31),0,SUM(IF(LEFT($P31,1)=LEFT(AT31,1),$M$4),IF(RIGHT($P31,LEN($P31)-2)=RIGHT(AT31,LEN(AT31)-2),$M$5)))</f>
        <v>0</v>
      </c>
      <c r="AV31" t="s">
        <v>271</v>
      </c>
      <c r="AW31" s="200">
        <f t="shared" ref="AW31" si="991">IF(ISBLANK($P31),0,SUM(IF(LEFT($P31,1)=LEFT(AV31,1),$M$4),IF(RIGHT($P31,LEN($P31)-2)=RIGHT(AV31,LEN(AV31)-2),$M$5)))</f>
        <v>0</v>
      </c>
      <c r="AX31" t="s">
        <v>271</v>
      </c>
      <c r="AY31" s="200">
        <f t="shared" ref="AY31" si="992">IF(ISBLANK($P31),0,SUM(IF(LEFT($P31,1)=LEFT(AX31,1),$M$4),IF(RIGHT($P31,LEN($P31)-2)=RIGHT(AX31,LEN(AX31)-2),$M$5)))</f>
        <v>0</v>
      </c>
      <c r="AZ31" t="s">
        <v>267</v>
      </c>
      <c r="BA31" s="200">
        <f t="shared" ref="BA31" si="993">IF(ISBLANK($P31),0,SUM(IF(LEFT($P31,1)=LEFT(AZ31,1),$M$4),IF(RIGHT($P31,LEN($P31)-2)=RIGHT(AZ31,LEN(AZ31)-2),$M$5)))</f>
        <v>0</v>
      </c>
      <c r="BB31" t="s">
        <v>308</v>
      </c>
      <c r="BC31" s="200">
        <f t="shared" ref="BC31" si="994">IF(ISBLANK($P31),0,SUM(IF(LEFT($P31,1)=LEFT(BB31,1),$M$4),IF(RIGHT($P31,LEN($P31)-2)=RIGHT(BB31,LEN(BB31)-2),$M$5)))</f>
        <v>0</v>
      </c>
      <c r="BD31" t="s">
        <v>271</v>
      </c>
      <c r="BE31" s="200">
        <f t="shared" ref="BE31" si="995">IF(ISBLANK($P31),0,SUM(IF(LEFT($P31,1)=LEFT(BD31,1),$M$4),IF(RIGHT($P31,LEN($P31)-2)=RIGHT(BD31,LEN(BD31)-2),$M$5)))</f>
        <v>0</v>
      </c>
      <c r="BF31" t="s">
        <v>271</v>
      </c>
      <c r="BG31" s="200">
        <f t="shared" ref="BG31" si="996">IF(ISBLANK($P31),0,SUM(IF(LEFT($P31,1)=LEFT(BF31,1),$M$4),IF(RIGHT($P31,LEN($P31)-2)=RIGHT(BF31,LEN(BF31)-2),$M$5)))</f>
        <v>0</v>
      </c>
      <c r="BH31" t="s">
        <v>262</v>
      </c>
      <c r="BI31" s="200">
        <f t="shared" ref="BI31" si="997">IF(ISBLANK($P31),0,SUM(IF(LEFT($P31,1)=LEFT(BH31,1),$M$4),IF(RIGHT($P31,LEN($P31)-2)=RIGHT(BH31,LEN(BH31)-2),$M$5)))</f>
        <v>0</v>
      </c>
      <c r="BJ31" t="s">
        <v>266</v>
      </c>
      <c r="BK31" s="200">
        <f t="shared" ref="BK31" si="998">IF(ISBLANK($P31),0,SUM(IF(LEFT($P31,1)=LEFT(BJ31,1),$M$4),IF(RIGHT($P31,LEN($P31)-2)=RIGHT(BJ31,LEN(BJ31)-2),$M$5)))</f>
        <v>0</v>
      </c>
      <c r="BL31" t="s">
        <v>262</v>
      </c>
      <c r="BM31" s="200">
        <f t="shared" ref="BM31" si="999">IF(ISBLANK($P31),0,SUM(IF(LEFT($P31,1)=LEFT(BL31,1),$M$4),IF(RIGHT($P31,LEN($P31)-2)=RIGHT(BL31,LEN(BL31)-2),$M$5)))</f>
        <v>0</v>
      </c>
      <c r="BN31" t="s">
        <v>262</v>
      </c>
      <c r="BO31" s="200">
        <f t="shared" ref="BO31" si="1000">IF(ISBLANK($P31),0,SUM(IF(LEFT($P31,1)=LEFT(BN31,1),$M$4),IF(RIGHT($P31,LEN($P31)-2)=RIGHT(BN31,LEN(BN31)-2),$M$5)))</f>
        <v>0</v>
      </c>
      <c r="BP31" t="s">
        <v>271</v>
      </c>
      <c r="BQ31" s="200">
        <f t="shared" ref="BQ31" si="1001">IF(ISBLANK($P31),0,SUM(IF(LEFT($P31,1)=LEFT(BP31,1),$M$4),IF(RIGHT($P31,LEN($P31)-2)=RIGHT(BP31,LEN(BP31)-2),$M$5)))</f>
        <v>0</v>
      </c>
      <c r="BR31" t="s">
        <v>321</v>
      </c>
      <c r="BS31" s="200">
        <f t="shared" ref="BS31" si="1002">IF(ISBLANK($P31),0,SUM(IF(LEFT($P31,1)=LEFT(BR31,1),$M$4),IF(RIGHT($P31,LEN($P31)-2)=RIGHT(BR31,LEN(BR31)-2),$M$5)))</f>
        <v>0</v>
      </c>
      <c r="BT31" t="s">
        <v>271</v>
      </c>
      <c r="BU31" s="200">
        <f t="shared" ref="BU31" si="1003">IF(ISBLANK($P31),0,SUM(IF(LEFT($P31,1)=LEFT(BT31,1),$M$4),IF(RIGHT($P31,LEN($P31)-2)=RIGHT(BT31,LEN(BT31)-2),$M$5)))</f>
        <v>0</v>
      </c>
      <c r="BV31" t="s">
        <v>308</v>
      </c>
      <c r="BW31" s="200">
        <f t="shared" ref="BW31" si="1004">IF(ISBLANK($P31),0,SUM(IF(LEFT($P31,1)=LEFT(BV31,1),$M$4),IF(RIGHT($P31,LEN($P31)-2)=RIGHT(BV31,LEN(BV31)-2),$M$5)))</f>
        <v>0</v>
      </c>
      <c r="BX31" t="s">
        <v>323</v>
      </c>
      <c r="BY31" s="200">
        <f t="shared" ref="BY31" si="1005">IF(ISBLANK($P31),0,SUM(IF(LEFT($P31,1)=LEFT(BX31,1),$M$4),IF(RIGHT($P31,LEN($P31)-2)=RIGHT(BX31,LEN(BX31)-2),$M$5)))</f>
        <v>0</v>
      </c>
      <c r="BZ31" t="s">
        <v>267</v>
      </c>
      <c r="CA31" s="200">
        <f t="shared" ref="CA31" si="1006">IF(ISBLANK($P31),0,SUM(IF(LEFT($P31,1)=LEFT(BZ31,1),$M$4),IF(RIGHT($P31,LEN($P31)-2)=RIGHT(BZ31,LEN(BZ31)-2),$M$5)))</f>
        <v>0</v>
      </c>
      <c r="CB31" t="s">
        <v>271</v>
      </c>
      <c r="CC31" s="200">
        <f t="shared" ref="CC31" si="1007">IF(ISBLANK($P31),0,SUM(IF(LEFT($P31,1)=LEFT(CB31,1),$M$4),IF(RIGHT($P31,LEN($P31)-2)=RIGHT(CB31,LEN(CB31)-2),$M$5)))</f>
        <v>0</v>
      </c>
      <c r="CD31" t="s">
        <v>323</v>
      </c>
      <c r="CE31" s="200">
        <f t="shared" ref="CE31" si="1008">IF(ISBLANK($P31),0,SUM(IF(LEFT($P31,1)=LEFT(CD31,1),$M$4),IF(RIGHT($P31,LEN($P31)-2)=RIGHT(CD31,LEN(CD31)-2),$M$5)))</f>
        <v>0</v>
      </c>
      <c r="CF31" s="197" t="s">
        <v>271</v>
      </c>
      <c r="CG31" s="200">
        <f t="shared" ref="CG31" si="1009">IF(ISBLANK($P31),0,SUM(IF(LEFT($P31,1)=LEFT(CF31,1),$M$4),IF(RIGHT($P31,LEN($P31)-2)=RIGHT(CF31,LEN(CF31)-2),$M$5)))</f>
        <v>0</v>
      </c>
      <c r="CH31" t="s">
        <v>308</v>
      </c>
      <c r="CI31" s="200">
        <f t="shared" ref="CI31" si="1010">IF(ISBLANK($P31),0,SUM(IF(LEFT($P31,1)=LEFT(CH31,1),$M$4),IF(RIGHT($P31,LEN($P31)-2)=RIGHT(CH31,LEN(CH31)-2),$M$5)))</f>
        <v>0</v>
      </c>
      <c r="CJ31" t="s">
        <v>267</v>
      </c>
      <c r="CK31" s="200">
        <f t="shared" ref="CK31" si="1011">IF(ISBLANK($P31),0,SUM(IF(LEFT($P31,1)=LEFT(CJ31,1),$M$4),IF(RIGHT($P31,LEN($P31)-2)=RIGHT(CJ31,LEN(CJ31)-2),$M$5)))</f>
        <v>0</v>
      </c>
      <c r="CL31" s="197" t="s">
        <v>308</v>
      </c>
      <c r="CM31" s="200">
        <f t="shared" ref="CM31" si="1012">IF(ISBLANK($P31),0,SUM(IF(LEFT($P31,1)=LEFT(CL31,1),$M$4),IF(RIGHT($P31,LEN($P31)-2)=RIGHT(CL31,LEN(CL31)-2),$M$5)))</f>
        <v>0</v>
      </c>
      <c r="CN31" t="s">
        <v>321</v>
      </c>
      <c r="CO31" s="200">
        <f t="shared" ref="CO31" si="1013">IF(ISBLANK($P31),0,SUM(IF(LEFT($P31,1)=LEFT(CN31,1),$M$4),IF(RIGHT($P31,LEN($P31)-2)=RIGHT(CN31,LEN(CN31)-2),$M$5)))</f>
        <v>0</v>
      </c>
      <c r="CP31" t="s">
        <v>271</v>
      </c>
      <c r="CQ31" s="200">
        <f t="shared" ref="CQ31" si="1014">IF(ISBLANK($P31),0,SUM(IF(LEFT($P31,1)=LEFT(CP31,1),$M$4),IF(RIGHT($P31,LEN($P31)-2)=RIGHT(CP31,LEN(CP31)-2),$M$5)))</f>
        <v>0</v>
      </c>
      <c r="CR31" t="s">
        <v>330</v>
      </c>
      <c r="CS31" s="200">
        <f t="shared" ref="CS31" si="1015">IF(ISBLANK($P31),0,SUM(IF(LEFT($P31,1)=LEFT(CR31,1),$M$4),IF(RIGHT($P31,LEN($P31)-2)=RIGHT(CR31,LEN(CR31)-2),$M$5)))</f>
        <v>0</v>
      </c>
      <c r="CT31" s="197" t="s">
        <v>271</v>
      </c>
      <c r="CU31" s="200">
        <f t="shared" ref="CU31" si="1016">IF(ISBLANK($P31),0,SUM(IF(LEFT($P31,1)=LEFT(CT31,1),$M$4),IF(RIGHT($P31,LEN($P31)-2)=RIGHT(CT31,LEN(CT31)-2),$M$5)))</f>
        <v>0</v>
      </c>
      <c r="CV31" s="197" t="s">
        <v>322</v>
      </c>
      <c r="CW31" s="200">
        <f t="shared" ref="CW31" si="1017">IF(ISBLANK($P31),0,SUM(IF(LEFT($P31,1)=LEFT(CV31,1),$M$4),IF(RIGHT($P31,LEN($P31)-2)=RIGHT(CV31,LEN(CV31)-2),$M$5)))</f>
        <v>0</v>
      </c>
      <c r="CX31" s="197" t="s">
        <v>271</v>
      </c>
      <c r="CY31" s="200">
        <f t="shared" ref="CY31" si="1018">IF(ISBLANK($P31),0,SUM(IF(LEFT($P31,1)=LEFT(CX31,1),$M$4),IF(RIGHT($P31,LEN($P31)-2)=RIGHT(CX31,LEN(CX31)-2),$M$5)))</f>
        <v>0</v>
      </c>
      <c r="CZ31" s="197" t="s">
        <v>336</v>
      </c>
      <c r="DA31" s="200">
        <f t="shared" ref="DA31" si="1019">IF(ISBLANK($P31),0,SUM(IF(LEFT($P31,1)=LEFT(CZ31,1),$M$4),IF(RIGHT($P31,LEN($P31)-2)=RIGHT(CZ31,LEN(CZ31)-2),$M$5)))</f>
        <v>0</v>
      </c>
    </row>
    <row r="32" spans="1:105" x14ac:dyDescent="0.25">
      <c r="A32" s="188" t="s">
        <v>363</v>
      </c>
      <c r="B32" s="189">
        <f t="shared" si="722"/>
        <v>3</v>
      </c>
      <c r="C32" s="189">
        <f t="shared" si="723"/>
        <v>3.032</v>
      </c>
      <c r="D32" s="189">
        <f>RANK(Tabla6[[#This Row],[PUNTOS1]],Tabla6[PUNTOS1],0)</f>
        <v>1</v>
      </c>
      <c r="E32" s="189">
        <f>RANK(Tabla6[[#This Row],[PUNTOS2]],Tabla6[PUNTOS2],0)</f>
        <v>13</v>
      </c>
      <c r="F32" s="188" t="str">
        <f t="shared" si="724"/>
        <v>JAVIER LAINEZ</v>
      </c>
      <c r="G32" s="188">
        <f t="shared" si="725"/>
        <v>3</v>
      </c>
      <c r="H32" s="94"/>
      <c r="I32" s="94"/>
      <c r="J32" s="189">
        <f t="shared" si="467"/>
        <v>14</v>
      </c>
      <c r="K32" s="200" t="str">
        <f>IF(Tabla5[[#This Row],[Puntos]]=M31,".",Tabla5[[#This Row],[PosReal]])</f>
        <v>.</v>
      </c>
      <c r="L32" s="193" t="str">
        <f>VLOOKUP(J32,Tabla6[[ORDEN2]:[PUNTOS]],2,FALSE)</f>
        <v>IÑAKI LÓPEZ</v>
      </c>
      <c r="M32" s="194">
        <f>VLOOKUP(J32,Tabla6[[ORDEN2]:[PUNTOS]],3,FALSE)</f>
        <v>3</v>
      </c>
      <c r="O32" s="10" t="s">
        <v>298</v>
      </c>
      <c r="P32" s="10"/>
      <c r="Q32" s="5"/>
      <c r="R32" s="97" t="s">
        <v>267</v>
      </c>
      <c r="S32" s="200">
        <f t="shared" si="2"/>
        <v>0</v>
      </c>
      <c r="T32" s="97" t="s">
        <v>322</v>
      </c>
      <c r="U32" s="200">
        <f t="shared" si="2"/>
        <v>0</v>
      </c>
      <c r="V32" s="97" t="s">
        <v>267</v>
      </c>
      <c r="W32" s="200">
        <f t="shared" ref="W32" si="1020">IF(ISBLANK($P32),0,SUM(IF(LEFT($P32,1)=LEFT(V32,1),$M$4),IF(RIGHT($P32,LEN($P32)-2)=RIGHT(V32,LEN(V32)-2),$M$5)))</f>
        <v>0</v>
      </c>
      <c r="X32" s="97" t="s">
        <v>308</v>
      </c>
      <c r="Y32" s="200">
        <f t="shared" ref="Y32" si="1021">IF(ISBLANK($P32),0,SUM(IF(LEFT($P32,1)=LEFT(X32,1),$M$4),IF(RIGHT($P32,LEN($P32)-2)=RIGHT(X32,LEN(X32)-2),$M$5)))</f>
        <v>0</v>
      </c>
      <c r="Z32" s="97" t="s">
        <v>267</v>
      </c>
      <c r="AA32" s="200">
        <f t="shared" ref="AA32" si="1022">IF(ISBLANK($P32),0,SUM(IF(LEFT($P32,1)=LEFT(Z32,1),$M$4),IF(RIGHT($P32,LEN($P32)-2)=RIGHT(Z32,LEN(Z32)-2),$M$5)))</f>
        <v>0</v>
      </c>
      <c r="AB32" s="97" t="s">
        <v>267</v>
      </c>
      <c r="AC32" s="200">
        <f t="shared" ref="AC32" si="1023">IF(ISBLANK($P32),0,SUM(IF(LEFT($P32,1)=LEFT(AB32,1),$M$4),IF(RIGHT($P32,LEN($P32)-2)=RIGHT(AB32,LEN(AB32)-2),$M$5)))</f>
        <v>0</v>
      </c>
      <c r="AD32" t="s">
        <v>267</v>
      </c>
      <c r="AE32" s="200">
        <f t="shared" ref="AE32" si="1024">IF(ISBLANK($P32),0,SUM(IF(LEFT($P32,1)=LEFT(AD32,1),$M$4),IF(RIGHT($P32,LEN($P32)-2)=RIGHT(AD32,LEN(AD32)-2),$M$5)))</f>
        <v>0</v>
      </c>
      <c r="AF32" t="s">
        <v>322</v>
      </c>
      <c r="AG32" s="200">
        <f t="shared" ref="AG32" si="1025">IF(ISBLANK($P32),0,SUM(IF(LEFT($P32,1)=LEFT(AF32,1),$M$4),IF(RIGHT($P32,LEN($P32)-2)=RIGHT(AF32,LEN(AF32)-2),$M$5)))</f>
        <v>0</v>
      </c>
      <c r="AH32" t="s">
        <v>308</v>
      </c>
      <c r="AI32" s="200">
        <f t="shared" ref="AI32" si="1026">IF(ISBLANK($P32),0,SUM(IF(LEFT($P32,1)=LEFT(AH32,1),$M$4),IF(RIGHT($P32,LEN($P32)-2)=RIGHT(AH32,LEN(AH32)-2),$M$5)))</f>
        <v>0</v>
      </c>
      <c r="AJ32" t="s">
        <v>262</v>
      </c>
      <c r="AK32" s="200">
        <f t="shared" ref="AK32" si="1027">IF(ISBLANK($P32),0,SUM(IF(LEFT($P32,1)=LEFT(AJ32,1),$M$4),IF(RIGHT($P32,LEN($P32)-2)=RIGHT(AJ32,LEN(AJ32)-2),$M$5)))</f>
        <v>0</v>
      </c>
      <c r="AL32" t="s">
        <v>308</v>
      </c>
      <c r="AM32" s="200">
        <f t="shared" ref="AM32" si="1028">IF(ISBLANK($P32),0,SUM(IF(LEFT($P32,1)=LEFT(AL32,1),$M$4),IF(RIGHT($P32,LEN($P32)-2)=RIGHT(AL32,LEN(AL32)-2),$M$5)))</f>
        <v>0</v>
      </c>
      <c r="AN32" t="s">
        <v>267</v>
      </c>
      <c r="AO32" s="200">
        <f t="shared" ref="AO32" si="1029">IF(ISBLANK($P32),0,SUM(IF(LEFT($P32,1)=LEFT(AN32,1),$M$4),IF(RIGHT($P32,LEN($P32)-2)=RIGHT(AN32,LEN(AN32)-2),$M$5)))</f>
        <v>0</v>
      </c>
      <c r="AP32" t="s">
        <v>322</v>
      </c>
      <c r="AQ32" s="200">
        <f t="shared" ref="AQ32" si="1030">IF(ISBLANK($P32),0,SUM(IF(LEFT($P32,1)=LEFT(AP32,1),$M$4),IF(RIGHT($P32,LEN($P32)-2)=RIGHT(AP32,LEN(AP32)-2),$M$5)))</f>
        <v>0</v>
      </c>
      <c r="AR32" t="s">
        <v>323</v>
      </c>
      <c r="AS32" s="200">
        <f t="shared" ref="AS32" si="1031">IF(ISBLANK($P32),0,SUM(IF(LEFT($P32,1)=LEFT(AR32,1),$M$4),IF(RIGHT($P32,LEN($P32)-2)=RIGHT(AR32,LEN(AR32)-2),$M$5)))</f>
        <v>0</v>
      </c>
      <c r="AT32" t="s">
        <v>322</v>
      </c>
      <c r="AU32" s="200">
        <f t="shared" ref="AU32" si="1032">IF(ISBLANK($P32),0,SUM(IF(LEFT($P32,1)=LEFT(AT32,1),$M$4),IF(RIGHT($P32,LEN($P32)-2)=RIGHT(AT32,LEN(AT32)-2),$M$5)))</f>
        <v>0</v>
      </c>
      <c r="AV32" t="s">
        <v>271</v>
      </c>
      <c r="AW32" s="200">
        <f t="shared" ref="AW32" si="1033">IF(ISBLANK($P32),0,SUM(IF(LEFT($P32,1)=LEFT(AV32,1),$M$4),IF(RIGHT($P32,LEN($P32)-2)=RIGHT(AV32,LEN(AV32)-2),$M$5)))</f>
        <v>0</v>
      </c>
      <c r="AX32" t="s">
        <v>267</v>
      </c>
      <c r="AY32" s="200">
        <f t="shared" ref="AY32" si="1034">IF(ISBLANK($P32),0,SUM(IF(LEFT($P32,1)=LEFT(AX32,1),$M$4),IF(RIGHT($P32,LEN($P32)-2)=RIGHT(AX32,LEN(AX32)-2),$M$5)))</f>
        <v>0</v>
      </c>
      <c r="AZ32" t="s">
        <v>268</v>
      </c>
      <c r="BA32" s="200">
        <f t="shared" ref="BA32" si="1035">IF(ISBLANK($P32),0,SUM(IF(LEFT($P32,1)=LEFT(AZ32,1),$M$4),IF(RIGHT($P32,LEN($P32)-2)=RIGHT(AZ32,LEN(AZ32)-2),$M$5)))</f>
        <v>0</v>
      </c>
      <c r="BB32" t="s">
        <v>271</v>
      </c>
      <c r="BC32" s="200">
        <f t="shared" ref="BC32" si="1036">IF(ISBLANK($P32),0,SUM(IF(LEFT($P32,1)=LEFT(BB32,1),$M$4),IF(RIGHT($P32,LEN($P32)-2)=RIGHT(BB32,LEN(BB32)-2),$M$5)))</f>
        <v>0</v>
      </c>
      <c r="BD32" t="s">
        <v>321</v>
      </c>
      <c r="BE32" s="200">
        <f t="shared" ref="BE32" si="1037">IF(ISBLANK($P32),0,SUM(IF(LEFT($P32,1)=LEFT(BD32,1),$M$4),IF(RIGHT($P32,LEN($P32)-2)=RIGHT(BD32,LEN(BD32)-2),$M$5)))</f>
        <v>0</v>
      </c>
      <c r="BF32" t="s">
        <v>321</v>
      </c>
      <c r="BG32" s="200">
        <f t="shared" ref="BG32" si="1038">IF(ISBLANK($P32),0,SUM(IF(LEFT($P32,1)=LEFT(BF32,1),$M$4),IF(RIGHT($P32,LEN($P32)-2)=RIGHT(BF32,LEN(BF32)-2),$M$5)))</f>
        <v>0</v>
      </c>
      <c r="BH32" t="s">
        <v>308</v>
      </c>
      <c r="BI32" s="200">
        <f t="shared" ref="BI32" si="1039">IF(ISBLANK($P32),0,SUM(IF(LEFT($P32,1)=LEFT(BH32,1),$M$4),IF(RIGHT($P32,LEN($P32)-2)=RIGHT(BH32,LEN(BH32)-2),$M$5)))</f>
        <v>0</v>
      </c>
      <c r="BJ32" t="s">
        <v>267</v>
      </c>
      <c r="BK32" s="200">
        <f t="shared" ref="BK32" si="1040">IF(ISBLANK($P32),0,SUM(IF(LEFT($P32,1)=LEFT(BJ32,1),$M$4),IF(RIGHT($P32,LEN($P32)-2)=RIGHT(BJ32,LEN(BJ32)-2),$M$5)))</f>
        <v>0</v>
      </c>
      <c r="BL32" t="s">
        <v>322</v>
      </c>
      <c r="BM32" s="200">
        <f t="shared" ref="BM32" si="1041">IF(ISBLANK($P32),0,SUM(IF(LEFT($P32,1)=LEFT(BL32,1),$M$4),IF(RIGHT($P32,LEN($P32)-2)=RIGHT(BL32,LEN(BL32)-2),$M$5)))</f>
        <v>0</v>
      </c>
      <c r="BN32" t="s">
        <v>322</v>
      </c>
      <c r="BO32" s="200">
        <f t="shared" ref="BO32" si="1042">IF(ISBLANK($P32),0,SUM(IF(LEFT($P32,1)=LEFT(BN32,1),$M$4),IF(RIGHT($P32,LEN($P32)-2)=RIGHT(BN32,LEN(BN32)-2),$M$5)))</f>
        <v>0</v>
      </c>
      <c r="BP32" t="s">
        <v>308</v>
      </c>
      <c r="BQ32" s="200">
        <f t="shared" ref="BQ32" si="1043">IF(ISBLANK($P32),0,SUM(IF(LEFT($P32,1)=LEFT(BP32,1),$M$4),IF(RIGHT($P32,LEN($P32)-2)=RIGHT(BP32,LEN(BP32)-2),$M$5)))</f>
        <v>0</v>
      </c>
      <c r="BR32" t="s">
        <v>321</v>
      </c>
      <c r="BS32" s="200">
        <f t="shared" ref="BS32" si="1044">IF(ISBLANK($P32),0,SUM(IF(LEFT($P32,1)=LEFT(BR32,1),$M$4),IF(RIGHT($P32,LEN($P32)-2)=RIGHT(BR32,LEN(BR32)-2),$M$5)))</f>
        <v>0</v>
      </c>
      <c r="BT32" t="s">
        <v>271</v>
      </c>
      <c r="BU32" s="200">
        <f t="shared" ref="BU32" si="1045">IF(ISBLANK($P32),0,SUM(IF(LEFT($P32,1)=LEFT(BT32,1),$M$4),IF(RIGHT($P32,LEN($P32)-2)=RIGHT(BT32,LEN(BT32)-2),$M$5)))</f>
        <v>0</v>
      </c>
      <c r="BV32" t="s">
        <v>322</v>
      </c>
      <c r="BW32" s="200">
        <f t="shared" ref="BW32" si="1046">IF(ISBLANK($P32),0,SUM(IF(LEFT($P32,1)=LEFT(BV32,1),$M$4),IF(RIGHT($P32,LEN($P32)-2)=RIGHT(BV32,LEN(BV32)-2),$M$5)))</f>
        <v>0</v>
      </c>
      <c r="BX32" t="s">
        <v>308</v>
      </c>
      <c r="BY32" s="200">
        <f t="shared" ref="BY32" si="1047">IF(ISBLANK($P32),0,SUM(IF(LEFT($P32,1)=LEFT(BX32,1),$M$4),IF(RIGHT($P32,LEN($P32)-2)=RIGHT(BX32,LEN(BX32)-2),$M$5)))</f>
        <v>0</v>
      </c>
      <c r="BZ32" t="s">
        <v>267</v>
      </c>
      <c r="CA32" s="200">
        <f t="shared" ref="CA32" si="1048">IF(ISBLANK($P32),0,SUM(IF(LEFT($P32,1)=LEFT(BZ32,1),$M$4),IF(RIGHT($P32,LEN($P32)-2)=RIGHT(BZ32,LEN(BZ32)-2),$M$5)))</f>
        <v>0</v>
      </c>
      <c r="CB32" t="s">
        <v>308</v>
      </c>
      <c r="CC32" s="200">
        <f t="shared" ref="CC32" si="1049">IF(ISBLANK($P32),0,SUM(IF(LEFT($P32,1)=LEFT(CB32,1),$M$4),IF(RIGHT($P32,LEN($P32)-2)=RIGHT(CB32,LEN(CB32)-2),$M$5)))</f>
        <v>0</v>
      </c>
      <c r="CD32" t="s">
        <v>268</v>
      </c>
      <c r="CE32" s="200">
        <f t="shared" ref="CE32" si="1050">IF(ISBLANK($P32),0,SUM(IF(LEFT($P32,1)=LEFT(CD32,1),$M$4),IF(RIGHT($P32,LEN($P32)-2)=RIGHT(CD32,LEN(CD32)-2),$M$5)))</f>
        <v>0</v>
      </c>
      <c r="CF32" s="197" t="s">
        <v>308</v>
      </c>
      <c r="CG32" s="200">
        <f t="shared" ref="CG32" si="1051">IF(ISBLANK($P32),0,SUM(IF(LEFT($P32,1)=LEFT(CF32,1),$M$4),IF(RIGHT($P32,LEN($P32)-2)=RIGHT(CF32,LEN(CF32)-2),$M$5)))</f>
        <v>0</v>
      </c>
      <c r="CH32" t="s">
        <v>322</v>
      </c>
      <c r="CI32" s="200">
        <f t="shared" ref="CI32" si="1052">IF(ISBLANK($P32),0,SUM(IF(LEFT($P32,1)=LEFT(CH32,1),$M$4),IF(RIGHT($P32,LEN($P32)-2)=RIGHT(CH32,LEN(CH32)-2),$M$5)))</f>
        <v>0</v>
      </c>
      <c r="CJ32" t="s">
        <v>308</v>
      </c>
      <c r="CK32" s="200">
        <f t="shared" ref="CK32" si="1053">IF(ISBLANK($P32),0,SUM(IF(LEFT($P32,1)=LEFT(CJ32,1),$M$4),IF(RIGHT($P32,LEN($P32)-2)=RIGHT(CJ32,LEN(CJ32)-2),$M$5)))</f>
        <v>0</v>
      </c>
      <c r="CL32" s="197" t="s">
        <v>308</v>
      </c>
      <c r="CM32" s="200">
        <f t="shared" ref="CM32" si="1054">IF(ISBLANK($P32),0,SUM(IF(LEFT($P32,1)=LEFT(CL32,1),$M$4),IF(RIGHT($P32,LEN($P32)-2)=RIGHT(CL32,LEN(CL32)-2),$M$5)))</f>
        <v>0</v>
      </c>
      <c r="CN32" t="s">
        <v>308</v>
      </c>
      <c r="CO32" s="200">
        <f t="shared" ref="CO32" si="1055">IF(ISBLANK($P32),0,SUM(IF(LEFT($P32,1)=LEFT(CN32,1),$M$4),IF(RIGHT($P32,LEN($P32)-2)=RIGHT(CN32,LEN(CN32)-2),$M$5)))</f>
        <v>0</v>
      </c>
      <c r="CP32" t="s">
        <v>271</v>
      </c>
      <c r="CQ32" s="200">
        <f t="shared" ref="CQ32" si="1056">IF(ISBLANK($P32),0,SUM(IF(LEFT($P32,1)=LEFT(CP32,1),$M$4),IF(RIGHT($P32,LEN($P32)-2)=RIGHT(CP32,LEN(CP32)-2),$M$5)))</f>
        <v>0</v>
      </c>
      <c r="CR32" t="s">
        <v>267</v>
      </c>
      <c r="CS32" s="200">
        <f t="shared" ref="CS32" si="1057">IF(ISBLANK($P32),0,SUM(IF(LEFT($P32,1)=LEFT(CR32,1),$M$4),IF(RIGHT($P32,LEN($P32)-2)=RIGHT(CR32,LEN(CR32)-2),$M$5)))</f>
        <v>0</v>
      </c>
      <c r="CT32" s="197" t="s">
        <v>323</v>
      </c>
      <c r="CU32" s="200">
        <f t="shared" ref="CU32" si="1058">IF(ISBLANK($P32),0,SUM(IF(LEFT($P32,1)=LEFT(CT32,1),$M$4),IF(RIGHT($P32,LEN($P32)-2)=RIGHT(CT32,LEN(CT32)-2),$M$5)))</f>
        <v>0</v>
      </c>
      <c r="CV32" s="197" t="s">
        <v>308</v>
      </c>
      <c r="CW32" s="200">
        <f t="shared" ref="CW32" si="1059">IF(ISBLANK($P32),0,SUM(IF(LEFT($P32,1)=LEFT(CV32,1),$M$4),IF(RIGHT($P32,LEN($P32)-2)=RIGHT(CV32,LEN(CV32)-2),$M$5)))</f>
        <v>0</v>
      </c>
      <c r="CX32" s="197" t="s">
        <v>271</v>
      </c>
      <c r="CY32" s="200">
        <f t="shared" ref="CY32" si="1060">IF(ISBLANK($P32),0,SUM(IF(LEFT($P32,1)=LEFT(CX32,1),$M$4),IF(RIGHT($P32,LEN($P32)-2)=RIGHT(CX32,LEN(CX32)-2),$M$5)))</f>
        <v>0</v>
      </c>
      <c r="CZ32" s="197" t="s">
        <v>266</v>
      </c>
      <c r="DA32" s="200">
        <f t="shared" ref="DA32" si="1061">IF(ISBLANK($P32),0,SUM(IF(LEFT($P32,1)=LEFT(CZ32,1),$M$4),IF(RIGHT($P32,LEN($P32)-2)=RIGHT(CZ32,LEN(CZ32)-2),$M$5)))</f>
        <v>0</v>
      </c>
    </row>
    <row r="33" spans="1:105" x14ac:dyDescent="0.25">
      <c r="A33" s="188" t="s">
        <v>365</v>
      </c>
      <c r="B33" s="189">
        <f t="shared" si="722"/>
        <v>2</v>
      </c>
      <c r="C33" s="189">
        <f t="shared" si="723"/>
        <v>2.0329999999999999</v>
      </c>
      <c r="D33" s="189">
        <f>RANK(Tabla6[[#This Row],[PUNTOS1]],Tabla6[PUNTOS1],0)</f>
        <v>19</v>
      </c>
      <c r="E33" s="189">
        <f>RANK(Tabla6[[#This Row],[PUNTOS2]],Tabla6[PUNTOS2],0)</f>
        <v>36</v>
      </c>
      <c r="F33" s="188" t="str">
        <f t="shared" si="724"/>
        <v>JESÚS VALENCIA</v>
      </c>
      <c r="G33" s="188">
        <f t="shared" si="725"/>
        <v>2</v>
      </c>
      <c r="H33" s="94"/>
      <c r="I33" s="94"/>
      <c r="J33" s="189">
        <f t="shared" si="467"/>
        <v>15</v>
      </c>
      <c r="K33" s="200" t="str">
        <f>IF(Tabla5[[#This Row],[Puntos]]=M32,".",Tabla5[[#This Row],[PosReal]])</f>
        <v>.</v>
      </c>
      <c r="L33" s="193" t="str">
        <f>VLOOKUP(J33,Tabla6[[ORDEN2]:[PUNTOS]],2,FALSE)</f>
        <v>CÉSAR DIAZ</v>
      </c>
      <c r="M33" s="194">
        <f>VLOOKUP(J33,Tabla6[[ORDEN2]:[PUNTOS]],3,FALSE)</f>
        <v>3</v>
      </c>
      <c r="O33" s="10" t="s">
        <v>299</v>
      </c>
      <c r="P33" s="10"/>
      <c r="Q33" s="5"/>
      <c r="R33" s="97" t="s">
        <v>267</v>
      </c>
      <c r="S33" s="200">
        <f t="shared" si="2"/>
        <v>0</v>
      </c>
      <c r="T33" s="97" t="s">
        <v>266</v>
      </c>
      <c r="U33" s="200">
        <f t="shared" si="2"/>
        <v>0</v>
      </c>
      <c r="V33" s="97" t="s">
        <v>271</v>
      </c>
      <c r="W33" s="200">
        <f t="shared" ref="W33" si="1062">IF(ISBLANK($P33),0,SUM(IF(LEFT($P33,1)=LEFT(V33,1),$M$4),IF(RIGHT($P33,LEN($P33)-2)=RIGHT(V33,LEN(V33)-2),$M$5)))</f>
        <v>0</v>
      </c>
      <c r="X33" s="97" t="s">
        <v>271</v>
      </c>
      <c r="Y33" s="200">
        <f t="shared" ref="Y33" si="1063">IF(ISBLANK($P33),0,SUM(IF(LEFT($P33,1)=LEFT(X33,1),$M$4),IF(RIGHT($P33,LEN($P33)-2)=RIGHT(X33,LEN(X33)-2),$M$5)))</f>
        <v>0</v>
      </c>
      <c r="Z33" s="97" t="s">
        <v>322</v>
      </c>
      <c r="AA33" s="200">
        <f t="shared" ref="AA33" si="1064">IF(ISBLANK($P33),0,SUM(IF(LEFT($P33,1)=LEFT(Z33,1),$M$4),IF(RIGHT($P33,LEN($P33)-2)=RIGHT(Z33,LEN(Z33)-2),$M$5)))</f>
        <v>0</v>
      </c>
      <c r="AB33" s="97" t="s">
        <v>322</v>
      </c>
      <c r="AC33" s="200">
        <f t="shared" ref="AC33" si="1065">IF(ISBLANK($P33),0,SUM(IF(LEFT($P33,1)=LEFT(AB33,1),$M$4),IF(RIGHT($P33,LEN($P33)-2)=RIGHT(AB33,LEN(AB33)-2),$M$5)))</f>
        <v>0</v>
      </c>
      <c r="AD33" t="s">
        <v>322</v>
      </c>
      <c r="AE33" s="200">
        <f t="shared" ref="AE33" si="1066">IF(ISBLANK($P33),0,SUM(IF(LEFT($P33,1)=LEFT(AD33,1),$M$4),IF(RIGHT($P33,LEN($P33)-2)=RIGHT(AD33,LEN(AD33)-2),$M$5)))</f>
        <v>0</v>
      </c>
      <c r="AF33" t="s">
        <v>308</v>
      </c>
      <c r="AG33" s="200">
        <f t="shared" ref="AG33" si="1067">IF(ISBLANK($P33),0,SUM(IF(LEFT($P33,1)=LEFT(AF33,1),$M$4),IF(RIGHT($P33,LEN($P33)-2)=RIGHT(AF33,LEN(AF33)-2),$M$5)))</f>
        <v>0</v>
      </c>
      <c r="AH33" t="s">
        <v>322</v>
      </c>
      <c r="AI33" s="200">
        <f t="shared" ref="AI33" si="1068">IF(ISBLANK($P33),0,SUM(IF(LEFT($P33,1)=LEFT(AH33,1),$M$4),IF(RIGHT($P33,LEN($P33)-2)=RIGHT(AH33,LEN(AH33)-2),$M$5)))</f>
        <v>0</v>
      </c>
      <c r="AJ33" t="s">
        <v>322</v>
      </c>
      <c r="AK33" s="200">
        <f t="shared" ref="AK33" si="1069">IF(ISBLANK($P33),0,SUM(IF(LEFT($P33,1)=LEFT(AJ33,1),$M$4),IF(RIGHT($P33,LEN($P33)-2)=RIGHT(AJ33,LEN(AJ33)-2),$M$5)))</f>
        <v>0</v>
      </c>
      <c r="AL33" t="s">
        <v>271</v>
      </c>
      <c r="AM33" s="200">
        <f t="shared" ref="AM33" si="1070">IF(ISBLANK($P33),0,SUM(IF(LEFT($P33,1)=LEFT(AL33,1),$M$4),IF(RIGHT($P33,LEN($P33)-2)=RIGHT(AL33,LEN(AL33)-2),$M$5)))</f>
        <v>0</v>
      </c>
      <c r="AN33" t="s">
        <v>263</v>
      </c>
      <c r="AO33" s="200">
        <f t="shared" ref="AO33" si="1071">IF(ISBLANK($P33),0,SUM(IF(LEFT($P33,1)=LEFT(AN33,1),$M$4),IF(RIGHT($P33,LEN($P33)-2)=RIGHT(AN33,LEN(AN33)-2),$M$5)))</f>
        <v>0</v>
      </c>
      <c r="AP33" t="s">
        <v>322</v>
      </c>
      <c r="AQ33" s="200">
        <f t="shared" ref="AQ33" si="1072">IF(ISBLANK($P33),0,SUM(IF(LEFT($P33,1)=LEFT(AP33,1),$M$4),IF(RIGHT($P33,LEN($P33)-2)=RIGHT(AP33,LEN(AP33)-2),$M$5)))</f>
        <v>0</v>
      </c>
      <c r="AR33" t="s">
        <v>322</v>
      </c>
      <c r="AS33" s="200">
        <f t="shared" ref="AS33" si="1073">IF(ISBLANK($P33),0,SUM(IF(LEFT($P33,1)=LEFT(AR33,1),$M$4),IF(RIGHT($P33,LEN($P33)-2)=RIGHT(AR33,LEN(AR33)-2),$M$5)))</f>
        <v>0</v>
      </c>
      <c r="AT33" t="s">
        <v>271</v>
      </c>
      <c r="AU33" s="200">
        <f t="shared" ref="AU33" si="1074">IF(ISBLANK($P33),0,SUM(IF(LEFT($P33,1)=LEFT(AT33,1),$M$4),IF(RIGHT($P33,LEN($P33)-2)=RIGHT(AT33,LEN(AT33)-2),$M$5)))</f>
        <v>0</v>
      </c>
      <c r="AV33" t="s">
        <v>322</v>
      </c>
      <c r="AW33" s="200">
        <f t="shared" ref="AW33" si="1075">IF(ISBLANK($P33),0,SUM(IF(LEFT($P33,1)=LEFT(AV33,1),$M$4),IF(RIGHT($P33,LEN($P33)-2)=RIGHT(AV33,LEN(AV33)-2),$M$5)))</f>
        <v>0</v>
      </c>
      <c r="AX33" t="s">
        <v>268</v>
      </c>
      <c r="AY33" s="200">
        <f t="shared" ref="AY33" si="1076">IF(ISBLANK($P33),0,SUM(IF(LEFT($P33,1)=LEFT(AX33,1),$M$4),IF(RIGHT($P33,LEN($P33)-2)=RIGHT(AX33,LEN(AX33)-2),$M$5)))</f>
        <v>0</v>
      </c>
      <c r="AZ33" t="s">
        <v>308</v>
      </c>
      <c r="BA33" s="200">
        <f t="shared" ref="BA33" si="1077">IF(ISBLANK($P33),0,SUM(IF(LEFT($P33,1)=LEFT(AZ33,1),$M$4),IF(RIGHT($P33,LEN($P33)-2)=RIGHT(AZ33,LEN(AZ33)-2),$M$5)))</f>
        <v>0</v>
      </c>
      <c r="BB33" t="s">
        <v>320</v>
      </c>
      <c r="BC33" s="200">
        <f t="shared" ref="BC33" si="1078">IF(ISBLANK($P33),0,SUM(IF(LEFT($P33,1)=LEFT(BB33,1),$M$4),IF(RIGHT($P33,LEN($P33)-2)=RIGHT(BB33,LEN(BB33)-2),$M$5)))</f>
        <v>0</v>
      </c>
      <c r="BD33" t="s">
        <v>322</v>
      </c>
      <c r="BE33" s="200">
        <f t="shared" ref="BE33" si="1079">IF(ISBLANK($P33),0,SUM(IF(LEFT($P33,1)=LEFT(BD33,1),$M$4),IF(RIGHT($P33,LEN($P33)-2)=RIGHT(BD33,LEN(BD33)-2),$M$5)))</f>
        <v>0</v>
      </c>
      <c r="BF33" t="s">
        <v>267</v>
      </c>
      <c r="BG33" s="200">
        <f t="shared" ref="BG33" si="1080">IF(ISBLANK($P33),0,SUM(IF(LEFT($P33,1)=LEFT(BF33,1),$M$4),IF(RIGHT($P33,LEN($P33)-2)=RIGHT(BF33,LEN(BF33)-2),$M$5)))</f>
        <v>0</v>
      </c>
      <c r="BH33" t="s">
        <v>308</v>
      </c>
      <c r="BI33" s="200">
        <f t="shared" ref="BI33" si="1081">IF(ISBLANK($P33),0,SUM(IF(LEFT($P33,1)=LEFT(BH33,1),$M$4),IF(RIGHT($P33,LEN($P33)-2)=RIGHT(BH33,LEN(BH33)-2),$M$5)))</f>
        <v>0</v>
      </c>
      <c r="BJ33" t="s">
        <v>320</v>
      </c>
      <c r="BK33" s="200">
        <f t="shared" ref="BK33" si="1082">IF(ISBLANK($P33),0,SUM(IF(LEFT($P33,1)=LEFT(BJ33,1),$M$4),IF(RIGHT($P33,LEN($P33)-2)=RIGHT(BJ33,LEN(BJ33)-2),$M$5)))</f>
        <v>0</v>
      </c>
      <c r="BL33" t="s">
        <v>308</v>
      </c>
      <c r="BM33" s="200">
        <f t="shared" ref="BM33" si="1083">IF(ISBLANK($P33),0,SUM(IF(LEFT($P33,1)=LEFT(BL33,1),$M$4),IF(RIGHT($P33,LEN($P33)-2)=RIGHT(BL33,LEN(BL33)-2),$M$5)))</f>
        <v>0</v>
      </c>
      <c r="BN33" t="s">
        <v>322</v>
      </c>
      <c r="BO33" s="200">
        <f t="shared" ref="BO33" si="1084">IF(ISBLANK($P33),0,SUM(IF(LEFT($P33,1)=LEFT(BN33,1),$M$4),IF(RIGHT($P33,LEN($P33)-2)=RIGHT(BN33,LEN(BN33)-2),$M$5)))</f>
        <v>0</v>
      </c>
      <c r="BP33" t="s">
        <v>322</v>
      </c>
      <c r="BQ33" s="200">
        <f t="shared" ref="BQ33" si="1085">IF(ISBLANK($P33),0,SUM(IF(LEFT($P33,1)=LEFT(BP33,1),$M$4),IF(RIGHT($P33,LEN($P33)-2)=RIGHT(BP33,LEN(BP33)-2),$M$5)))</f>
        <v>0</v>
      </c>
      <c r="BR33" t="s">
        <v>322</v>
      </c>
      <c r="BS33" s="200">
        <f t="shared" ref="BS33" si="1086">IF(ISBLANK($P33),0,SUM(IF(LEFT($P33,1)=LEFT(BR33,1),$M$4),IF(RIGHT($P33,LEN($P33)-2)=RIGHT(BR33,LEN(BR33)-2),$M$5)))</f>
        <v>0</v>
      </c>
      <c r="BT33" t="s">
        <v>322</v>
      </c>
      <c r="BU33" s="200">
        <f t="shared" ref="BU33" si="1087">IF(ISBLANK($P33),0,SUM(IF(LEFT($P33,1)=LEFT(BT33,1),$M$4),IF(RIGHT($P33,LEN($P33)-2)=RIGHT(BT33,LEN(BT33)-2),$M$5)))</f>
        <v>0</v>
      </c>
      <c r="BV33" t="s">
        <v>322</v>
      </c>
      <c r="BW33" s="200">
        <f t="shared" ref="BW33" si="1088">IF(ISBLANK($P33),0,SUM(IF(LEFT($P33,1)=LEFT(BV33,1),$M$4),IF(RIGHT($P33,LEN($P33)-2)=RIGHT(BV33,LEN(BV33)-2),$M$5)))</f>
        <v>0</v>
      </c>
      <c r="BX33" t="s">
        <v>322</v>
      </c>
      <c r="BY33" s="200">
        <f t="shared" ref="BY33" si="1089">IF(ISBLANK($P33),0,SUM(IF(LEFT($P33,1)=LEFT(BX33,1),$M$4),IF(RIGHT($P33,LEN($P33)-2)=RIGHT(BX33,LEN(BX33)-2),$M$5)))</f>
        <v>0</v>
      </c>
      <c r="BZ33" t="s">
        <v>320</v>
      </c>
      <c r="CA33" s="200">
        <f t="shared" ref="CA33" si="1090">IF(ISBLANK($P33),0,SUM(IF(LEFT($P33,1)=LEFT(BZ33,1),$M$4),IF(RIGHT($P33,LEN($P33)-2)=RIGHT(BZ33,LEN(BZ33)-2),$M$5)))</f>
        <v>0</v>
      </c>
      <c r="CB33" t="s">
        <v>322</v>
      </c>
      <c r="CC33" s="200">
        <f t="shared" ref="CC33" si="1091">IF(ISBLANK($P33),0,SUM(IF(LEFT($P33,1)=LEFT(CB33,1),$M$4),IF(RIGHT($P33,LEN($P33)-2)=RIGHT(CB33,LEN(CB33)-2),$M$5)))</f>
        <v>0</v>
      </c>
      <c r="CD33" t="s">
        <v>322</v>
      </c>
      <c r="CE33" s="200">
        <f t="shared" ref="CE33" si="1092">IF(ISBLANK($P33),0,SUM(IF(LEFT($P33,1)=LEFT(CD33,1),$M$4),IF(RIGHT($P33,LEN($P33)-2)=RIGHT(CD33,LEN(CD33)-2),$M$5)))</f>
        <v>0</v>
      </c>
      <c r="CF33" s="197" t="s">
        <v>308</v>
      </c>
      <c r="CG33" s="200">
        <f t="shared" ref="CG33" si="1093">IF(ISBLANK($P33),0,SUM(IF(LEFT($P33,1)=LEFT(CF33,1),$M$4),IF(RIGHT($P33,LEN($P33)-2)=RIGHT(CF33,LEN(CF33)-2),$M$5)))</f>
        <v>0</v>
      </c>
      <c r="CH33" t="s">
        <v>321</v>
      </c>
      <c r="CI33" s="200">
        <f t="shared" ref="CI33" si="1094">IF(ISBLANK($P33),0,SUM(IF(LEFT($P33,1)=LEFT(CH33,1),$M$4),IF(RIGHT($P33,LEN($P33)-2)=RIGHT(CH33,LEN(CH33)-2),$M$5)))</f>
        <v>0</v>
      </c>
      <c r="CJ33" t="s">
        <v>334</v>
      </c>
      <c r="CK33" s="200">
        <f t="shared" ref="CK33" si="1095">IF(ISBLANK($P33),0,SUM(IF(LEFT($P33,1)=LEFT(CJ33,1),$M$4),IF(RIGHT($P33,LEN($P33)-2)=RIGHT(CJ33,LEN(CJ33)-2),$M$5)))</f>
        <v>0</v>
      </c>
      <c r="CL33" s="197" t="s">
        <v>322</v>
      </c>
      <c r="CM33" s="200">
        <f t="shared" ref="CM33" si="1096">IF(ISBLANK($P33),0,SUM(IF(LEFT($P33,1)=LEFT(CL33,1),$M$4),IF(RIGHT($P33,LEN($P33)-2)=RIGHT(CL33,LEN(CL33)-2),$M$5)))</f>
        <v>0</v>
      </c>
      <c r="CN33" t="s">
        <v>334</v>
      </c>
      <c r="CO33" s="200">
        <f t="shared" ref="CO33" si="1097">IF(ISBLANK($P33),0,SUM(IF(LEFT($P33,1)=LEFT(CN33,1),$M$4),IF(RIGHT($P33,LEN($P33)-2)=RIGHT(CN33,LEN(CN33)-2),$M$5)))</f>
        <v>0</v>
      </c>
      <c r="CP33" t="s">
        <v>322</v>
      </c>
      <c r="CQ33" s="200">
        <f t="shared" ref="CQ33" si="1098">IF(ISBLANK($P33),0,SUM(IF(LEFT($P33,1)=LEFT(CP33,1),$M$4),IF(RIGHT($P33,LEN($P33)-2)=RIGHT(CP33,LEN(CP33)-2),$M$5)))</f>
        <v>0</v>
      </c>
      <c r="CR33" t="s">
        <v>267</v>
      </c>
      <c r="CS33" s="200">
        <f t="shared" ref="CS33" si="1099">IF(ISBLANK($P33),0,SUM(IF(LEFT($P33,1)=LEFT(CR33,1),$M$4),IF(RIGHT($P33,LEN($P33)-2)=RIGHT(CR33,LEN(CR33)-2),$M$5)))</f>
        <v>0</v>
      </c>
      <c r="CT33" s="197" t="s">
        <v>322</v>
      </c>
      <c r="CU33" s="200">
        <f t="shared" ref="CU33" si="1100">IF(ISBLANK($P33),0,SUM(IF(LEFT($P33,1)=LEFT(CT33,1),$M$4),IF(RIGHT($P33,LEN($P33)-2)=RIGHT(CT33,LEN(CT33)-2),$M$5)))</f>
        <v>0</v>
      </c>
      <c r="CV33" s="197" t="s">
        <v>320</v>
      </c>
      <c r="CW33" s="200">
        <f t="shared" ref="CW33" si="1101">IF(ISBLANK($P33),0,SUM(IF(LEFT($P33,1)=LEFT(CV33,1),$M$4),IF(RIGHT($P33,LEN($P33)-2)=RIGHT(CV33,LEN(CV33)-2),$M$5)))</f>
        <v>0</v>
      </c>
      <c r="CX33" s="197" t="s">
        <v>320</v>
      </c>
      <c r="CY33" s="200">
        <f t="shared" ref="CY33" si="1102">IF(ISBLANK($P33),0,SUM(IF(LEFT($P33,1)=LEFT(CX33,1),$M$4),IF(RIGHT($P33,LEN($P33)-2)=RIGHT(CX33,LEN(CX33)-2),$M$5)))</f>
        <v>0</v>
      </c>
      <c r="CZ33" s="197" t="s">
        <v>266</v>
      </c>
      <c r="DA33" s="200">
        <f t="shared" ref="DA33" si="1103">IF(ISBLANK($P33),0,SUM(IF(LEFT($P33,1)=LEFT(CZ33,1),$M$4),IF(RIGHT($P33,LEN($P33)-2)=RIGHT(CZ33,LEN(CZ33)-2),$M$5)))</f>
        <v>0</v>
      </c>
    </row>
    <row r="34" spans="1:105" x14ac:dyDescent="0.25">
      <c r="A34" s="188" t="s">
        <v>366</v>
      </c>
      <c r="B34" s="189">
        <f t="shared" si="722"/>
        <v>3</v>
      </c>
      <c r="C34" s="189">
        <f t="shared" si="723"/>
        <v>3.0339999999999998</v>
      </c>
      <c r="D34" s="189">
        <f>RANK(Tabla6[[#This Row],[PUNTOS1]],Tabla6[PUNTOS1],0)</f>
        <v>1</v>
      </c>
      <c r="E34" s="189">
        <f>RANK(Tabla6[[#This Row],[PUNTOS2]],Tabla6[PUNTOS2],0)</f>
        <v>12</v>
      </c>
      <c r="F34" s="188" t="str">
        <f t="shared" si="724"/>
        <v>JOANES</v>
      </c>
      <c r="G34" s="188">
        <f t="shared" si="725"/>
        <v>3</v>
      </c>
      <c r="H34" s="94"/>
      <c r="I34" s="94"/>
      <c r="J34" s="189">
        <f t="shared" si="467"/>
        <v>16</v>
      </c>
      <c r="K34" s="200" t="str">
        <f>IF(Tabla5[[#This Row],[Puntos]]=M33,".",Tabla5[[#This Row],[PosReal]])</f>
        <v>.</v>
      </c>
      <c r="L34" s="193" t="str">
        <f>VLOOKUP(J34,Tabla6[[ORDEN2]:[PUNTOS]],2,FALSE)</f>
        <v>ANDER CLAVIJO</v>
      </c>
      <c r="M34" s="194">
        <f>VLOOKUP(J34,Tabla6[[ORDEN2]:[PUNTOS]],3,FALSE)</f>
        <v>3</v>
      </c>
      <c r="O34" s="10" t="s">
        <v>300</v>
      </c>
      <c r="P34" s="10"/>
      <c r="Q34" s="5"/>
      <c r="R34" s="97" t="s">
        <v>267</v>
      </c>
      <c r="S34" s="200">
        <f t="shared" si="2"/>
        <v>0</v>
      </c>
      <c r="T34" s="97" t="s">
        <v>267</v>
      </c>
      <c r="U34" s="200">
        <f t="shared" si="2"/>
        <v>0</v>
      </c>
      <c r="V34" s="97" t="s">
        <v>322</v>
      </c>
      <c r="W34" s="200">
        <f t="shared" ref="W34" si="1104">IF(ISBLANK($P34),0,SUM(IF(LEFT($P34,1)=LEFT(V34,1),$M$4),IF(RIGHT($P34,LEN($P34)-2)=RIGHT(V34,LEN(V34)-2),$M$5)))</f>
        <v>0</v>
      </c>
      <c r="X34" s="97" t="s">
        <v>322</v>
      </c>
      <c r="Y34" s="200">
        <f t="shared" ref="Y34" si="1105">IF(ISBLANK($P34),0,SUM(IF(LEFT($P34,1)=LEFT(X34,1),$M$4),IF(RIGHT($P34,LEN($P34)-2)=RIGHT(X34,LEN(X34)-2),$M$5)))</f>
        <v>0</v>
      </c>
      <c r="Z34" s="97" t="s">
        <v>308</v>
      </c>
      <c r="AA34" s="200">
        <f t="shared" ref="AA34" si="1106">IF(ISBLANK($P34),0,SUM(IF(LEFT($P34,1)=LEFT(Z34,1),$M$4),IF(RIGHT($P34,LEN($P34)-2)=RIGHT(Z34,LEN(Z34)-2),$M$5)))</f>
        <v>0</v>
      </c>
      <c r="AB34" s="97" t="s">
        <v>267</v>
      </c>
      <c r="AC34" s="200">
        <f t="shared" ref="AC34" si="1107">IF(ISBLANK($P34),0,SUM(IF(LEFT($P34,1)=LEFT(AB34,1),$M$4),IF(RIGHT($P34,LEN($P34)-2)=RIGHT(AB34,LEN(AB34)-2),$M$5)))</f>
        <v>0</v>
      </c>
      <c r="AD34" t="s">
        <v>308</v>
      </c>
      <c r="AE34" s="200">
        <f t="shared" ref="AE34" si="1108">IF(ISBLANK($P34),0,SUM(IF(LEFT($P34,1)=LEFT(AD34,1),$M$4),IF(RIGHT($P34,LEN($P34)-2)=RIGHT(AD34,LEN(AD34)-2),$M$5)))</f>
        <v>0</v>
      </c>
      <c r="AF34" t="s">
        <v>322</v>
      </c>
      <c r="AG34" s="200">
        <f t="shared" ref="AG34" si="1109">IF(ISBLANK($P34),0,SUM(IF(LEFT($P34,1)=LEFT(AF34,1),$M$4),IF(RIGHT($P34,LEN($P34)-2)=RIGHT(AF34,LEN(AF34)-2),$M$5)))</f>
        <v>0</v>
      </c>
      <c r="AH34" t="s">
        <v>271</v>
      </c>
      <c r="AI34" s="200">
        <f t="shared" ref="AI34" si="1110">IF(ISBLANK($P34),0,SUM(IF(LEFT($P34,1)=LEFT(AH34,1),$M$4),IF(RIGHT($P34,LEN($P34)-2)=RIGHT(AH34,LEN(AH34)-2),$M$5)))</f>
        <v>0</v>
      </c>
      <c r="AJ34" t="s">
        <v>266</v>
      </c>
      <c r="AK34" s="200">
        <f t="shared" ref="AK34" si="1111">IF(ISBLANK($P34),0,SUM(IF(LEFT($P34,1)=LEFT(AJ34,1),$M$4),IF(RIGHT($P34,LEN($P34)-2)=RIGHT(AJ34,LEN(AJ34)-2),$M$5)))</f>
        <v>0</v>
      </c>
      <c r="AL34" t="s">
        <v>308</v>
      </c>
      <c r="AM34" s="200">
        <f t="shared" ref="AM34" si="1112">IF(ISBLANK($P34),0,SUM(IF(LEFT($P34,1)=LEFT(AL34,1),$M$4),IF(RIGHT($P34,LEN($P34)-2)=RIGHT(AL34,LEN(AL34)-2),$M$5)))</f>
        <v>0</v>
      </c>
      <c r="AN34" t="s">
        <v>322</v>
      </c>
      <c r="AO34" s="200">
        <f t="shared" ref="AO34" si="1113">IF(ISBLANK($P34),0,SUM(IF(LEFT($P34,1)=LEFT(AN34,1),$M$4),IF(RIGHT($P34,LEN($P34)-2)=RIGHT(AN34,LEN(AN34)-2),$M$5)))</f>
        <v>0</v>
      </c>
      <c r="AP34" t="s">
        <v>322</v>
      </c>
      <c r="AQ34" s="200">
        <f t="shared" ref="AQ34" si="1114">IF(ISBLANK($P34),0,SUM(IF(LEFT($P34,1)=LEFT(AP34,1),$M$4),IF(RIGHT($P34,LEN($P34)-2)=RIGHT(AP34,LEN(AP34)-2),$M$5)))</f>
        <v>0</v>
      </c>
      <c r="AR34" t="s">
        <v>308</v>
      </c>
      <c r="AS34" s="200">
        <f t="shared" ref="AS34" si="1115">IF(ISBLANK($P34),0,SUM(IF(LEFT($P34,1)=LEFT(AR34,1),$M$4),IF(RIGHT($P34,LEN($P34)-2)=RIGHT(AR34,LEN(AR34)-2),$M$5)))</f>
        <v>0</v>
      </c>
      <c r="AT34" t="s">
        <v>271</v>
      </c>
      <c r="AU34" s="200">
        <f t="shared" ref="AU34" si="1116">IF(ISBLANK($P34),0,SUM(IF(LEFT($P34,1)=LEFT(AT34,1),$M$4),IF(RIGHT($P34,LEN($P34)-2)=RIGHT(AT34,LEN(AT34)-2),$M$5)))</f>
        <v>0</v>
      </c>
      <c r="AV34" t="s">
        <v>320</v>
      </c>
      <c r="AW34" s="200">
        <f t="shared" ref="AW34" si="1117">IF(ISBLANK($P34),0,SUM(IF(LEFT($P34,1)=LEFT(AV34,1),$M$4),IF(RIGHT($P34,LEN($P34)-2)=RIGHT(AV34,LEN(AV34)-2),$M$5)))</f>
        <v>0</v>
      </c>
      <c r="AX34" t="s">
        <v>271</v>
      </c>
      <c r="AY34" s="200">
        <f t="shared" ref="AY34" si="1118">IF(ISBLANK($P34),0,SUM(IF(LEFT($P34,1)=LEFT(AX34,1),$M$4),IF(RIGHT($P34,LEN($P34)-2)=RIGHT(AX34,LEN(AX34)-2),$M$5)))</f>
        <v>0</v>
      </c>
      <c r="AZ34" t="s">
        <v>308</v>
      </c>
      <c r="BA34" s="200">
        <f t="shared" ref="BA34" si="1119">IF(ISBLANK($P34),0,SUM(IF(LEFT($P34,1)=LEFT(AZ34,1),$M$4),IF(RIGHT($P34,LEN($P34)-2)=RIGHT(AZ34,LEN(AZ34)-2),$M$5)))</f>
        <v>0</v>
      </c>
      <c r="BB34" t="s">
        <v>320</v>
      </c>
      <c r="BC34" s="200">
        <f t="shared" ref="BC34" si="1120">IF(ISBLANK($P34),0,SUM(IF(LEFT($P34,1)=LEFT(BB34,1),$M$4),IF(RIGHT($P34,LEN($P34)-2)=RIGHT(BB34,LEN(BB34)-2),$M$5)))</f>
        <v>0</v>
      </c>
      <c r="BD34" t="s">
        <v>320</v>
      </c>
      <c r="BE34" s="200">
        <f t="shared" ref="BE34" si="1121">IF(ISBLANK($P34),0,SUM(IF(LEFT($P34,1)=LEFT(BD34,1),$M$4),IF(RIGHT($P34,LEN($P34)-2)=RIGHT(BD34,LEN(BD34)-2),$M$5)))</f>
        <v>0</v>
      </c>
      <c r="BF34" t="s">
        <v>308</v>
      </c>
      <c r="BG34" s="200">
        <f t="shared" ref="BG34" si="1122">IF(ISBLANK($P34),0,SUM(IF(LEFT($P34,1)=LEFT(BF34,1),$M$4),IF(RIGHT($P34,LEN($P34)-2)=RIGHT(BF34,LEN(BF34)-2),$M$5)))</f>
        <v>0</v>
      </c>
      <c r="BH34" t="s">
        <v>267</v>
      </c>
      <c r="BI34" s="200">
        <f t="shared" ref="BI34" si="1123">IF(ISBLANK($P34),0,SUM(IF(LEFT($P34,1)=LEFT(BH34,1),$M$4),IF(RIGHT($P34,LEN($P34)-2)=RIGHT(BH34,LEN(BH34)-2),$M$5)))</f>
        <v>0</v>
      </c>
      <c r="BJ34" t="s">
        <v>308</v>
      </c>
      <c r="BK34" s="200">
        <f t="shared" ref="BK34" si="1124">IF(ISBLANK($P34),0,SUM(IF(LEFT($P34,1)=LEFT(BJ34,1),$M$4),IF(RIGHT($P34,LEN($P34)-2)=RIGHT(BJ34,LEN(BJ34)-2),$M$5)))</f>
        <v>0</v>
      </c>
      <c r="BL34" t="s">
        <v>308</v>
      </c>
      <c r="BM34" s="200">
        <f t="shared" ref="BM34" si="1125">IF(ISBLANK($P34),0,SUM(IF(LEFT($P34,1)=LEFT(BL34,1),$M$4),IF(RIGHT($P34,LEN($P34)-2)=RIGHT(BL34,LEN(BL34)-2),$M$5)))</f>
        <v>0</v>
      </c>
      <c r="BN34" t="s">
        <v>322</v>
      </c>
      <c r="BO34" s="200">
        <f t="shared" ref="BO34" si="1126">IF(ISBLANK($P34),0,SUM(IF(LEFT($P34,1)=LEFT(BN34,1),$M$4),IF(RIGHT($P34,LEN($P34)-2)=RIGHT(BN34,LEN(BN34)-2),$M$5)))</f>
        <v>0</v>
      </c>
      <c r="BP34" t="s">
        <v>308</v>
      </c>
      <c r="BQ34" s="200">
        <f t="shared" ref="BQ34" si="1127">IF(ISBLANK($P34),0,SUM(IF(LEFT($P34,1)=LEFT(BP34,1),$M$4),IF(RIGHT($P34,LEN($P34)-2)=RIGHT(BP34,LEN(BP34)-2),$M$5)))</f>
        <v>0</v>
      </c>
      <c r="BR34" t="s">
        <v>308</v>
      </c>
      <c r="BS34" s="200">
        <f t="shared" ref="BS34" si="1128">IF(ISBLANK($P34),0,SUM(IF(LEFT($P34,1)=LEFT(BR34,1),$M$4),IF(RIGHT($P34,LEN($P34)-2)=RIGHT(BR34,LEN(BR34)-2),$M$5)))</f>
        <v>0</v>
      </c>
      <c r="BT34" t="s">
        <v>308</v>
      </c>
      <c r="BU34" s="200">
        <f t="shared" ref="BU34" si="1129">IF(ISBLANK($P34),0,SUM(IF(LEFT($P34,1)=LEFT(BT34,1),$M$4),IF(RIGHT($P34,LEN($P34)-2)=RIGHT(BT34,LEN(BT34)-2),$M$5)))</f>
        <v>0</v>
      </c>
      <c r="BV34" t="s">
        <v>322</v>
      </c>
      <c r="BW34" s="200">
        <f t="shared" ref="BW34" si="1130">IF(ISBLANK($P34),0,SUM(IF(LEFT($P34,1)=LEFT(BV34,1),$M$4),IF(RIGHT($P34,LEN($P34)-2)=RIGHT(BV34,LEN(BV34)-2),$M$5)))</f>
        <v>0</v>
      </c>
      <c r="BX34" t="s">
        <v>267</v>
      </c>
      <c r="BY34" s="200">
        <f t="shared" ref="BY34" si="1131">IF(ISBLANK($P34),0,SUM(IF(LEFT($P34,1)=LEFT(BX34,1),$M$4),IF(RIGHT($P34,LEN($P34)-2)=RIGHT(BX34,LEN(BX34)-2),$M$5)))</f>
        <v>0</v>
      </c>
      <c r="BZ34" t="s">
        <v>266</v>
      </c>
      <c r="CA34" s="200">
        <f t="shared" ref="CA34" si="1132">IF(ISBLANK($P34),0,SUM(IF(LEFT($P34,1)=LEFT(BZ34,1),$M$4),IF(RIGHT($P34,LEN($P34)-2)=RIGHT(BZ34,LEN(BZ34)-2),$M$5)))</f>
        <v>0</v>
      </c>
      <c r="CB34" t="s">
        <v>308</v>
      </c>
      <c r="CC34" s="200">
        <f t="shared" ref="CC34" si="1133">IF(ISBLANK($P34),0,SUM(IF(LEFT($P34,1)=LEFT(CB34,1),$M$4),IF(RIGHT($P34,LEN($P34)-2)=RIGHT(CB34,LEN(CB34)-2),$M$5)))</f>
        <v>0</v>
      </c>
      <c r="CD34" t="s">
        <v>267</v>
      </c>
      <c r="CE34" s="200">
        <f t="shared" ref="CE34" si="1134">IF(ISBLANK($P34),0,SUM(IF(LEFT($P34,1)=LEFT(CD34,1),$M$4),IF(RIGHT($P34,LEN($P34)-2)=RIGHT(CD34,LEN(CD34)-2),$M$5)))</f>
        <v>0</v>
      </c>
      <c r="CF34" s="197" t="s">
        <v>322</v>
      </c>
      <c r="CG34" s="200">
        <f t="shared" ref="CG34" si="1135">IF(ISBLANK($P34),0,SUM(IF(LEFT($P34,1)=LEFT(CF34,1),$M$4),IF(RIGHT($P34,LEN($P34)-2)=RIGHT(CF34,LEN(CF34)-2),$M$5)))</f>
        <v>0</v>
      </c>
      <c r="CH34" t="s">
        <v>308</v>
      </c>
      <c r="CI34" s="200">
        <f t="shared" ref="CI34" si="1136">IF(ISBLANK($P34),0,SUM(IF(LEFT($P34,1)=LEFT(CH34,1),$M$4),IF(RIGHT($P34,LEN($P34)-2)=RIGHT(CH34,LEN(CH34)-2),$M$5)))</f>
        <v>0</v>
      </c>
      <c r="CJ34" t="s">
        <v>322</v>
      </c>
      <c r="CK34" s="200">
        <f t="shared" ref="CK34" si="1137">IF(ISBLANK($P34),0,SUM(IF(LEFT($P34,1)=LEFT(CJ34,1),$M$4),IF(RIGHT($P34,LEN($P34)-2)=RIGHT(CJ34,LEN(CJ34)-2),$M$5)))</f>
        <v>0</v>
      </c>
      <c r="CL34" s="197" t="s">
        <v>322</v>
      </c>
      <c r="CM34" s="200">
        <f t="shared" ref="CM34" si="1138">IF(ISBLANK($P34),0,SUM(IF(LEFT($P34,1)=LEFT(CL34,1),$M$4),IF(RIGHT($P34,LEN($P34)-2)=RIGHT(CL34,LEN(CL34)-2),$M$5)))</f>
        <v>0</v>
      </c>
      <c r="CN34" t="s">
        <v>308</v>
      </c>
      <c r="CO34" s="200">
        <f t="shared" ref="CO34" si="1139">IF(ISBLANK($P34),0,SUM(IF(LEFT($P34,1)=LEFT(CN34,1),$M$4),IF(RIGHT($P34,LEN($P34)-2)=RIGHT(CN34,LEN(CN34)-2),$M$5)))</f>
        <v>0</v>
      </c>
      <c r="CP34" t="s">
        <v>308</v>
      </c>
      <c r="CQ34" s="200">
        <f t="shared" ref="CQ34" si="1140">IF(ISBLANK($P34),0,SUM(IF(LEFT($P34,1)=LEFT(CP34,1),$M$4),IF(RIGHT($P34,LEN($P34)-2)=RIGHT(CP34,LEN(CP34)-2),$M$5)))</f>
        <v>0</v>
      </c>
      <c r="CR34" t="s">
        <v>320</v>
      </c>
      <c r="CS34" s="200">
        <f t="shared" ref="CS34" si="1141">IF(ISBLANK($P34),0,SUM(IF(LEFT($P34,1)=LEFT(CR34,1),$M$4),IF(RIGHT($P34,LEN($P34)-2)=RIGHT(CR34,LEN(CR34)-2),$M$5)))</f>
        <v>0</v>
      </c>
      <c r="CT34" s="197" t="s">
        <v>267</v>
      </c>
      <c r="CU34" s="200">
        <f t="shared" ref="CU34" si="1142">IF(ISBLANK($P34),0,SUM(IF(LEFT($P34,1)=LEFT(CT34,1),$M$4),IF(RIGHT($P34,LEN($P34)-2)=RIGHT(CT34,LEN(CT34)-2),$M$5)))</f>
        <v>0</v>
      </c>
      <c r="CV34" s="197" t="s">
        <v>322</v>
      </c>
      <c r="CW34" s="200">
        <f t="shared" ref="CW34" si="1143">IF(ISBLANK($P34),0,SUM(IF(LEFT($P34,1)=LEFT(CV34,1),$M$4),IF(RIGHT($P34,LEN($P34)-2)=RIGHT(CV34,LEN(CV34)-2),$M$5)))</f>
        <v>0</v>
      </c>
      <c r="CX34" s="197" t="s">
        <v>267</v>
      </c>
      <c r="CY34" s="200">
        <f t="shared" ref="CY34" si="1144">IF(ISBLANK($P34),0,SUM(IF(LEFT($P34,1)=LEFT(CX34,1),$M$4),IF(RIGHT($P34,LEN($P34)-2)=RIGHT(CX34,LEN(CX34)-2),$M$5)))</f>
        <v>0</v>
      </c>
      <c r="CZ34" s="197" t="s">
        <v>269</v>
      </c>
      <c r="DA34" s="200">
        <f t="shared" ref="DA34" si="1145">IF(ISBLANK($P34),0,SUM(IF(LEFT($P34,1)=LEFT(CZ34,1),$M$4),IF(RIGHT($P34,LEN($P34)-2)=RIGHT(CZ34,LEN(CZ34)-2),$M$5)))</f>
        <v>0</v>
      </c>
    </row>
    <row r="35" spans="1:105" x14ac:dyDescent="0.25">
      <c r="A35" s="188" t="s">
        <v>368</v>
      </c>
      <c r="B35" s="189">
        <f t="shared" si="722"/>
        <v>2</v>
      </c>
      <c r="C35" s="189">
        <f t="shared" si="723"/>
        <v>2.0350000000000001</v>
      </c>
      <c r="D35" s="189">
        <f>RANK(Tabla6[[#This Row],[PUNTOS1]],Tabla6[PUNTOS1],0)</f>
        <v>19</v>
      </c>
      <c r="E35" s="189">
        <f>RANK(Tabla6[[#This Row],[PUNTOS2]],Tabla6[PUNTOS2],0)</f>
        <v>35</v>
      </c>
      <c r="F35" s="188" t="str">
        <f t="shared" si="724"/>
        <v>JORGE VILLABONA</v>
      </c>
      <c r="G35" s="188">
        <f t="shared" si="725"/>
        <v>2</v>
      </c>
      <c r="H35" s="94"/>
      <c r="I35" s="94"/>
      <c r="J35" s="189">
        <f t="shared" si="467"/>
        <v>17</v>
      </c>
      <c r="K35" s="200" t="str">
        <f>IF(Tabla5[[#This Row],[Puntos]]=M34,".",Tabla5[[#This Row],[PosReal]])</f>
        <v>.</v>
      </c>
      <c r="L35" s="193" t="str">
        <f>VLOOKUP(J35,Tabla6[[ORDEN2]:[PUNTOS]],2,FALSE)</f>
        <v>CARLOS SABANDO</v>
      </c>
      <c r="M35" s="194">
        <f>VLOOKUP(J35,Tabla6[[ORDEN2]:[PUNTOS]],3,FALSE)</f>
        <v>3</v>
      </c>
      <c r="O35" s="10" t="s">
        <v>301</v>
      </c>
      <c r="P35" s="10"/>
      <c r="Q35" s="5"/>
      <c r="R35" s="97" t="s">
        <v>323</v>
      </c>
      <c r="S35" s="200">
        <f t="shared" si="2"/>
        <v>0</v>
      </c>
      <c r="T35" s="97" t="s">
        <v>262</v>
      </c>
      <c r="U35" s="200">
        <f t="shared" si="2"/>
        <v>0</v>
      </c>
      <c r="V35" s="97" t="s">
        <v>271</v>
      </c>
      <c r="W35" s="200">
        <f t="shared" ref="W35" si="1146">IF(ISBLANK($P35),0,SUM(IF(LEFT($P35,1)=LEFT(V35,1),$M$4),IF(RIGHT($P35,LEN($P35)-2)=RIGHT(V35,LEN(V35)-2),$M$5)))</f>
        <v>0</v>
      </c>
      <c r="X35" s="97" t="s">
        <v>268</v>
      </c>
      <c r="Y35" s="200">
        <f t="shared" ref="Y35" si="1147">IF(ISBLANK($P35),0,SUM(IF(LEFT($P35,1)=LEFT(X35,1),$M$4),IF(RIGHT($P35,LEN($P35)-2)=RIGHT(X35,LEN(X35)-2),$M$5)))</f>
        <v>0</v>
      </c>
      <c r="Z35" s="97" t="s">
        <v>268</v>
      </c>
      <c r="AA35" s="200">
        <f t="shared" ref="AA35" si="1148">IF(ISBLANK($P35),0,SUM(IF(LEFT($P35,1)=LEFT(Z35,1),$M$4),IF(RIGHT($P35,LEN($P35)-2)=RIGHT(Z35,LEN(Z35)-2),$M$5)))</f>
        <v>0</v>
      </c>
      <c r="AB35" s="97" t="s">
        <v>262</v>
      </c>
      <c r="AC35" s="200">
        <f t="shared" ref="AC35" si="1149">IF(ISBLANK($P35),0,SUM(IF(LEFT($P35,1)=LEFT(AB35,1),$M$4),IF(RIGHT($P35,LEN($P35)-2)=RIGHT(AB35,LEN(AB35)-2),$M$5)))</f>
        <v>0</v>
      </c>
      <c r="AD35" t="s">
        <v>262</v>
      </c>
      <c r="AE35" s="200">
        <f t="shared" ref="AE35" si="1150">IF(ISBLANK($P35),0,SUM(IF(LEFT($P35,1)=LEFT(AD35,1),$M$4),IF(RIGHT($P35,LEN($P35)-2)=RIGHT(AD35,LEN(AD35)-2),$M$5)))</f>
        <v>0</v>
      </c>
      <c r="AF35" t="s">
        <v>326</v>
      </c>
      <c r="AG35" s="200">
        <f t="shared" ref="AG35" si="1151">IF(ISBLANK($P35),0,SUM(IF(LEFT($P35,1)=LEFT(AF35,1),$M$4),IF(RIGHT($P35,LEN($P35)-2)=RIGHT(AF35,LEN(AF35)-2),$M$5)))</f>
        <v>0</v>
      </c>
      <c r="AH35" t="s">
        <v>262</v>
      </c>
      <c r="AI35" s="200">
        <f t="shared" ref="AI35" si="1152">IF(ISBLANK($P35),0,SUM(IF(LEFT($P35,1)=LEFT(AH35,1),$M$4),IF(RIGHT($P35,LEN($P35)-2)=RIGHT(AH35,LEN(AH35)-2),$M$5)))</f>
        <v>0</v>
      </c>
      <c r="AJ35" t="s">
        <v>262</v>
      </c>
      <c r="AK35" s="200">
        <f t="shared" ref="AK35" si="1153">IF(ISBLANK($P35),0,SUM(IF(LEFT($P35,1)=LEFT(AJ35,1),$M$4),IF(RIGHT($P35,LEN($P35)-2)=RIGHT(AJ35,LEN(AJ35)-2),$M$5)))</f>
        <v>0</v>
      </c>
      <c r="AL35" t="s">
        <v>322</v>
      </c>
      <c r="AM35" s="200">
        <f t="shared" ref="AM35" si="1154">IF(ISBLANK($P35),0,SUM(IF(LEFT($P35,1)=LEFT(AL35,1),$M$4),IF(RIGHT($P35,LEN($P35)-2)=RIGHT(AL35,LEN(AL35)-2),$M$5)))</f>
        <v>0</v>
      </c>
      <c r="AN35" t="s">
        <v>326</v>
      </c>
      <c r="AO35" s="200">
        <f t="shared" ref="AO35" si="1155">IF(ISBLANK($P35),0,SUM(IF(LEFT($P35,1)=LEFT(AN35,1),$M$4),IF(RIGHT($P35,LEN($P35)-2)=RIGHT(AN35,LEN(AN35)-2),$M$5)))</f>
        <v>0</v>
      </c>
      <c r="AP35" t="s">
        <v>330</v>
      </c>
      <c r="AQ35" s="200">
        <f t="shared" ref="AQ35" si="1156">IF(ISBLANK($P35),0,SUM(IF(LEFT($P35,1)=LEFT(AP35,1),$M$4),IF(RIGHT($P35,LEN($P35)-2)=RIGHT(AP35,LEN(AP35)-2),$M$5)))</f>
        <v>0</v>
      </c>
      <c r="AR35" t="s">
        <v>335</v>
      </c>
      <c r="AS35" s="200">
        <f t="shared" ref="AS35" si="1157">IF(ISBLANK($P35),0,SUM(IF(LEFT($P35,1)=LEFT(AR35,1),$M$4),IF(RIGHT($P35,LEN($P35)-2)=RIGHT(AR35,LEN(AR35)-2),$M$5)))</f>
        <v>0</v>
      </c>
      <c r="AT35" t="s">
        <v>264</v>
      </c>
      <c r="AU35" s="200">
        <f t="shared" ref="AU35" si="1158">IF(ISBLANK($P35),0,SUM(IF(LEFT($P35,1)=LEFT(AT35,1),$M$4),IF(RIGHT($P35,LEN($P35)-2)=RIGHT(AT35,LEN(AT35)-2),$M$5)))</f>
        <v>0</v>
      </c>
      <c r="AV35" t="s">
        <v>271</v>
      </c>
      <c r="AW35" s="200">
        <f t="shared" ref="AW35" si="1159">IF(ISBLANK($P35),0,SUM(IF(LEFT($P35,1)=LEFT(AV35,1),$M$4),IF(RIGHT($P35,LEN($P35)-2)=RIGHT(AV35,LEN(AV35)-2),$M$5)))</f>
        <v>0</v>
      </c>
      <c r="AX35" t="s">
        <v>330</v>
      </c>
      <c r="AY35" s="200">
        <f t="shared" ref="AY35" si="1160">IF(ISBLANK($P35),0,SUM(IF(LEFT($P35,1)=LEFT(AX35,1),$M$4),IF(RIGHT($P35,LEN($P35)-2)=RIGHT(AX35,LEN(AX35)-2),$M$5)))</f>
        <v>0</v>
      </c>
      <c r="AZ35" t="s">
        <v>262</v>
      </c>
      <c r="BA35" s="200">
        <f t="shared" ref="BA35" si="1161">IF(ISBLANK($P35),0,SUM(IF(LEFT($P35,1)=LEFT(AZ35,1),$M$4),IF(RIGHT($P35,LEN($P35)-2)=RIGHT(AZ35,LEN(AZ35)-2),$M$5)))</f>
        <v>0</v>
      </c>
      <c r="BB35" t="s">
        <v>262</v>
      </c>
      <c r="BC35" s="200">
        <f t="shared" ref="BC35" si="1162">IF(ISBLANK($P35),0,SUM(IF(LEFT($P35,1)=LEFT(BB35,1),$M$4),IF(RIGHT($P35,LEN($P35)-2)=RIGHT(BB35,LEN(BB35)-2),$M$5)))</f>
        <v>0</v>
      </c>
      <c r="BD35" t="s">
        <v>271</v>
      </c>
      <c r="BE35" s="200">
        <f t="shared" ref="BE35" si="1163">IF(ISBLANK($P35),0,SUM(IF(LEFT($P35,1)=LEFT(BD35,1),$M$4),IF(RIGHT($P35,LEN($P35)-2)=RIGHT(BD35,LEN(BD35)-2),$M$5)))</f>
        <v>0</v>
      </c>
      <c r="BF35" t="s">
        <v>335</v>
      </c>
      <c r="BG35" s="200">
        <f t="shared" ref="BG35" si="1164">IF(ISBLANK($P35),0,SUM(IF(LEFT($P35,1)=LEFT(BF35,1),$M$4),IF(RIGHT($P35,LEN($P35)-2)=RIGHT(BF35,LEN(BF35)-2),$M$5)))</f>
        <v>0</v>
      </c>
      <c r="BH35" t="s">
        <v>330</v>
      </c>
      <c r="BI35" s="200">
        <f t="shared" ref="BI35" si="1165">IF(ISBLANK($P35),0,SUM(IF(LEFT($P35,1)=LEFT(BH35,1),$M$4),IF(RIGHT($P35,LEN($P35)-2)=RIGHT(BH35,LEN(BH35)-2),$M$5)))</f>
        <v>0</v>
      </c>
      <c r="BJ35" t="s">
        <v>330</v>
      </c>
      <c r="BK35" s="200">
        <f t="shared" ref="BK35" si="1166">IF(ISBLANK($P35),0,SUM(IF(LEFT($P35,1)=LEFT(BJ35,1),$M$4),IF(RIGHT($P35,LEN($P35)-2)=RIGHT(BJ35,LEN(BJ35)-2),$M$5)))</f>
        <v>0</v>
      </c>
      <c r="BL35" t="s">
        <v>271</v>
      </c>
      <c r="BM35" s="200">
        <f t="shared" ref="BM35" si="1167">IF(ISBLANK($P35),0,SUM(IF(LEFT($P35,1)=LEFT(BL35,1),$M$4),IF(RIGHT($P35,LEN($P35)-2)=RIGHT(BL35,LEN(BL35)-2),$M$5)))</f>
        <v>0</v>
      </c>
      <c r="BN35" t="s">
        <v>330</v>
      </c>
      <c r="BO35" s="200">
        <f t="shared" ref="BO35" si="1168">IF(ISBLANK($P35),0,SUM(IF(LEFT($P35,1)=LEFT(BN35,1),$M$4),IF(RIGHT($P35,LEN($P35)-2)=RIGHT(BN35,LEN(BN35)-2),$M$5)))</f>
        <v>0</v>
      </c>
      <c r="BP35" t="s">
        <v>271</v>
      </c>
      <c r="BQ35" s="200">
        <f t="shared" ref="BQ35" si="1169">IF(ISBLANK($P35),0,SUM(IF(LEFT($P35,1)=LEFT(BP35,1),$M$4),IF(RIGHT($P35,LEN($P35)-2)=RIGHT(BP35,LEN(BP35)-2),$M$5)))</f>
        <v>0</v>
      </c>
      <c r="BR35" t="s">
        <v>262</v>
      </c>
      <c r="BS35" s="200">
        <f t="shared" ref="BS35" si="1170">IF(ISBLANK($P35),0,SUM(IF(LEFT($P35,1)=LEFT(BR35,1),$M$4),IF(RIGHT($P35,LEN($P35)-2)=RIGHT(BR35,LEN(BR35)-2),$M$5)))</f>
        <v>0</v>
      </c>
      <c r="BT35" t="s">
        <v>268</v>
      </c>
      <c r="BU35" s="200">
        <f t="shared" ref="BU35" si="1171">IF(ISBLANK($P35),0,SUM(IF(LEFT($P35,1)=LEFT(BT35,1),$M$4),IF(RIGHT($P35,LEN($P35)-2)=RIGHT(BT35,LEN(BT35)-2),$M$5)))</f>
        <v>0</v>
      </c>
      <c r="BV35" t="s">
        <v>346</v>
      </c>
      <c r="BW35" s="200">
        <f t="shared" ref="BW35" si="1172">IF(ISBLANK($P35),0,SUM(IF(LEFT($P35,1)=LEFT(BV35,1),$M$4),IF(RIGHT($P35,LEN($P35)-2)=RIGHT(BV35,LEN(BV35)-2),$M$5)))</f>
        <v>0</v>
      </c>
      <c r="BX35" t="s">
        <v>323</v>
      </c>
      <c r="BY35" s="200">
        <f t="shared" ref="BY35" si="1173">IF(ISBLANK($P35),0,SUM(IF(LEFT($P35,1)=LEFT(BX35,1),$M$4),IF(RIGHT($P35,LEN($P35)-2)=RIGHT(BX35,LEN(BX35)-2),$M$5)))</f>
        <v>0</v>
      </c>
      <c r="BZ35" t="s">
        <v>271</v>
      </c>
      <c r="CA35" s="200">
        <f t="shared" ref="CA35" si="1174">IF(ISBLANK($P35),0,SUM(IF(LEFT($P35,1)=LEFT(BZ35,1),$M$4),IF(RIGHT($P35,LEN($P35)-2)=RIGHT(BZ35,LEN(BZ35)-2),$M$5)))</f>
        <v>0</v>
      </c>
      <c r="CB35" t="s">
        <v>323</v>
      </c>
      <c r="CC35" s="200">
        <f t="shared" ref="CC35" si="1175">IF(ISBLANK($P35),0,SUM(IF(LEFT($P35,1)=LEFT(CB35,1),$M$4),IF(RIGHT($P35,LEN($P35)-2)=RIGHT(CB35,LEN(CB35)-2),$M$5)))</f>
        <v>0</v>
      </c>
      <c r="CD35" t="s">
        <v>267</v>
      </c>
      <c r="CE35" s="200">
        <f t="shared" ref="CE35" si="1176">IF(ISBLANK($P35),0,SUM(IF(LEFT($P35,1)=LEFT(CD35,1),$M$4),IF(RIGHT($P35,LEN($P35)-2)=RIGHT(CD35,LEN(CD35)-2),$M$5)))</f>
        <v>0</v>
      </c>
      <c r="CF35" s="197" t="s">
        <v>323</v>
      </c>
      <c r="CG35" s="200">
        <f t="shared" ref="CG35" si="1177">IF(ISBLANK($P35),0,SUM(IF(LEFT($P35,1)=LEFT(CF35,1),$M$4),IF(RIGHT($P35,LEN($P35)-2)=RIGHT(CF35,LEN(CF35)-2),$M$5)))</f>
        <v>0</v>
      </c>
      <c r="CH35" t="s">
        <v>330</v>
      </c>
      <c r="CI35" s="200">
        <f t="shared" ref="CI35" si="1178">IF(ISBLANK($P35),0,SUM(IF(LEFT($P35,1)=LEFT(CH35,1),$M$4),IF(RIGHT($P35,LEN($P35)-2)=RIGHT(CH35,LEN(CH35)-2),$M$5)))</f>
        <v>0</v>
      </c>
      <c r="CJ35" t="s">
        <v>326</v>
      </c>
      <c r="CK35" s="200">
        <f t="shared" ref="CK35" si="1179">IF(ISBLANK($P35),0,SUM(IF(LEFT($P35,1)=LEFT(CJ35,1),$M$4),IF(RIGHT($P35,LEN($P35)-2)=RIGHT(CJ35,LEN(CJ35)-2),$M$5)))</f>
        <v>0</v>
      </c>
      <c r="CL35" s="197" t="s">
        <v>330</v>
      </c>
      <c r="CM35" s="200">
        <f t="shared" ref="CM35" si="1180">IF(ISBLANK($P35),0,SUM(IF(LEFT($P35,1)=LEFT(CL35,1),$M$4),IF(RIGHT($P35,LEN($P35)-2)=RIGHT(CL35,LEN(CL35)-2),$M$5)))</f>
        <v>0</v>
      </c>
      <c r="CN35" t="s">
        <v>262</v>
      </c>
      <c r="CO35" s="200">
        <f t="shared" ref="CO35" si="1181">IF(ISBLANK($P35),0,SUM(IF(LEFT($P35,1)=LEFT(CN35,1),$M$4),IF(RIGHT($P35,LEN($P35)-2)=RIGHT(CN35,LEN(CN35)-2),$M$5)))</f>
        <v>0</v>
      </c>
      <c r="CP35" t="s">
        <v>323</v>
      </c>
      <c r="CQ35" s="200">
        <f t="shared" ref="CQ35" si="1182">IF(ISBLANK($P35),0,SUM(IF(LEFT($P35,1)=LEFT(CP35,1),$M$4),IF(RIGHT($P35,LEN($P35)-2)=RIGHT(CP35,LEN(CP35)-2),$M$5)))</f>
        <v>0</v>
      </c>
      <c r="CR35" t="s">
        <v>326</v>
      </c>
      <c r="CS35" s="200">
        <f t="shared" ref="CS35" si="1183">IF(ISBLANK($P35),0,SUM(IF(LEFT($P35,1)=LEFT(CR35,1),$M$4),IF(RIGHT($P35,LEN($P35)-2)=RIGHT(CR35,LEN(CR35)-2),$M$5)))</f>
        <v>0</v>
      </c>
      <c r="CT35" s="197" t="s">
        <v>262</v>
      </c>
      <c r="CU35" s="200">
        <f t="shared" ref="CU35" si="1184">IF(ISBLANK($P35),0,SUM(IF(LEFT($P35,1)=LEFT(CT35,1),$M$4),IF(RIGHT($P35,LEN($P35)-2)=RIGHT(CT35,LEN(CT35)-2),$M$5)))</f>
        <v>0</v>
      </c>
      <c r="CV35" s="197" t="s">
        <v>262</v>
      </c>
      <c r="CW35" s="200">
        <f t="shared" ref="CW35" si="1185">IF(ISBLANK($P35),0,SUM(IF(LEFT($P35,1)=LEFT(CV35,1),$M$4),IF(RIGHT($P35,LEN($P35)-2)=RIGHT(CV35,LEN(CV35)-2),$M$5)))</f>
        <v>0</v>
      </c>
      <c r="CX35" s="197" t="s">
        <v>326</v>
      </c>
      <c r="CY35" s="200">
        <f t="shared" ref="CY35" si="1186">IF(ISBLANK($P35),0,SUM(IF(LEFT($P35,1)=LEFT(CX35,1),$M$4),IF(RIGHT($P35,LEN($P35)-2)=RIGHT(CX35,LEN(CX35)-2),$M$5)))</f>
        <v>0</v>
      </c>
      <c r="CZ35" s="197" t="s">
        <v>267</v>
      </c>
      <c r="DA35" s="200">
        <f t="shared" ref="DA35" si="1187">IF(ISBLANK($P35),0,SUM(IF(LEFT($P35,1)=LEFT(CZ35,1),$M$4),IF(RIGHT($P35,LEN($P35)-2)=RIGHT(CZ35,LEN(CZ35)-2),$M$5)))</f>
        <v>0</v>
      </c>
    </row>
    <row r="36" spans="1:105" x14ac:dyDescent="0.25">
      <c r="A36" s="188" t="s">
        <v>371</v>
      </c>
      <c r="B36" s="189">
        <f t="shared" si="722"/>
        <v>3</v>
      </c>
      <c r="C36" s="189">
        <f t="shared" si="723"/>
        <v>3.036</v>
      </c>
      <c r="D36" s="189">
        <f>RANK(Tabla6[[#This Row],[PUNTOS1]],Tabla6[PUNTOS1],0)</f>
        <v>1</v>
      </c>
      <c r="E36" s="189">
        <f>RANK(Tabla6[[#This Row],[PUNTOS2]],Tabla6[PUNTOS2],0)</f>
        <v>11</v>
      </c>
      <c r="F36" s="188" t="str">
        <f t="shared" si="724"/>
        <v>JOSU RAMIREZ</v>
      </c>
      <c r="G36" s="188">
        <f t="shared" si="725"/>
        <v>3</v>
      </c>
      <c r="H36" s="94"/>
      <c r="I36" s="94"/>
      <c r="J36" s="189">
        <f t="shared" si="467"/>
        <v>18</v>
      </c>
      <c r="K36" s="200" t="str">
        <f>IF(Tabla5[[#This Row],[Puntos]]=M35,".",Tabla5[[#This Row],[PosReal]])</f>
        <v>.</v>
      </c>
      <c r="L36" s="193" t="str">
        <f>VLOOKUP(J36,Tabla6[[ORDEN2]:[PUNTOS]],2,FALSE)</f>
        <v>ALVARO HUARTE</v>
      </c>
      <c r="M36" s="194">
        <f>VLOOKUP(J36,Tabla6[[ORDEN2]:[PUNTOS]],3,FALSE)</f>
        <v>3</v>
      </c>
      <c r="O36" s="10" t="s">
        <v>302</v>
      </c>
      <c r="P36" s="10"/>
      <c r="Q36" s="5"/>
      <c r="R36" s="97" t="s">
        <v>308</v>
      </c>
      <c r="S36" s="200">
        <f t="shared" si="2"/>
        <v>0</v>
      </c>
      <c r="T36" s="97" t="s">
        <v>267</v>
      </c>
      <c r="U36" s="200">
        <f t="shared" si="2"/>
        <v>0</v>
      </c>
      <c r="V36" s="97" t="s">
        <v>271</v>
      </c>
      <c r="W36" s="200">
        <f t="shared" ref="W36" si="1188">IF(ISBLANK($P36),0,SUM(IF(LEFT($P36,1)=LEFT(V36,1),$M$4),IF(RIGHT($P36,LEN($P36)-2)=RIGHT(V36,LEN(V36)-2),$M$5)))</f>
        <v>0</v>
      </c>
      <c r="X36" s="97" t="s">
        <v>268</v>
      </c>
      <c r="Y36" s="200">
        <f t="shared" ref="Y36" si="1189">IF(ISBLANK($P36),0,SUM(IF(LEFT($P36,1)=LEFT(X36,1),$M$4),IF(RIGHT($P36,LEN($P36)-2)=RIGHT(X36,LEN(X36)-2),$M$5)))</f>
        <v>0</v>
      </c>
      <c r="Z36" s="97" t="s">
        <v>308</v>
      </c>
      <c r="AA36" s="200">
        <f t="shared" ref="AA36" si="1190">IF(ISBLANK($P36),0,SUM(IF(LEFT($P36,1)=LEFT(Z36,1),$M$4),IF(RIGHT($P36,LEN($P36)-2)=RIGHT(Z36,LEN(Z36)-2),$M$5)))</f>
        <v>0</v>
      </c>
      <c r="AB36" s="97" t="s">
        <v>267</v>
      </c>
      <c r="AC36" s="200">
        <f t="shared" ref="AC36" si="1191">IF(ISBLANK($P36),0,SUM(IF(LEFT($P36,1)=LEFT(AB36,1),$M$4),IF(RIGHT($P36,LEN($P36)-2)=RIGHT(AB36,LEN(AB36)-2),$M$5)))</f>
        <v>0</v>
      </c>
      <c r="AD36" t="s">
        <v>308</v>
      </c>
      <c r="AE36" s="200">
        <f t="shared" ref="AE36" si="1192">IF(ISBLANK($P36),0,SUM(IF(LEFT($P36,1)=LEFT(AD36,1),$M$4),IF(RIGHT($P36,LEN($P36)-2)=RIGHT(AD36,LEN(AD36)-2),$M$5)))</f>
        <v>0</v>
      </c>
      <c r="AF36" t="s">
        <v>321</v>
      </c>
      <c r="AG36" s="200">
        <f t="shared" ref="AG36" si="1193">IF(ISBLANK($P36),0,SUM(IF(LEFT($P36,1)=LEFT(AF36,1),$M$4),IF(RIGHT($P36,LEN($P36)-2)=RIGHT(AF36,LEN(AF36)-2),$M$5)))</f>
        <v>0</v>
      </c>
      <c r="AH36" t="s">
        <v>267</v>
      </c>
      <c r="AI36" s="200">
        <f t="shared" ref="AI36" si="1194">IF(ISBLANK($P36),0,SUM(IF(LEFT($P36,1)=LEFT(AH36,1),$M$4),IF(RIGHT($P36,LEN($P36)-2)=RIGHT(AH36,LEN(AH36)-2),$M$5)))</f>
        <v>0</v>
      </c>
      <c r="AJ36" t="s">
        <v>322</v>
      </c>
      <c r="AK36" s="200">
        <f t="shared" ref="AK36" si="1195">IF(ISBLANK($P36),0,SUM(IF(LEFT($P36,1)=LEFT(AJ36,1),$M$4),IF(RIGHT($P36,LEN($P36)-2)=RIGHT(AJ36,LEN(AJ36)-2),$M$5)))</f>
        <v>0</v>
      </c>
      <c r="AL36" t="s">
        <v>330</v>
      </c>
      <c r="AM36" s="200">
        <f t="shared" ref="AM36" si="1196">IF(ISBLANK($P36),0,SUM(IF(LEFT($P36,1)=LEFT(AL36,1),$M$4),IF(RIGHT($P36,LEN($P36)-2)=RIGHT(AL36,LEN(AL36)-2),$M$5)))</f>
        <v>0</v>
      </c>
      <c r="AN36" t="s">
        <v>322</v>
      </c>
      <c r="AO36" s="200">
        <f t="shared" ref="AO36" si="1197">IF(ISBLANK($P36),0,SUM(IF(LEFT($P36,1)=LEFT(AN36,1),$M$4),IF(RIGHT($P36,LEN($P36)-2)=RIGHT(AN36,LEN(AN36)-2),$M$5)))</f>
        <v>0</v>
      </c>
      <c r="AP36" t="s">
        <v>322</v>
      </c>
      <c r="AQ36" s="200">
        <f t="shared" ref="AQ36" si="1198">IF(ISBLANK($P36),0,SUM(IF(LEFT($P36,1)=LEFT(AP36,1),$M$4),IF(RIGHT($P36,LEN($P36)-2)=RIGHT(AP36,LEN(AP36)-2),$M$5)))</f>
        <v>0</v>
      </c>
      <c r="AR36" t="s">
        <v>267</v>
      </c>
      <c r="AS36" s="200">
        <f t="shared" ref="AS36" si="1199">IF(ISBLANK($P36),0,SUM(IF(LEFT($P36,1)=LEFT(AR36,1),$M$4),IF(RIGHT($P36,LEN($P36)-2)=RIGHT(AR36,LEN(AR36)-2),$M$5)))</f>
        <v>0</v>
      </c>
      <c r="AT36" t="s">
        <v>268</v>
      </c>
      <c r="AU36" s="200">
        <f t="shared" ref="AU36" si="1200">IF(ISBLANK($P36),0,SUM(IF(LEFT($P36,1)=LEFT(AT36,1),$M$4),IF(RIGHT($P36,LEN($P36)-2)=RIGHT(AT36,LEN(AT36)-2),$M$5)))</f>
        <v>0</v>
      </c>
      <c r="AV36" t="s">
        <v>308</v>
      </c>
      <c r="AW36" s="200">
        <f t="shared" ref="AW36" si="1201">IF(ISBLANK($P36),0,SUM(IF(LEFT($P36,1)=LEFT(AV36,1),$M$4),IF(RIGHT($P36,LEN($P36)-2)=RIGHT(AV36,LEN(AV36)-2),$M$5)))</f>
        <v>0</v>
      </c>
      <c r="AX36" t="s">
        <v>271</v>
      </c>
      <c r="AY36" s="200">
        <f t="shared" ref="AY36" si="1202">IF(ISBLANK($P36),0,SUM(IF(LEFT($P36,1)=LEFT(AX36,1),$M$4),IF(RIGHT($P36,LEN($P36)-2)=RIGHT(AX36,LEN(AX36)-2),$M$5)))</f>
        <v>0</v>
      </c>
      <c r="AZ36" t="s">
        <v>271</v>
      </c>
      <c r="BA36" s="200">
        <f t="shared" ref="BA36" si="1203">IF(ISBLANK($P36),0,SUM(IF(LEFT($P36,1)=LEFT(AZ36,1),$M$4),IF(RIGHT($P36,LEN($P36)-2)=RIGHT(AZ36,LEN(AZ36)-2),$M$5)))</f>
        <v>0</v>
      </c>
      <c r="BB36" t="s">
        <v>322</v>
      </c>
      <c r="BC36" s="200">
        <f t="shared" ref="BC36" si="1204">IF(ISBLANK($P36),0,SUM(IF(LEFT($P36,1)=LEFT(BB36,1),$M$4),IF(RIGHT($P36,LEN($P36)-2)=RIGHT(BB36,LEN(BB36)-2),$M$5)))</f>
        <v>0</v>
      </c>
      <c r="BD36" t="s">
        <v>271</v>
      </c>
      <c r="BE36" s="200">
        <f t="shared" ref="BE36" si="1205">IF(ISBLANK($P36),0,SUM(IF(LEFT($P36,1)=LEFT(BD36,1),$M$4),IF(RIGHT($P36,LEN($P36)-2)=RIGHT(BD36,LEN(BD36)-2),$M$5)))</f>
        <v>0</v>
      </c>
      <c r="BF36" t="s">
        <v>268</v>
      </c>
      <c r="BG36" s="200">
        <f t="shared" ref="BG36" si="1206">IF(ISBLANK($P36),0,SUM(IF(LEFT($P36,1)=LEFT(BF36,1),$M$4),IF(RIGHT($P36,LEN($P36)-2)=RIGHT(BF36,LEN(BF36)-2),$M$5)))</f>
        <v>0</v>
      </c>
      <c r="BH36" t="s">
        <v>308</v>
      </c>
      <c r="BI36" s="200">
        <f t="shared" ref="BI36" si="1207">IF(ISBLANK($P36),0,SUM(IF(LEFT($P36,1)=LEFT(BH36,1),$M$4),IF(RIGHT($P36,LEN($P36)-2)=RIGHT(BH36,LEN(BH36)-2),$M$5)))</f>
        <v>0</v>
      </c>
      <c r="BJ36" t="s">
        <v>267</v>
      </c>
      <c r="BK36" s="200">
        <f t="shared" ref="BK36" si="1208">IF(ISBLANK($P36),0,SUM(IF(LEFT($P36,1)=LEFT(BJ36,1),$M$4),IF(RIGHT($P36,LEN($P36)-2)=RIGHT(BJ36,LEN(BJ36)-2),$M$5)))</f>
        <v>0</v>
      </c>
      <c r="BL36" t="s">
        <v>264</v>
      </c>
      <c r="BM36" s="200">
        <f t="shared" ref="BM36" si="1209">IF(ISBLANK($P36),0,SUM(IF(LEFT($P36,1)=LEFT(BL36,1),$M$4),IF(RIGHT($P36,LEN($P36)-2)=RIGHT(BL36,LEN(BL36)-2),$M$5)))</f>
        <v>0</v>
      </c>
      <c r="BN36" t="s">
        <v>322</v>
      </c>
      <c r="BO36" s="200">
        <f t="shared" ref="BO36" si="1210">IF(ISBLANK($P36),0,SUM(IF(LEFT($P36,1)=LEFT(BN36,1),$M$4),IF(RIGHT($P36,LEN($P36)-2)=RIGHT(BN36,LEN(BN36)-2),$M$5)))</f>
        <v>0</v>
      </c>
      <c r="BP36" t="s">
        <v>308</v>
      </c>
      <c r="BQ36" s="200">
        <f t="shared" ref="BQ36" si="1211">IF(ISBLANK($P36),0,SUM(IF(LEFT($P36,1)=LEFT(BP36,1),$M$4),IF(RIGHT($P36,LEN($P36)-2)=RIGHT(BP36,LEN(BP36)-2),$M$5)))</f>
        <v>0</v>
      </c>
      <c r="BR36" t="s">
        <v>321</v>
      </c>
      <c r="BS36" s="200">
        <f t="shared" ref="BS36" si="1212">IF(ISBLANK($P36),0,SUM(IF(LEFT($P36,1)=LEFT(BR36,1),$M$4),IF(RIGHT($P36,LEN($P36)-2)=RIGHT(BR36,LEN(BR36)-2),$M$5)))</f>
        <v>0</v>
      </c>
      <c r="BT36" t="s">
        <v>321</v>
      </c>
      <c r="BU36" s="200">
        <f t="shared" ref="BU36" si="1213">IF(ISBLANK($P36),0,SUM(IF(LEFT($P36,1)=LEFT(BT36,1),$M$4),IF(RIGHT($P36,LEN($P36)-2)=RIGHT(BT36,LEN(BT36)-2),$M$5)))</f>
        <v>0</v>
      </c>
      <c r="BV36" t="s">
        <v>322</v>
      </c>
      <c r="BW36" s="200">
        <f t="shared" ref="BW36" si="1214">IF(ISBLANK($P36),0,SUM(IF(LEFT($P36,1)=LEFT(BV36,1),$M$4),IF(RIGHT($P36,LEN($P36)-2)=RIGHT(BV36,LEN(BV36)-2),$M$5)))</f>
        <v>0</v>
      </c>
      <c r="BX36" t="s">
        <v>308</v>
      </c>
      <c r="BY36" s="200">
        <f t="shared" ref="BY36" si="1215">IF(ISBLANK($P36),0,SUM(IF(LEFT($P36,1)=LEFT(BX36,1),$M$4),IF(RIGHT($P36,LEN($P36)-2)=RIGHT(BX36,LEN(BX36)-2),$M$5)))</f>
        <v>0</v>
      </c>
      <c r="BZ36" t="s">
        <v>321</v>
      </c>
      <c r="CA36" s="200">
        <f t="shared" ref="CA36" si="1216">IF(ISBLANK($P36),0,SUM(IF(LEFT($P36,1)=LEFT(BZ36,1),$M$4),IF(RIGHT($P36,LEN($P36)-2)=RIGHT(BZ36,LEN(BZ36)-2),$M$5)))</f>
        <v>0</v>
      </c>
      <c r="CB36" t="s">
        <v>267</v>
      </c>
      <c r="CC36" s="200">
        <f t="shared" ref="CC36" si="1217">IF(ISBLANK($P36),0,SUM(IF(LEFT($P36,1)=LEFT(CB36,1),$M$4),IF(RIGHT($P36,LEN($P36)-2)=RIGHT(CB36,LEN(CB36)-2),$M$5)))</f>
        <v>0</v>
      </c>
      <c r="CD36" t="s">
        <v>267</v>
      </c>
      <c r="CE36" s="200">
        <f t="shared" ref="CE36" si="1218">IF(ISBLANK($P36),0,SUM(IF(LEFT($P36,1)=LEFT(CD36,1),$M$4),IF(RIGHT($P36,LEN($P36)-2)=RIGHT(CD36,LEN(CD36)-2),$M$5)))</f>
        <v>0</v>
      </c>
      <c r="CF36" s="197" t="s">
        <v>271</v>
      </c>
      <c r="CG36" s="200">
        <f t="shared" ref="CG36" si="1219">IF(ISBLANK($P36),0,SUM(IF(LEFT($P36,1)=LEFT(CF36,1),$M$4),IF(RIGHT($P36,LEN($P36)-2)=RIGHT(CF36,LEN(CF36)-2),$M$5)))</f>
        <v>0</v>
      </c>
      <c r="CH36" t="s">
        <v>271</v>
      </c>
      <c r="CI36" s="200">
        <f t="shared" ref="CI36" si="1220">IF(ISBLANK($P36),0,SUM(IF(LEFT($P36,1)=LEFT(CH36,1),$M$4),IF(RIGHT($P36,LEN($P36)-2)=RIGHT(CH36,LEN(CH36)-2),$M$5)))</f>
        <v>0</v>
      </c>
      <c r="CJ36" t="s">
        <v>308</v>
      </c>
      <c r="CK36" s="200">
        <f t="shared" ref="CK36" si="1221">IF(ISBLANK($P36),0,SUM(IF(LEFT($P36,1)=LEFT(CJ36,1),$M$4),IF(RIGHT($P36,LEN($P36)-2)=RIGHT(CJ36,LEN(CJ36)-2),$M$5)))</f>
        <v>0</v>
      </c>
      <c r="CL36" s="197" t="s">
        <v>322</v>
      </c>
      <c r="CM36" s="200">
        <f t="shared" ref="CM36" si="1222">IF(ISBLANK($P36),0,SUM(IF(LEFT($P36,1)=LEFT(CL36,1),$M$4),IF(RIGHT($P36,LEN($P36)-2)=RIGHT(CL36,LEN(CL36)-2),$M$5)))</f>
        <v>0</v>
      </c>
      <c r="CN36" t="s">
        <v>321</v>
      </c>
      <c r="CO36" s="200">
        <f t="shared" ref="CO36" si="1223">IF(ISBLANK($P36),0,SUM(IF(LEFT($P36,1)=LEFT(CN36,1),$M$4),IF(RIGHT($P36,LEN($P36)-2)=RIGHT(CN36,LEN(CN36)-2),$M$5)))</f>
        <v>0</v>
      </c>
      <c r="CP36" t="s">
        <v>322</v>
      </c>
      <c r="CQ36" s="200">
        <f t="shared" ref="CQ36" si="1224">IF(ISBLANK($P36),0,SUM(IF(LEFT($P36,1)=LEFT(CP36,1),$M$4),IF(RIGHT($P36,LEN($P36)-2)=RIGHT(CP36,LEN(CP36)-2),$M$5)))</f>
        <v>0</v>
      </c>
      <c r="CR36" t="s">
        <v>267</v>
      </c>
      <c r="CS36" s="200">
        <f t="shared" ref="CS36" si="1225">IF(ISBLANK($P36),0,SUM(IF(LEFT($P36,1)=LEFT(CR36,1),$M$4),IF(RIGHT($P36,LEN($P36)-2)=RIGHT(CR36,LEN(CR36)-2),$M$5)))</f>
        <v>0</v>
      </c>
      <c r="CT36" s="197" t="s">
        <v>323</v>
      </c>
      <c r="CU36" s="200">
        <f t="shared" ref="CU36" si="1226">IF(ISBLANK($P36),0,SUM(IF(LEFT($P36,1)=LEFT(CT36,1),$M$4),IF(RIGHT($P36,LEN($P36)-2)=RIGHT(CT36,LEN(CT36)-2),$M$5)))</f>
        <v>0</v>
      </c>
      <c r="CV36" s="197" t="s">
        <v>308</v>
      </c>
      <c r="CW36" s="200">
        <f t="shared" ref="CW36" si="1227">IF(ISBLANK($P36),0,SUM(IF(LEFT($P36,1)=LEFT(CV36,1),$M$4),IF(RIGHT($P36,LEN($P36)-2)=RIGHT(CV36,LEN(CV36)-2),$M$5)))</f>
        <v>0</v>
      </c>
      <c r="CX36" s="197" t="s">
        <v>308</v>
      </c>
      <c r="CY36" s="200">
        <f t="shared" ref="CY36" si="1228">IF(ISBLANK($P36),0,SUM(IF(LEFT($P36,1)=LEFT(CX36,1),$M$4),IF(RIGHT($P36,LEN($P36)-2)=RIGHT(CX36,LEN(CX36)-2),$M$5)))</f>
        <v>0</v>
      </c>
      <c r="CZ36" s="197" t="s">
        <v>267</v>
      </c>
      <c r="DA36" s="200">
        <f t="shared" ref="DA36" si="1229">IF(ISBLANK($P36),0,SUM(IF(LEFT($P36,1)=LEFT(CZ36,1),$M$4),IF(RIGHT($P36,LEN($P36)-2)=RIGHT(CZ36,LEN(CZ36)-2),$M$5)))</f>
        <v>0</v>
      </c>
    </row>
    <row r="37" spans="1:105" x14ac:dyDescent="0.25">
      <c r="A37" s="188" t="s">
        <v>372</v>
      </c>
      <c r="B37" s="189">
        <f t="shared" si="722"/>
        <v>3</v>
      </c>
      <c r="C37" s="189">
        <f t="shared" si="723"/>
        <v>3.0369999999999999</v>
      </c>
      <c r="D37" s="189">
        <f>RANK(Tabla6[[#This Row],[PUNTOS1]],Tabla6[PUNTOS1],0)</f>
        <v>1</v>
      </c>
      <c r="E37" s="189">
        <f>RANK(Tabla6[[#This Row],[PUNTOS2]],Tabla6[PUNTOS2],0)</f>
        <v>10</v>
      </c>
      <c r="F37" s="188" t="str">
        <f t="shared" si="724"/>
        <v>JUANLU CARDOSO</v>
      </c>
      <c r="G37" s="188">
        <f t="shared" si="725"/>
        <v>3</v>
      </c>
      <c r="H37" s="94"/>
      <c r="I37" s="94"/>
      <c r="J37" s="189">
        <f t="shared" si="467"/>
        <v>19</v>
      </c>
      <c r="K37" s="200">
        <f>IF(Tabla5[[#This Row],[Puntos]]=M36,".",Tabla5[[#This Row],[PosReal]])</f>
        <v>19</v>
      </c>
      <c r="L37" s="193" t="str">
        <f>VLOOKUP(J37,Tabla6[[ORDEN2]:[PUNTOS]],2,FALSE)</f>
        <v>OLGA ESQUIROZ</v>
      </c>
      <c r="M37" s="194">
        <f>VLOOKUP(J37,Tabla6[[ORDEN2]:[PUNTOS]],3,FALSE)</f>
        <v>2</v>
      </c>
      <c r="O37" s="10" t="s">
        <v>303</v>
      </c>
      <c r="P37" s="10"/>
      <c r="Q37" s="5"/>
      <c r="R37" s="97" t="s">
        <v>322</v>
      </c>
      <c r="S37" s="200">
        <f t="shared" si="2"/>
        <v>0</v>
      </c>
      <c r="T37" s="97" t="s">
        <v>263</v>
      </c>
      <c r="U37" s="200">
        <f t="shared" si="2"/>
        <v>0</v>
      </c>
      <c r="V37" s="97" t="s">
        <v>322</v>
      </c>
      <c r="W37" s="200">
        <f t="shared" ref="W37" si="1230">IF(ISBLANK($P37),0,SUM(IF(LEFT($P37,1)=LEFT(V37,1),$M$4),IF(RIGHT($P37,LEN($P37)-2)=RIGHT(V37,LEN(V37)-2),$M$5)))</f>
        <v>0</v>
      </c>
      <c r="X37" s="97" t="s">
        <v>322</v>
      </c>
      <c r="Y37" s="200">
        <f t="shared" ref="Y37" si="1231">IF(ISBLANK($P37),0,SUM(IF(LEFT($P37,1)=LEFT(X37,1),$M$4),IF(RIGHT($P37,LEN($P37)-2)=RIGHT(X37,LEN(X37)-2),$M$5)))</f>
        <v>0</v>
      </c>
      <c r="Z37" s="97" t="s">
        <v>268</v>
      </c>
      <c r="AA37" s="200">
        <f t="shared" ref="AA37" si="1232">IF(ISBLANK($P37),0,SUM(IF(LEFT($P37,1)=LEFT(Z37,1),$M$4),IF(RIGHT($P37,LEN($P37)-2)=RIGHT(Z37,LEN(Z37)-2),$M$5)))</f>
        <v>0</v>
      </c>
      <c r="AB37" s="97" t="s">
        <v>266</v>
      </c>
      <c r="AC37" s="200">
        <f t="shared" ref="AC37" si="1233">IF(ISBLANK($P37),0,SUM(IF(LEFT($P37,1)=LEFT(AB37,1),$M$4),IF(RIGHT($P37,LEN($P37)-2)=RIGHT(AB37,LEN(AB37)-2),$M$5)))</f>
        <v>0</v>
      </c>
      <c r="AD37" t="s">
        <v>320</v>
      </c>
      <c r="AE37" s="200">
        <f t="shared" ref="AE37" si="1234">IF(ISBLANK($P37),0,SUM(IF(LEFT($P37,1)=LEFT(AD37,1),$M$4),IF(RIGHT($P37,LEN($P37)-2)=RIGHT(AD37,LEN(AD37)-2),$M$5)))</f>
        <v>0</v>
      </c>
      <c r="AF37" t="s">
        <v>322</v>
      </c>
      <c r="AG37" s="200">
        <f t="shared" ref="AG37" si="1235">IF(ISBLANK($P37),0,SUM(IF(LEFT($P37,1)=LEFT(AF37,1),$M$4),IF(RIGHT($P37,LEN($P37)-2)=RIGHT(AF37,LEN(AF37)-2),$M$5)))</f>
        <v>0</v>
      </c>
      <c r="AH37" t="s">
        <v>322</v>
      </c>
      <c r="AI37" s="200">
        <f t="shared" ref="AI37" si="1236">IF(ISBLANK($P37),0,SUM(IF(LEFT($P37,1)=LEFT(AH37,1),$M$4),IF(RIGHT($P37,LEN($P37)-2)=RIGHT(AH37,LEN(AH37)-2),$M$5)))</f>
        <v>0</v>
      </c>
      <c r="AJ37" t="s">
        <v>322</v>
      </c>
      <c r="AK37" s="200">
        <f t="shared" ref="AK37" si="1237">IF(ISBLANK($P37),0,SUM(IF(LEFT($P37,1)=LEFT(AJ37,1),$M$4),IF(RIGHT($P37,LEN($P37)-2)=RIGHT(AJ37,LEN(AJ37)-2),$M$5)))</f>
        <v>0</v>
      </c>
      <c r="AL37" t="s">
        <v>322</v>
      </c>
      <c r="AM37" s="200">
        <f t="shared" ref="AM37" si="1238">IF(ISBLANK($P37),0,SUM(IF(LEFT($P37,1)=LEFT(AL37,1),$M$4),IF(RIGHT($P37,LEN($P37)-2)=RIGHT(AL37,LEN(AL37)-2),$M$5)))</f>
        <v>0</v>
      </c>
      <c r="AN37" t="s">
        <v>271</v>
      </c>
      <c r="AO37" s="200">
        <f t="shared" ref="AO37" si="1239">IF(ISBLANK($P37),0,SUM(IF(LEFT($P37,1)=LEFT(AN37,1),$M$4),IF(RIGHT($P37,LEN($P37)-2)=RIGHT(AN37,LEN(AN37)-2),$M$5)))</f>
        <v>0</v>
      </c>
      <c r="AP37" t="s">
        <v>320</v>
      </c>
      <c r="AQ37" s="200">
        <f t="shared" ref="AQ37" si="1240">IF(ISBLANK($P37),0,SUM(IF(LEFT($P37,1)=LEFT(AP37,1),$M$4),IF(RIGHT($P37,LEN($P37)-2)=RIGHT(AP37,LEN(AP37)-2),$M$5)))</f>
        <v>0</v>
      </c>
      <c r="AR37" t="s">
        <v>364</v>
      </c>
      <c r="AS37" s="200">
        <f t="shared" ref="AS37" si="1241">IF(ISBLANK($P37),0,SUM(IF(LEFT($P37,1)=LEFT(AR37,1),$M$4),IF(RIGHT($P37,LEN($P37)-2)=RIGHT(AR37,LEN(AR37)-2),$M$5)))</f>
        <v>0</v>
      </c>
      <c r="AT37" t="s">
        <v>264</v>
      </c>
      <c r="AU37" s="200">
        <f t="shared" ref="AU37" si="1242">IF(ISBLANK($P37),0,SUM(IF(LEFT($P37,1)=LEFT(AT37,1),$M$4),IF(RIGHT($P37,LEN($P37)-2)=RIGHT(AT37,LEN(AT37)-2),$M$5)))</f>
        <v>0</v>
      </c>
      <c r="AV37" t="s">
        <v>320</v>
      </c>
      <c r="AW37" s="200">
        <f t="shared" ref="AW37" si="1243">IF(ISBLANK($P37),0,SUM(IF(LEFT($P37,1)=LEFT(AV37,1),$M$4),IF(RIGHT($P37,LEN($P37)-2)=RIGHT(AV37,LEN(AV37)-2),$M$5)))</f>
        <v>0</v>
      </c>
      <c r="AX37" t="s">
        <v>308</v>
      </c>
      <c r="AY37" s="200">
        <f t="shared" ref="AY37" si="1244">IF(ISBLANK($P37),0,SUM(IF(LEFT($P37,1)=LEFT(AX37,1),$M$4),IF(RIGHT($P37,LEN($P37)-2)=RIGHT(AX37,LEN(AX37)-2),$M$5)))</f>
        <v>0</v>
      </c>
      <c r="AZ37" t="s">
        <v>322</v>
      </c>
      <c r="BA37" s="200">
        <f t="shared" ref="BA37" si="1245">IF(ISBLANK($P37),0,SUM(IF(LEFT($P37,1)=LEFT(AZ37,1),$M$4),IF(RIGHT($P37,LEN($P37)-2)=RIGHT(AZ37,LEN(AZ37)-2),$M$5)))</f>
        <v>0</v>
      </c>
      <c r="BB37" t="s">
        <v>271</v>
      </c>
      <c r="BC37" s="200">
        <f t="shared" ref="BC37" si="1246">IF(ISBLANK($P37),0,SUM(IF(LEFT($P37,1)=LEFT(BB37,1),$M$4),IF(RIGHT($P37,LEN($P37)-2)=RIGHT(BB37,LEN(BB37)-2),$M$5)))</f>
        <v>0</v>
      </c>
      <c r="BD37" t="s">
        <v>308</v>
      </c>
      <c r="BE37" s="200">
        <f t="shared" ref="BE37" si="1247">IF(ISBLANK($P37),0,SUM(IF(LEFT($P37,1)=LEFT(BD37,1),$M$4),IF(RIGHT($P37,LEN($P37)-2)=RIGHT(BD37,LEN(BD37)-2),$M$5)))</f>
        <v>0</v>
      </c>
      <c r="BF37" t="s">
        <v>334</v>
      </c>
      <c r="BG37" s="200">
        <f t="shared" ref="BG37" si="1248">IF(ISBLANK($P37),0,SUM(IF(LEFT($P37,1)=LEFT(BF37,1),$M$4),IF(RIGHT($P37,LEN($P37)-2)=RIGHT(BF37,LEN(BF37)-2),$M$5)))</f>
        <v>0</v>
      </c>
      <c r="BH37" t="s">
        <v>322</v>
      </c>
      <c r="BI37" s="200">
        <f t="shared" ref="BI37" si="1249">IF(ISBLANK($P37),0,SUM(IF(LEFT($P37,1)=LEFT(BH37,1),$M$4),IF(RIGHT($P37,LEN($P37)-2)=RIGHT(BH37,LEN(BH37)-2),$M$5)))</f>
        <v>0</v>
      </c>
      <c r="BJ37" t="s">
        <v>266</v>
      </c>
      <c r="BK37" s="200">
        <f t="shared" ref="BK37" si="1250">IF(ISBLANK($P37),0,SUM(IF(LEFT($P37,1)=LEFT(BJ37,1),$M$4),IF(RIGHT($P37,LEN($P37)-2)=RIGHT(BJ37,LEN(BJ37)-2),$M$5)))</f>
        <v>0</v>
      </c>
      <c r="BL37" t="s">
        <v>322</v>
      </c>
      <c r="BM37" s="200">
        <f t="shared" ref="BM37" si="1251">IF(ISBLANK($P37),0,SUM(IF(LEFT($P37,1)=LEFT(BL37,1),$M$4),IF(RIGHT($P37,LEN($P37)-2)=RIGHT(BL37,LEN(BL37)-2),$M$5)))</f>
        <v>0</v>
      </c>
      <c r="BN37" t="s">
        <v>334</v>
      </c>
      <c r="BO37" s="200">
        <f t="shared" ref="BO37" si="1252">IF(ISBLANK($P37),0,SUM(IF(LEFT($P37,1)=LEFT(BN37,1),$M$4),IF(RIGHT($P37,LEN($P37)-2)=RIGHT(BN37,LEN(BN37)-2),$M$5)))</f>
        <v>0</v>
      </c>
      <c r="BP37" t="s">
        <v>308</v>
      </c>
      <c r="BQ37" s="200">
        <f t="shared" ref="BQ37" si="1253">IF(ISBLANK($P37),0,SUM(IF(LEFT($P37,1)=LEFT(BP37,1),$M$4),IF(RIGHT($P37,LEN($P37)-2)=RIGHT(BP37,LEN(BP37)-2),$M$5)))</f>
        <v>0</v>
      </c>
      <c r="BR37" t="s">
        <v>334</v>
      </c>
      <c r="BS37" s="200">
        <f t="shared" ref="BS37" si="1254">IF(ISBLANK($P37),0,SUM(IF(LEFT($P37,1)=LEFT(BR37,1),$M$4),IF(RIGHT($P37,LEN($P37)-2)=RIGHT(BR37,LEN(BR37)-2),$M$5)))</f>
        <v>0</v>
      </c>
      <c r="BT37" t="s">
        <v>364</v>
      </c>
      <c r="BU37" s="200">
        <f t="shared" ref="BU37" si="1255">IF(ISBLANK($P37),0,SUM(IF(LEFT($P37,1)=LEFT(BT37,1),$M$4),IF(RIGHT($P37,LEN($P37)-2)=RIGHT(BT37,LEN(BT37)-2),$M$5)))</f>
        <v>0</v>
      </c>
      <c r="BV37" t="s">
        <v>320</v>
      </c>
      <c r="BW37" s="200">
        <f t="shared" ref="BW37" si="1256">IF(ISBLANK($P37),0,SUM(IF(LEFT($P37,1)=LEFT(BV37,1),$M$4),IF(RIGHT($P37,LEN($P37)-2)=RIGHT(BV37,LEN(BV37)-2),$M$5)))</f>
        <v>0</v>
      </c>
      <c r="BX37" t="s">
        <v>267</v>
      </c>
      <c r="BY37" s="200">
        <f t="shared" ref="BY37" si="1257">IF(ISBLANK($P37),0,SUM(IF(LEFT($P37,1)=LEFT(BX37,1),$M$4),IF(RIGHT($P37,LEN($P37)-2)=RIGHT(BX37,LEN(BX37)-2),$M$5)))</f>
        <v>0</v>
      </c>
      <c r="BZ37" t="s">
        <v>267</v>
      </c>
      <c r="CA37" s="200">
        <f t="shared" ref="CA37" si="1258">IF(ISBLANK($P37),0,SUM(IF(LEFT($P37,1)=LEFT(BZ37,1),$M$4),IF(RIGHT($P37,LEN($P37)-2)=RIGHT(BZ37,LEN(BZ37)-2),$M$5)))</f>
        <v>0</v>
      </c>
      <c r="CB37" t="s">
        <v>320</v>
      </c>
      <c r="CC37" s="200">
        <f t="shared" ref="CC37" si="1259">IF(ISBLANK($P37),0,SUM(IF(LEFT($P37,1)=LEFT(CB37,1),$M$4),IF(RIGHT($P37,LEN($P37)-2)=RIGHT(CB37,LEN(CB37)-2),$M$5)))</f>
        <v>0</v>
      </c>
      <c r="CD37" t="s">
        <v>266</v>
      </c>
      <c r="CE37" s="200">
        <f t="shared" ref="CE37" si="1260">IF(ISBLANK($P37),0,SUM(IF(LEFT($P37,1)=LEFT(CD37,1),$M$4),IF(RIGHT($P37,LEN($P37)-2)=RIGHT(CD37,LEN(CD37)-2),$M$5)))</f>
        <v>0</v>
      </c>
      <c r="CF37" s="197" t="s">
        <v>308</v>
      </c>
      <c r="CG37" s="200">
        <f t="shared" ref="CG37" si="1261">IF(ISBLANK($P37),0,SUM(IF(LEFT($P37,1)=LEFT(CF37,1),$M$4),IF(RIGHT($P37,LEN($P37)-2)=RIGHT(CF37,LEN(CF37)-2),$M$5)))</f>
        <v>0</v>
      </c>
      <c r="CH37" t="s">
        <v>267</v>
      </c>
      <c r="CI37" s="200">
        <f t="shared" ref="CI37" si="1262">IF(ISBLANK($P37),0,SUM(IF(LEFT($P37,1)=LEFT(CH37,1),$M$4),IF(RIGHT($P37,LEN($P37)-2)=RIGHT(CH37,LEN(CH37)-2),$M$5)))</f>
        <v>0</v>
      </c>
      <c r="CJ37" t="s">
        <v>320</v>
      </c>
      <c r="CK37" s="200">
        <f t="shared" ref="CK37" si="1263">IF(ISBLANK($P37),0,SUM(IF(LEFT($P37,1)=LEFT(CJ37,1),$M$4),IF(RIGHT($P37,LEN($P37)-2)=RIGHT(CJ37,LEN(CJ37)-2),$M$5)))</f>
        <v>0</v>
      </c>
      <c r="CL37" s="197" t="s">
        <v>322</v>
      </c>
      <c r="CM37" s="200">
        <f t="shared" ref="CM37" si="1264">IF(ISBLANK($P37),0,SUM(IF(LEFT($P37,1)=LEFT(CL37,1),$M$4),IF(RIGHT($P37,LEN($P37)-2)=RIGHT(CL37,LEN(CL37)-2),$M$5)))</f>
        <v>0</v>
      </c>
      <c r="CN37" t="s">
        <v>267</v>
      </c>
      <c r="CO37" s="200">
        <f t="shared" ref="CO37" si="1265">IF(ISBLANK($P37),0,SUM(IF(LEFT($P37,1)=LEFT(CN37,1),$M$4),IF(RIGHT($P37,LEN($P37)-2)=RIGHT(CN37,LEN(CN37)-2),$M$5)))</f>
        <v>0</v>
      </c>
      <c r="CP37" t="s">
        <v>308</v>
      </c>
      <c r="CQ37" s="200">
        <f t="shared" ref="CQ37" si="1266">IF(ISBLANK($P37),0,SUM(IF(LEFT($P37,1)=LEFT(CP37,1),$M$4),IF(RIGHT($P37,LEN($P37)-2)=RIGHT(CP37,LEN(CP37)-2),$M$5)))</f>
        <v>0</v>
      </c>
      <c r="CR37" t="s">
        <v>320</v>
      </c>
      <c r="CS37" s="200">
        <f t="shared" ref="CS37" si="1267">IF(ISBLANK($P37),0,SUM(IF(LEFT($P37,1)=LEFT(CR37,1),$M$4),IF(RIGHT($P37,LEN($P37)-2)=RIGHT(CR37,LEN(CR37)-2),$M$5)))</f>
        <v>0</v>
      </c>
      <c r="CT37" s="197" t="s">
        <v>308</v>
      </c>
      <c r="CU37" s="200">
        <f t="shared" ref="CU37" si="1268">IF(ISBLANK($P37),0,SUM(IF(LEFT($P37,1)=LEFT(CT37,1),$M$4),IF(RIGHT($P37,LEN($P37)-2)=RIGHT(CT37,LEN(CT37)-2),$M$5)))</f>
        <v>0</v>
      </c>
      <c r="CV37" s="197" t="s">
        <v>322</v>
      </c>
      <c r="CW37" s="200">
        <f t="shared" ref="CW37" si="1269">IF(ISBLANK($P37),0,SUM(IF(LEFT($P37,1)=LEFT(CV37,1),$M$4),IF(RIGHT($P37,LEN($P37)-2)=RIGHT(CV37,LEN(CV37)-2),$M$5)))</f>
        <v>0</v>
      </c>
      <c r="CX37" s="197" t="s">
        <v>322</v>
      </c>
      <c r="CY37" s="200">
        <f t="shared" ref="CY37" si="1270">IF(ISBLANK($P37),0,SUM(IF(LEFT($P37,1)=LEFT(CX37,1),$M$4),IF(RIGHT($P37,LEN($P37)-2)=RIGHT(CX37,LEN(CX37)-2),$M$5)))</f>
        <v>0</v>
      </c>
      <c r="CZ37" s="197" t="s">
        <v>334</v>
      </c>
      <c r="DA37" s="200">
        <f t="shared" ref="DA37" si="1271">IF(ISBLANK($P37),0,SUM(IF(LEFT($P37,1)=LEFT(CZ37,1),$M$4),IF(RIGHT($P37,LEN($P37)-2)=RIGHT(CZ37,LEN(CZ37)-2),$M$5)))</f>
        <v>0</v>
      </c>
    </row>
    <row r="38" spans="1:105" x14ac:dyDescent="0.25">
      <c r="A38" s="188" t="s">
        <v>374</v>
      </c>
      <c r="B38" s="189">
        <f t="shared" si="722"/>
        <v>3</v>
      </c>
      <c r="C38" s="189">
        <f t="shared" si="723"/>
        <v>3.0379999999999998</v>
      </c>
      <c r="D38" s="189">
        <f>RANK(Tabla6[[#This Row],[PUNTOS1]],Tabla6[PUNTOS1],0)</f>
        <v>1</v>
      </c>
      <c r="E38" s="189">
        <f>RANK(Tabla6[[#This Row],[PUNTOS2]],Tabla6[PUNTOS2],0)</f>
        <v>9</v>
      </c>
      <c r="F38" s="188" t="str">
        <f t="shared" si="724"/>
        <v>KEPA LARREA</v>
      </c>
      <c r="G38" s="188">
        <f t="shared" si="725"/>
        <v>3</v>
      </c>
      <c r="H38" s="94"/>
      <c r="I38" s="94"/>
      <c r="J38" s="189">
        <f t="shared" si="467"/>
        <v>20</v>
      </c>
      <c r="K38" s="200" t="str">
        <f>IF(Tabla5[[#This Row],[Puntos]]=M37,".",Tabla5[[#This Row],[PosReal]])</f>
        <v>.</v>
      </c>
      <c r="L38" s="193" t="str">
        <f>VLOOKUP(J38,Tabla6[[ORDEN2]:[PUNTOS]],2,FALSE)</f>
        <v>IOSU UREÑA</v>
      </c>
      <c r="M38" s="194">
        <f>VLOOKUP(J38,Tabla6[[ORDEN2]:[PUNTOS]],3,FALSE)</f>
        <v>2</v>
      </c>
      <c r="O38" s="10" t="s">
        <v>304</v>
      </c>
      <c r="P38" s="10"/>
      <c r="Q38" s="5"/>
      <c r="R38" s="97" t="s">
        <v>323</v>
      </c>
      <c r="S38" s="200">
        <f t="shared" si="2"/>
        <v>0</v>
      </c>
      <c r="T38" s="97" t="s">
        <v>271</v>
      </c>
      <c r="U38" s="200">
        <f t="shared" si="2"/>
        <v>0</v>
      </c>
      <c r="V38" s="97" t="s">
        <v>321</v>
      </c>
      <c r="W38" s="200">
        <f t="shared" ref="W38" si="1272">IF(ISBLANK($P38),0,SUM(IF(LEFT($P38,1)=LEFT(V38,1),$M$4),IF(RIGHT($P38,LEN($P38)-2)=RIGHT(V38,LEN(V38)-2),$M$5)))</f>
        <v>0</v>
      </c>
      <c r="X38" s="97" t="s">
        <v>323</v>
      </c>
      <c r="Y38" s="200">
        <f t="shared" ref="Y38" si="1273">IF(ISBLANK($P38),0,SUM(IF(LEFT($P38,1)=LEFT(X38,1),$M$4),IF(RIGHT($P38,LEN($P38)-2)=RIGHT(X38,LEN(X38)-2),$M$5)))</f>
        <v>0</v>
      </c>
      <c r="Z38" s="97" t="s">
        <v>267</v>
      </c>
      <c r="AA38" s="200">
        <f t="shared" ref="AA38" si="1274">IF(ISBLANK($P38),0,SUM(IF(LEFT($P38,1)=LEFT(Z38,1),$M$4),IF(RIGHT($P38,LEN($P38)-2)=RIGHT(Z38,LEN(Z38)-2),$M$5)))</f>
        <v>0</v>
      </c>
      <c r="AB38" s="97" t="s">
        <v>321</v>
      </c>
      <c r="AC38" s="200">
        <f t="shared" ref="AC38" si="1275">IF(ISBLANK($P38),0,SUM(IF(LEFT($P38,1)=LEFT(AB38,1),$M$4),IF(RIGHT($P38,LEN($P38)-2)=RIGHT(AB38,LEN(AB38)-2),$M$5)))</f>
        <v>0</v>
      </c>
      <c r="AD38" t="s">
        <v>321</v>
      </c>
      <c r="AE38" s="200">
        <f t="shared" ref="AE38" si="1276">IF(ISBLANK($P38),0,SUM(IF(LEFT($P38,1)=LEFT(AD38,1),$M$4),IF(RIGHT($P38,LEN($P38)-2)=RIGHT(AD38,LEN(AD38)-2),$M$5)))</f>
        <v>0</v>
      </c>
      <c r="AF38" t="s">
        <v>271</v>
      </c>
      <c r="AG38" s="200">
        <f t="shared" ref="AG38" si="1277">IF(ISBLANK($P38),0,SUM(IF(LEFT($P38,1)=LEFT(AF38,1),$M$4),IF(RIGHT($P38,LEN($P38)-2)=RIGHT(AF38,LEN(AF38)-2),$M$5)))</f>
        <v>0</v>
      </c>
      <c r="AH38" t="s">
        <v>271</v>
      </c>
      <c r="AI38" s="200">
        <f t="shared" ref="AI38" si="1278">IF(ISBLANK($P38),0,SUM(IF(LEFT($P38,1)=LEFT(AH38,1),$M$4),IF(RIGHT($P38,LEN($P38)-2)=RIGHT(AH38,LEN(AH38)-2),$M$5)))</f>
        <v>0</v>
      </c>
      <c r="AJ38" t="s">
        <v>262</v>
      </c>
      <c r="AK38" s="200">
        <f t="shared" ref="AK38" si="1279">IF(ISBLANK($P38),0,SUM(IF(LEFT($P38,1)=LEFT(AJ38,1),$M$4),IF(RIGHT($P38,LEN($P38)-2)=RIGHT(AJ38,LEN(AJ38)-2),$M$5)))</f>
        <v>0</v>
      </c>
      <c r="AL38" t="s">
        <v>330</v>
      </c>
      <c r="AM38" s="200">
        <f t="shared" ref="AM38" si="1280">IF(ISBLANK($P38),0,SUM(IF(LEFT($P38,1)=LEFT(AL38,1),$M$4),IF(RIGHT($P38,LEN($P38)-2)=RIGHT(AL38,LEN(AL38)-2),$M$5)))</f>
        <v>0</v>
      </c>
      <c r="AN38" t="s">
        <v>267</v>
      </c>
      <c r="AO38" s="200">
        <f t="shared" ref="AO38" si="1281">IF(ISBLANK($P38),0,SUM(IF(LEFT($P38,1)=LEFT(AN38,1),$M$4),IF(RIGHT($P38,LEN($P38)-2)=RIGHT(AN38,LEN(AN38)-2),$M$5)))</f>
        <v>0</v>
      </c>
      <c r="AP38" t="s">
        <v>323</v>
      </c>
      <c r="AQ38" s="200">
        <f t="shared" ref="AQ38" si="1282">IF(ISBLANK($P38),0,SUM(IF(LEFT($P38,1)=LEFT(AP38,1),$M$4),IF(RIGHT($P38,LEN($P38)-2)=RIGHT(AP38,LEN(AP38)-2),$M$5)))</f>
        <v>0</v>
      </c>
      <c r="AR38" t="s">
        <v>330</v>
      </c>
      <c r="AS38" s="200">
        <f t="shared" ref="AS38" si="1283">IF(ISBLANK($P38),0,SUM(IF(LEFT($P38,1)=LEFT(AR38,1),$M$4),IF(RIGHT($P38,LEN($P38)-2)=RIGHT(AR38,LEN(AR38)-2),$M$5)))</f>
        <v>0</v>
      </c>
      <c r="AT38" t="s">
        <v>326</v>
      </c>
      <c r="AU38" s="200">
        <f t="shared" ref="AU38" si="1284">IF(ISBLANK($P38),0,SUM(IF(LEFT($P38,1)=LEFT(AT38,1),$M$4),IF(RIGHT($P38,LEN($P38)-2)=RIGHT(AT38,LEN(AT38)-2),$M$5)))</f>
        <v>0</v>
      </c>
      <c r="AV38" t="s">
        <v>321</v>
      </c>
      <c r="AW38" s="200">
        <f t="shared" ref="AW38" si="1285">IF(ISBLANK($P38),0,SUM(IF(LEFT($P38,1)=LEFT(AV38,1),$M$4),IF(RIGHT($P38,LEN($P38)-2)=RIGHT(AV38,LEN(AV38)-2),$M$5)))</f>
        <v>0</v>
      </c>
      <c r="AX38" t="s">
        <v>267</v>
      </c>
      <c r="AY38" s="200">
        <f t="shared" ref="AY38" si="1286">IF(ISBLANK($P38),0,SUM(IF(LEFT($P38,1)=LEFT(AX38,1),$M$4),IF(RIGHT($P38,LEN($P38)-2)=RIGHT(AX38,LEN(AX38)-2),$M$5)))</f>
        <v>0</v>
      </c>
      <c r="AZ38" t="s">
        <v>262</v>
      </c>
      <c r="BA38" s="200">
        <f t="shared" ref="BA38" si="1287">IF(ISBLANK($P38),0,SUM(IF(LEFT($P38,1)=LEFT(AZ38,1),$M$4),IF(RIGHT($P38,LEN($P38)-2)=RIGHT(AZ38,LEN(AZ38)-2),$M$5)))</f>
        <v>0</v>
      </c>
      <c r="BB38" t="s">
        <v>271</v>
      </c>
      <c r="BC38" s="200">
        <f t="shared" ref="BC38" si="1288">IF(ISBLANK($P38),0,SUM(IF(LEFT($P38,1)=LEFT(BB38,1),$M$4),IF(RIGHT($P38,LEN($P38)-2)=RIGHT(BB38,LEN(BB38)-2),$M$5)))</f>
        <v>0</v>
      </c>
      <c r="BD38" t="s">
        <v>323</v>
      </c>
      <c r="BE38" s="200">
        <f t="shared" ref="BE38" si="1289">IF(ISBLANK($P38),0,SUM(IF(LEFT($P38,1)=LEFT(BD38,1),$M$4),IF(RIGHT($P38,LEN($P38)-2)=RIGHT(BD38,LEN(BD38)-2),$M$5)))</f>
        <v>0</v>
      </c>
      <c r="BF38" t="s">
        <v>330</v>
      </c>
      <c r="BG38" s="200">
        <f t="shared" ref="BG38" si="1290">IF(ISBLANK($P38),0,SUM(IF(LEFT($P38,1)=LEFT(BF38,1),$M$4),IF(RIGHT($P38,LEN($P38)-2)=RIGHT(BF38,LEN(BF38)-2),$M$5)))</f>
        <v>0</v>
      </c>
      <c r="BH38" t="s">
        <v>271</v>
      </c>
      <c r="BI38" s="200">
        <f t="shared" ref="BI38" si="1291">IF(ISBLANK($P38),0,SUM(IF(LEFT($P38,1)=LEFT(BH38,1),$M$4),IF(RIGHT($P38,LEN($P38)-2)=RIGHT(BH38,LEN(BH38)-2),$M$5)))</f>
        <v>0</v>
      </c>
      <c r="BJ38" t="s">
        <v>321</v>
      </c>
      <c r="BK38" s="200">
        <f t="shared" ref="BK38" si="1292">IF(ISBLANK($P38),0,SUM(IF(LEFT($P38,1)=LEFT(BJ38,1),$M$4),IF(RIGHT($P38,LEN($P38)-2)=RIGHT(BJ38,LEN(BJ38)-2),$M$5)))</f>
        <v>0</v>
      </c>
      <c r="BL38" t="s">
        <v>271</v>
      </c>
      <c r="BM38" s="200">
        <f t="shared" ref="BM38" si="1293">IF(ISBLANK($P38),0,SUM(IF(LEFT($P38,1)=LEFT(BL38,1),$M$4),IF(RIGHT($P38,LEN($P38)-2)=RIGHT(BL38,LEN(BL38)-2),$M$5)))</f>
        <v>0</v>
      </c>
      <c r="BN38" t="s">
        <v>323</v>
      </c>
      <c r="BO38" s="200">
        <f t="shared" ref="BO38" si="1294">IF(ISBLANK($P38),0,SUM(IF(LEFT($P38,1)=LEFT(BN38,1),$M$4),IF(RIGHT($P38,LEN($P38)-2)=RIGHT(BN38,LEN(BN38)-2),$M$5)))</f>
        <v>0</v>
      </c>
      <c r="BP38" t="s">
        <v>323</v>
      </c>
      <c r="BQ38" s="200">
        <f t="shared" ref="BQ38" si="1295">IF(ISBLANK($P38),0,SUM(IF(LEFT($P38,1)=LEFT(BP38,1),$M$4),IF(RIGHT($P38,LEN($P38)-2)=RIGHT(BP38,LEN(BP38)-2),$M$5)))</f>
        <v>0</v>
      </c>
      <c r="BR38" t="s">
        <v>271</v>
      </c>
      <c r="BS38" s="200">
        <f t="shared" ref="BS38" si="1296">IF(ISBLANK($P38),0,SUM(IF(LEFT($P38,1)=LEFT(BR38,1),$M$4),IF(RIGHT($P38,LEN($P38)-2)=RIGHT(BR38,LEN(BR38)-2),$M$5)))</f>
        <v>0</v>
      </c>
      <c r="BT38" t="s">
        <v>323</v>
      </c>
      <c r="BU38" s="200">
        <f t="shared" ref="BU38" si="1297">IF(ISBLANK($P38),0,SUM(IF(LEFT($P38,1)=LEFT(BT38,1),$M$4),IF(RIGHT($P38,LEN($P38)-2)=RIGHT(BT38,LEN(BT38)-2),$M$5)))</f>
        <v>0</v>
      </c>
      <c r="BV38" t="s">
        <v>308</v>
      </c>
      <c r="BW38" s="200">
        <f t="shared" ref="BW38" si="1298">IF(ISBLANK($P38),0,SUM(IF(LEFT($P38,1)=LEFT(BV38,1),$M$4),IF(RIGHT($P38,LEN($P38)-2)=RIGHT(BV38,LEN(BV38)-2),$M$5)))</f>
        <v>0</v>
      </c>
      <c r="BX38" t="s">
        <v>323</v>
      </c>
      <c r="BY38" s="200">
        <f t="shared" ref="BY38" si="1299">IF(ISBLANK($P38),0,SUM(IF(LEFT($P38,1)=LEFT(BX38,1),$M$4),IF(RIGHT($P38,LEN($P38)-2)=RIGHT(BX38,LEN(BX38)-2),$M$5)))</f>
        <v>0</v>
      </c>
      <c r="BZ38" t="s">
        <v>271</v>
      </c>
      <c r="CA38" s="200">
        <f t="shared" ref="CA38" si="1300">IF(ISBLANK($P38),0,SUM(IF(LEFT($P38,1)=LEFT(BZ38,1),$M$4),IF(RIGHT($P38,LEN($P38)-2)=RIGHT(BZ38,LEN(BZ38)-2),$M$5)))</f>
        <v>0</v>
      </c>
      <c r="CB38" t="s">
        <v>321</v>
      </c>
      <c r="CC38" s="200">
        <f t="shared" ref="CC38" si="1301">IF(ISBLANK($P38),0,SUM(IF(LEFT($P38,1)=LEFT(CB38,1),$M$4),IF(RIGHT($P38,LEN($P38)-2)=RIGHT(CB38,LEN(CB38)-2),$M$5)))</f>
        <v>0</v>
      </c>
      <c r="CD38" t="s">
        <v>262</v>
      </c>
      <c r="CE38" s="200">
        <f t="shared" ref="CE38" si="1302">IF(ISBLANK($P38),0,SUM(IF(LEFT($P38,1)=LEFT(CD38,1),$M$4),IF(RIGHT($P38,LEN($P38)-2)=RIGHT(CD38,LEN(CD38)-2),$M$5)))</f>
        <v>0</v>
      </c>
      <c r="CF38" s="197" t="s">
        <v>271</v>
      </c>
      <c r="CG38" s="200">
        <f t="shared" ref="CG38" si="1303">IF(ISBLANK($P38),0,SUM(IF(LEFT($P38,1)=LEFT(CF38,1),$M$4),IF(RIGHT($P38,LEN($P38)-2)=RIGHT(CF38,LEN(CF38)-2),$M$5)))</f>
        <v>0</v>
      </c>
      <c r="CH38" t="s">
        <v>322</v>
      </c>
      <c r="CI38" s="200">
        <f t="shared" ref="CI38" si="1304">IF(ISBLANK($P38),0,SUM(IF(LEFT($P38,1)=LEFT(CH38,1),$M$4),IF(RIGHT($P38,LEN($P38)-2)=RIGHT(CH38,LEN(CH38)-2),$M$5)))</f>
        <v>0</v>
      </c>
      <c r="CJ38" t="s">
        <v>262</v>
      </c>
      <c r="CK38" s="200">
        <f t="shared" ref="CK38" si="1305">IF(ISBLANK($P38),0,SUM(IF(LEFT($P38,1)=LEFT(CJ38,1),$M$4),IF(RIGHT($P38,LEN($P38)-2)=RIGHT(CJ38,LEN(CJ38)-2),$M$5)))</f>
        <v>0</v>
      </c>
      <c r="CL38" s="197" t="s">
        <v>271</v>
      </c>
      <c r="CM38" s="200">
        <f t="shared" ref="CM38" si="1306">IF(ISBLANK($P38),0,SUM(IF(LEFT($P38,1)=LEFT(CL38,1),$M$4),IF(RIGHT($P38,LEN($P38)-2)=RIGHT(CL38,LEN(CL38)-2),$M$5)))</f>
        <v>0</v>
      </c>
      <c r="CN38" t="s">
        <v>323</v>
      </c>
      <c r="CO38" s="200">
        <f t="shared" ref="CO38" si="1307">IF(ISBLANK($P38),0,SUM(IF(LEFT($P38,1)=LEFT(CN38,1),$M$4),IF(RIGHT($P38,LEN($P38)-2)=RIGHT(CN38,LEN(CN38)-2),$M$5)))</f>
        <v>0</v>
      </c>
      <c r="CP38" t="s">
        <v>271</v>
      </c>
      <c r="CQ38" s="200">
        <f t="shared" ref="CQ38" si="1308">IF(ISBLANK($P38),0,SUM(IF(LEFT($P38,1)=LEFT(CP38,1),$M$4),IF(RIGHT($P38,LEN($P38)-2)=RIGHT(CP38,LEN(CP38)-2),$M$5)))</f>
        <v>0</v>
      </c>
      <c r="CR38" t="s">
        <v>308</v>
      </c>
      <c r="CS38" s="200">
        <f t="shared" ref="CS38" si="1309">IF(ISBLANK($P38),0,SUM(IF(LEFT($P38,1)=LEFT(CR38,1),$M$4),IF(RIGHT($P38,LEN($P38)-2)=RIGHT(CR38,LEN(CR38)-2),$M$5)))</f>
        <v>0</v>
      </c>
      <c r="CT38" s="197" t="s">
        <v>330</v>
      </c>
      <c r="CU38" s="200">
        <f t="shared" ref="CU38" si="1310">IF(ISBLANK($P38),0,SUM(IF(LEFT($P38,1)=LEFT(CT38,1),$M$4),IF(RIGHT($P38,LEN($P38)-2)=RIGHT(CT38,LEN(CT38)-2),$M$5)))</f>
        <v>0</v>
      </c>
      <c r="CV38" s="197" t="s">
        <v>321</v>
      </c>
      <c r="CW38" s="200">
        <f t="shared" ref="CW38" si="1311">IF(ISBLANK($P38),0,SUM(IF(LEFT($P38,1)=LEFT(CV38,1),$M$4),IF(RIGHT($P38,LEN($P38)-2)=RIGHT(CV38,LEN(CV38)-2),$M$5)))</f>
        <v>0</v>
      </c>
      <c r="CX38" s="197" t="s">
        <v>267</v>
      </c>
      <c r="CY38" s="200">
        <f t="shared" ref="CY38" si="1312">IF(ISBLANK($P38),0,SUM(IF(LEFT($P38,1)=LEFT(CX38,1),$M$4),IF(RIGHT($P38,LEN($P38)-2)=RIGHT(CX38,LEN(CX38)-2),$M$5)))</f>
        <v>0</v>
      </c>
      <c r="CZ38" s="197" t="s">
        <v>271</v>
      </c>
      <c r="DA38" s="200">
        <f t="shared" ref="DA38" si="1313">IF(ISBLANK($P38),0,SUM(IF(LEFT($P38,1)=LEFT(CZ38,1),$M$4),IF(RIGHT($P38,LEN($P38)-2)=RIGHT(CZ38,LEN(CZ38)-2),$M$5)))</f>
        <v>0</v>
      </c>
    </row>
    <row r="39" spans="1:105" x14ac:dyDescent="0.25">
      <c r="A39" s="188" t="s">
        <v>375</v>
      </c>
      <c r="B39" s="189">
        <f t="shared" si="722"/>
        <v>2</v>
      </c>
      <c r="C39" s="189">
        <f t="shared" si="723"/>
        <v>2.0390000000000001</v>
      </c>
      <c r="D39" s="189">
        <f>RANK(Tabla6[[#This Row],[PUNTOS1]],Tabla6[PUNTOS1],0)</f>
        <v>19</v>
      </c>
      <c r="E39" s="189">
        <f>RANK(Tabla6[[#This Row],[PUNTOS2]],Tabla6[PUNTOS2],0)</f>
        <v>34</v>
      </c>
      <c r="F39" s="188" t="str">
        <f t="shared" si="724"/>
        <v>LAURA ANCÍN</v>
      </c>
      <c r="G39" s="188">
        <f t="shared" si="725"/>
        <v>2</v>
      </c>
      <c r="H39" s="94"/>
      <c r="I39" s="94"/>
      <c r="J39" s="189">
        <f t="shared" si="467"/>
        <v>21</v>
      </c>
      <c r="K39" s="200" t="str">
        <f>IF(Tabla5[[#This Row],[Puntos]]=M38,".",Tabla5[[#This Row],[PosReal]])</f>
        <v>.</v>
      </c>
      <c r="L39" s="193" t="str">
        <f>VLOOKUP(J39,Tabla6[[ORDEN2]:[PUNTOS]],2,FALSE)</f>
        <v>FERNANDO LACUNZA</v>
      </c>
      <c r="M39" s="194">
        <f>VLOOKUP(J39,Tabla6[[ORDEN2]:[PUNTOS]],3,FALSE)</f>
        <v>2</v>
      </c>
      <c r="O39" s="10" t="s">
        <v>305</v>
      </c>
      <c r="P39" s="10"/>
      <c r="Q39" s="5"/>
      <c r="R39" s="97" t="s">
        <v>308</v>
      </c>
      <c r="S39" s="200">
        <f t="shared" si="2"/>
        <v>0</v>
      </c>
      <c r="T39" s="97" t="s">
        <v>267</v>
      </c>
      <c r="U39" s="200">
        <f t="shared" si="2"/>
        <v>0</v>
      </c>
      <c r="V39" s="97" t="s">
        <v>271</v>
      </c>
      <c r="W39" s="200">
        <f t="shared" ref="W39" si="1314">IF(ISBLANK($P39),0,SUM(IF(LEFT($P39,1)=LEFT(V39,1),$M$4),IF(RIGHT($P39,LEN($P39)-2)=RIGHT(V39,LEN(V39)-2),$M$5)))</f>
        <v>0</v>
      </c>
      <c r="X39" s="97" t="s">
        <v>322</v>
      </c>
      <c r="Y39" s="200">
        <f t="shared" ref="Y39" si="1315">IF(ISBLANK($P39),0,SUM(IF(LEFT($P39,1)=LEFT(X39,1),$M$4),IF(RIGHT($P39,LEN($P39)-2)=RIGHT(X39,LEN(X39)-2),$M$5)))</f>
        <v>0</v>
      </c>
      <c r="Z39" s="97" t="s">
        <v>271</v>
      </c>
      <c r="AA39" s="200">
        <f t="shared" ref="AA39" si="1316">IF(ISBLANK($P39),0,SUM(IF(LEFT($P39,1)=LEFT(Z39,1),$M$4),IF(RIGHT($P39,LEN($P39)-2)=RIGHT(Z39,LEN(Z39)-2),$M$5)))</f>
        <v>0</v>
      </c>
      <c r="AB39" s="97" t="s">
        <v>308</v>
      </c>
      <c r="AC39" s="200">
        <f t="shared" ref="AC39" si="1317">IF(ISBLANK($P39),0,SUM(IF(LEFT($P39,1)=LEFT(AB39,1),$M$4),IF(RIGHT($P39,LEN($P39)-2)=RIGHT(AB39,LEN(AB39)-2),$M$5)))</f>
        <v>0</v>
      </c>
      <c r="AD39" t="s">
        <v>267</v>
      </c>
      <c r="AE39" s="200">
        <f t="shared" ref="AE39" si="1318">IF(ISBLANK($P39),0,SUM(IF(LEFT($P39,1)=LEFT(AD39,1),$M$4),IF(RIGHT($P39,LEN($P39)-2)=RIGHT(AD39,LEN(AD39)-2),$M$5)))</f>
        <v>0</v>
      </c>
      <c r="AF39" t="s">
        <v>308</v>
      </c>
      <c r="AG39" s="200">
        <f t="shared" ref="AG39" si="1319">IF(ISBLANK($P39),0,SUM(IF(LEFT($P39,1)=LEFT(AF39,1),$M$4),IF(RIGHT($P39,LEN($P39)-2)=RIGHT(AF39,LEN(AF39)-2),$M$5)))</f>
        <v>0</v>
      </c>
      <c r="AH39" t="s">
        <v>322</v>
      </c>
      <c r="AI39" s="200">
        <f t="shared" ref="AI39" si="1320">IF(ISBLANK($P39),0,SUM(IF(LEFT($P39,1)=LEFT(AH39,1),$M$4),IF(RIGHT($P39,LEN($P39)-2)=RIGHT(AH39,LEN(AH39)-2),$M$5)))</f>
        <v>0</v>
      </c>
      <c r="AJ39" t="s">
        <v>262</v>
      </c>
      <c r="AK39" s="200">
        <f t="shared" ref="AK39" si="1321">IF(ISBLANK($P39),0,SUM(IF(LEFT($P39,1)=LEFT(AJ39,1),$M$4),IF(RIGHT($P39,LEN($P39)-2)=RIGHT(AJ39,LEN(AJ39)-2),$M$5)))</f>
        <v>0</v>
      </c>
      <c r="AL39" t="s">
        <v>271</v>
      </c>
      <c r="AM39" s="200">
        <f t="shared" ref="AM39" si="1322">IF(ISBLANK($P39),0,SUM(IF(LEFT($P39,1)=LEFT(AL39,1),$M$4),IF(RIGHT($P39,LEN($P39)-2)=RIGHT(AL39,LEN(AL39)-2),$M$5)))</f>
        <v>0</v>
      </c>
      <c r="AN39" t="s">
        <v>262</v>
      </c>
      <c r="AO39" s="200">
        <f t="shared" ref="AO39" si="1323">IF(ISBLANK($P39),0,SUM(IF(LEFT($P39,1)=LEFT(AN39,1),$M$4),IF(RIGHT($P39,LEN($P39)-2)=RIGHT(AN39,LEN(AN39)-2),$M$5)))</f>
        <v>0</v>
      </c>
      <c r="AP39" t="s">
        <v>322</v>
      </c>
      <c r="AQ39" s="200">
        <f t="shared" ref="AQ39" si="1324">IF(ISBLANK($P39),0,SUM(IF(LEFT($P39,1)=LEFT(AP39,1),$M$4),IF(RIGHT($P39,LEN($P39)-2)=RIGHT(AP39,LEN(AP39)-2),$M$5)))</f>
        <v>0</v>
      </c>
      <c r="AR39" t="s">
        <v>322</v>
      </c>
      <c r="AS39" s="200">
        <f t="shared" ref="AS39" si="1325">IF(ISBLANK($P39),0,SUM(IF(LEFT($P39,1)=LEFT(AR39,1),$M$4),IF(RIGHT($P39,LEN($P39)-2)=RIGHT(AR39,LEN(AR39)-2),$M$5)))</f>
        <v>0</v>
      </c>
      <c r="AT39" t="s">
        <v>322</v>
      </c>
      <c r="AU39" s="200">
        <f t="shared" ref="AU39" si="1326">IF(ISBLANK($P39),0,SUM(IF(LEFT($P39,1)=LEFT(AT39,1),$M$4),IF(RIGHT($P39,LEN($P39)-2)=RIGHT(AT39,LEN(AT39)-2),$M$5)))</f>
        <v>0</v>
      </c>
      <c r="AV39" t="s">
        <v>267</v>
      </c>
      <c r="AW39" s="200">
        <f t="shared" ref="AW39" si="1327">IF(ISBLANK($P39),0,SUM(IF(LEFT($P39,1)=LEFT(AV39,1),$M$4),IF(RIGHT($P39,LEN($P39)-2)=RIGHT(AV39,LEN(AV39)-2),$M$5)))</f>
        <v>0</v>
      </c>
      <c r="AX39" t="s">
        <v>271</v>
      </c>
      <c r="AY39" s="200">
        <f t="shared" ref="AY39" si="1328">IF(ISBLANK($P39),0,SUM(IF(LEFT($P39,1)=LEFT(AX39,1),$M$4),IF(RIGHT($P39,LEN($P39)-2)=RIGHT(AX39,LEN(AX39)-2),$M$5)))</f>
        <v>0</v>
      </c>
      <c r="AZ39" t="s">
        <v>322</v>
      </c>
      <c r="BA39" s="200">
        <f t="shared" ref="BA39" si="1329">IF(ISBLANK($P39),0,SUM(IF(LEFT($P39,1)=LEFT(AZ39,1),$M$4),IF(RIGHT($P39,LEN($P39)-2)=RIGHT(AZ39,LEN(AZ39)-2),$M$5)))</f>
        <v>0</v>
      </c>
      <c r="BB39" t="s">
        <v>267</v>
      </c>
      <c r="BC39" s="200">
        <f t="shared" ref="BC39" si="1330">IF(ISBLANK($P39),0,SUM(IF(LEFT($P39,1)=LEFT(BB39,1),$M$4),IF(RIGHT($P39,LEN($P39)-2)=RIGHT(BB39,LEN(BB39)-2),$M$5)))</f>
        <v>0</v>
      </c>
      <c r="BD39" t="s">
        <v>262</v>
      </c>
      <c r="BE39" s="200">
        <f t="shared" ref="BE39" si="1331">IF(ISBLANK($P39),0,SUM(IF(LEFT($P39,1)=LEFT(BD39,1),$M$4),IF(RIGHT($P39,LEN($P39)-2)=RIGHT(BD39,LEN(BD39)-2),$M$5)))</f>
        <v>0</v>
      </c>
      <c r="BF39" t="s">
        <v>267</v>
      </c>
      <c r="BG39" s="200">
        <f t="shared" ref="BG39" si="1332">IF(ISBLANK($P39),0,SUM(IF(LEFT($P39,1)=LEFT(BF39,1),$M$4),IF(RIGHT($P39,LEN($P39)-2)=RIGHT(BF39,LEN(BF39)-2),$M$5)))</f>
        <v>0</v>
      </c>
      <c r="BH39" t="s">
        <v>266</v>
      </c>
      <c r="BI39" s="200">
        <f t="shared" ref="BI39" si="1333">IF(ISBLANK($P39),0,SUM(IF(LEFT($P39,1)=LEFT(BH39,1),$M$4),IF(RIGHT($P39,LEN($P39)-2)=RIGHT(BH39,LEN(BH39)-2),$M$5)))</f>
        <v>0</v>
      </c>
      <c r="BJ39" t="s">
        <v>271</v>
      </c>
      <c r="BK39" s="200">
        <f t="shared" ref="BK39" si="1334">IF(ISBLANK($P39),0,SUM(IF(LEFT($P39,1)=LEFT(BJ39,1),$M$4),IF(RIGHT($P39,LEN($P39)-2)=RIGHT(BJ39,LEN(BJ39)-2),$M$5)))</f>
        <v>0</v>
      </c>
      <c r="BL39" t="s">
        <v>267</v>
      </c>
      <c r="BM39" s="200">
        <f t="shared" ref="BM39" si="1335">IF(ISBLANK($P39),0,SUM(IF(LEFT($P39,1)=LEFT(BL39,1),$M$4),IF(RIGHT($P39,LEN($P39)-2)=RIGHT(BL39,LEN(BL39)-2),$M$5)))</f>
        <v>0</v>
      </c>
      <c r="BN39" t="s">
        <v>322</v>
      </c>
      <c r="BO39" s="200">
        <f t="shared" ref="BO39" si="1336">IF(ISBLANK($P39),0,SUM(IF(LEFT($P39,1)=LEFT(BN39,1),$M$4),IF(RIGHT($P39,LEN($P39)-2)=RIGHT(BN39,LEN(BN39)-2),$M$5)))</f>
        <v>0</v>
      </c>
      <c r="BP39" t="s">
        <v>271</v>
      </c>
      <c r="BQ39" s="200">
        <f t="shared" ref="BQ39" si="1337">IF(ISBLANK($P39),0,SUM(IF(LEFT($P39,1)=LEFT(BP39,1),$M$4),IF(RIGHT($P39,LEN($P39)-2)=RIGHT(BP39,LEN(BP39)-2),$M$5)))</f>
        <v>0</v>
      </c>
      <c r="BR39" t="s">
        <v>271</v>
      </c>
      <c r="BS39" s="200">
        <f t="shared" ref="BS39" si="1338">IF(ISBLANK($P39),0,SUM(IF(LEFT($P39,1)=LEFT(BR39,1),$M$4),IF(RIGHT($P39,LEN($P39)-2)=RIGHT(BR39,LEN(BR39)-2),$M$5)))</f>
        <v>0</v>
      </c>
      <c r="BT39" t="s">
        <v>267</v>
      </c>
      <c r="BU39" s="200">
        <f t="shared" ref="BU39" si="1339">IF(ISBLANK($P39),0,SUM(IF(LEFT($P39,1)=LEFT(BT39,1),$M$4),IF(RIGHT($P39,LEN($P39)-2)=RIGHT(BT39,LEN(BT39)-2),$M$5)))</f>
        <v>0</v>
      </c>
      <c r="BV39" t="s">
        <v>267</v>
      </c>
      <c r="BW39" s="200">
        <f t="shared" ref="BW39" si="1340">IF(ISBLANK($P39),0,SUM(IF(LEFT($P39,1)=LEFT(BV39,1),$M$4),IF(RIGHT($P39,LEN($P39)-2)=RIGHT(BV39,LEN(BV39)-2),$M$5)))</f>
        <v>0</v>
      </c>
      <c r="BX39" t="s">
        <v>262</v>
      </c>
      <c r="BY39" s="200">
        <f t="shared" ref="BY39" si="1341">IF(ISBLANK($P39),0,SUM(IF(LEFT($P39,1)=LEFT(BX39,1),$M$4),IF(RIGHT($P39,LEN($P39)-2)=RIGHT(BX39,LEN(BX39)-2),$M$5)))</f>
        <v>0</v>
      </c>
      <c r="BZ39" t="s">
        <v>262</v>
      </c>
      <c r="CA39" s="200">
        <f t="shared" ref="CA39" si="1342">IF(ISBLANK($P39),0,SUM(IF(LEFT($P39,1)=LEFT(BZ39,1),$M$4),IF(RIGHT($P39,LEN($P39)-2)=RIGHT(BZ39,LEN(BZ39)-2),$M$5)))</f>
        <v>0</v>
      </c>
      <c r="CB39" t="s">
        <v>308</v>
      </c>
      <c r="CC39" s="200">
        <f t="shared" ref="CC39" si="1343">IF(ISBLANK($P39),0,SUM(IF(LEFT($P39,1)=LEFT(CB39,1),$M$4),IF(RIGHT($P39,LEN($P39)-2)=RIGHT(CB39,LEN(CB39)-2),$M$5)))</f>
        <v>0</v>
      </c>
      <c r="CD39" t="s">
        <v>322</v>
      </c>
      <c r="CE39" s="200">
        <f t="shared" ref="CE39" si="1344">IF(ISBLANK($P39),0,SUM(IF(LEFT($P39,1)=LEFT(CD39,1),$M$4),IF(RIGHT($P39,LEN($P39)-2)=RIGHT(CD39,LEN(CD39)-2),$M$5)))</f>
        <v>0</v>
      </c>
      <c r="CF39" s="197" t="s">
        <v>308</v>
      </c>
      <c r="CG39" s="200">
        <f t="shared" ref="CG39" si="1345">IF(ISBLANK($P39),0,SUM(IF(LEFT($P39,1)=LEFT(CF39,1),$M$4),IF(RIGHT($P39,LEN($P39)-2)=RIGHT(CF39,LEN(CF39)-2),$M$5)))</f>
        <v>0</v>
      </c>
      <c r="CH39" t="s">
        <v>321</v>
      </c>
      <c r="CI39" s="200">
        <f t="shared" ref="CI39" si="1346">IF(ISBLANK($P39),0,SUM(IF(LEFT($P39,1)=LEFT(CH39,1),$M$4),IF(RIGHT($P39,LEN($P39)-2)=RIGHT(CH39,LEN(CH39)-2),$M$5)))</f>
        <v>0</v>
      </c>
      <c r="CJ39" t="s">
        <v>267</v>
      </c>
      <c r="CK39" s="200">
        <f t="shared" ref="CK39" si="1347">IF(ISBLANK($P39),0,SUM(IF(LEFT($P39,1)=LEFT(CJ39,1),$M$4),IF(RIGHT($P39,LEN($P39)-2)=RIGHT(CJ39,LEN(CJ39)-2),$M$5)))</f>
        <v>0</v>
      </c>
      <c r="CL39" s="197" t="s">
        <v>308</v>
      </c>
      <c r="CM39" s="200">
        <f t="shared" ref="CM39" si="1348">IF(ISBLANK($P39),0,SUM(IF(LEFT($P39,1)=LEFT(CL39,1),$M$4),IF(RIGHT($P39,LEN($P39)-2)=RIGHT(CL39,LEN(CL39)-2),$M$5)))</f>
        <v>0</v>
      </c>
      <c r="CN39" t="s">
        <v>321</v>
      </c>
      <c r="CO39" s="200">
        <f t="shared" ref="CO39" si="1349">IF(ISBLANK($P39),0,SUM(IF(LEFT($P39,1)=LEFT(CN39,1),$M$4),IF(RIGHT($P39,LEN($P39)-2)=RIGHT(CN39,LEN(CN39)-2),$M$5)))</f>
        <v>0</v>
      </c>
      <c r="CP39" t="s">
        <v>271</v>
      </c>
      <c r="CQ39" s="200">
        <f t="shared" ref="CQ39" si="1350">IF(ISBLANK($P39),0,SUM(IF(LEFT($P39,1)=LEFT(CP39,1),$M$4),IF(RIGHT($P39,LEN($P39)-2)=RIGHT(CP39,LEN(CP39)-2),$M$5)))</f>
        <v>0</v>
      </c>
      <c r="CR39" t="s">
        <v>323</v>
      </c>
      <c r="CS39" s="200">
        <f t="shared" ref="CS39" si="1351">IF(ISBLANK($P39),0,SUM(IF(LEFT($P39,1)=LEFT(CR39,1),$M$4),IF(RIGHT($P39,LEN($P39)-2)=RIGHT(CR39,LEN(CR39)-2),$M$5)))</f>
        <v>0</v>
      </c>
      <c r="CT39" s="197" t="s">
        <v>271</v>
      </c>
      <c r="CU39" s="200">
        <f t="shared" ref="CU39" si="1352">IF(ISBLANK($P39),0,SUM(IF(LEFT($P39,1)=LEFT(CT39,1),$M$4),IF(RIGHT($P39,LEN($P39)-2)=RIGHT(CT39,LEN(CT39)-2),$M$5)))</f>
        <v>0</v>
      </c>
      <c r="CV39" s="197" t="s">
        <v>323</v>
      </c>
      <c r="CW39" s="200">
        <f t="shared" ref="CW39" si="1353">IF(ISBLANK($P39),0,SUM(IF(LEFT($P39,1)=LEFT(CV39,1),$M$4),IF(RIGHT($P39,LEN($P39)-2)=RIGHT(CV39,LEN(CV39)-2),$M$5)))</f>
        <v>0</v>
      </c>
      <c r="CX39" s="197" t="s">
        <v>267</v>
      </c>
      <c r="CY39" s="200">
        <f t="shared" ref="CY39" si="1354">IF(ISBLANK($P39),0,SUM(IF(LEFT($P39,1)=LEFT(CX39,1),$M$4),IF(RIGHT($P39,LEN($P39)-2)=RIGHT(CX39,LEN(CX39)-2),$M$5)))</f>
        <v>0</v>
      </c>
      <c r="CZ39" s="197" t="s">
        <v>267</v>
      </c>
      <c r="DA39" s="200">
        <f t="shared" ref="DA39" si="1355">IF(ISBLANK($P39),0,SUM(IF(LEFT($P39,1)=LEFT(CZ39,1),$M$4),IF(RIGHT($P39,LEN($P39)-2)=RIGHT(CZ39,LEN(CZ39)-2),$M$5)))</f>
        <v>0</v>
      </c>
    </row>
    <row r="40" spans="1:105" x14ac:dyDescent="0.25">
      <c r="A40" s="188" t="s">
        <v>376</v>
      </c>
      <c r="B40" s="189">
        <f t="shared" si="722"/>
        <v>2</v>
      </c>
      <c r="C40" s="189">
        <f t="shared" si="723"/>
        <v>2.04</v>
      </c>
      <c r="D40" s="189">
        <f>RANK(Tabla6[[#This Row],[PUNTOS1]],Tabla6[PUNTOS1],0)</f>
        <v>19</v>
      </c>
      <c r="E40" s="189">
        <f>RANK(Tabla6[[#This Row],[PUNTOS2]],Tabla6[PUNTOS2],0)</f>
        <v>33</v>
      </c>
      <c r="F40" s="188" t="str">
        <f t="shared" si="724"/>
        <v>LEIRE GARAYO</v>
      </c>
      <c r="G40" s="188">
        <f t="shared" si="725"/>
        <v>2</v>
      </c>
      <c r="H40" s="94"/>
      <c r="I40" s="94"/>
      <c r="J40" s="189">
        <f t="shared" si="467"/>
        <v>22</v>
      </c>
      <c r="K40" s="200" t="str">
        <f>IF(Tabla5[[#This Row],[Puntos]]=M39,".",Tabla5[[#This Row],[PosReal]])</f>
        <v>.</v>
      </c>
      <c r="L40" s="193" t="str">
        <f>VLOOKUP(J40,Tabla6[[ORDEN2]:[PUNTOS]],2,FALSE)</f>
        <v>ASIER ALEJO</v>
      </c>
      <c r="M40" s="194">
        <f>VLOOKUP(J40,Tabla6[[ORDEN2]:[PUNTOS]],3,FALSE)</f>
        <v>2</v>
      </c>
      <c r="O40" s="10" t="s">
        <v>306</v>
      </c>
      <c r="P40" s="10"/>
      <c r="Q40" s="5"/>
      <c r="R40" s="97" t="s">
        <v>323</v>
      </c>
      <c r="S40" s="200">
        <f t="shared" si="2"/>
        <v>0</v>
      </c>
      <c r="T40" s="97" t="s">
        <v>271</v>
      </c>
      <c r="U40" s="200">
        <f t="shared" si="2"/>
        <v>0</v>
      </c>
      <c r="V40" s="97" t="s">
        <v>330</v>
      </c>
      <c r="W40" s="200">
        <f t="shared" ref="W40" si="1356">IF(ISBLANK($P40),0,SUM(IF(LEFT($P40,1)=LEFT(V40,1),$M$4),IF(RIGHT($P40,LEN($P40)-2)=RIGHT(V40,LEN(V40)-2),$M$5)))</f>
        <v>0</v>
      </c>
      <c r="X40" s="97" t="s">
        <v>323</v>
      </c>
      <c r="Y40" s="200">
        <f t="shared" ref="Y40" si="1357">IF(ISBLANK($P40),0,SUM(IF(LEFT($P40,1)=LEFT(X40,1),$M$4),IF(RIGHT($P40,LEN($P40)-2)=RIGHT(X40,LEN(X40)-2),$M$5)))</f>
        <v>0</v>
      </c>
      <c r="Z40" s="97" t="s">
        <v>271</v>
      </c>
      <c r="AA40" s="200">
        <f t="shared" ref="AA40" si="1358">IF(ISBLANK($P40),0,SUM(IF(LEFT($P40,1)=LEFT(Z40,1),$M$4),IF(RIGHT($P40,LEN($P40)-2)=RIGHT(Z40,LEN(Z40)-2),$M$5)))</f>
        <v>0</v>
      </c>
      <c r="AB40" s="97" t="s">
        <v>262</v>
      </c>
      <c r="AC40" s="200">
        <f t="shared" ref="AC40" si="1359">IF(ISBLANK($P40),0,SUM(IF(LEFT($P40,1)=LEFT(AB40,1),$M$4),IF(RIGHT($P40,LEN($P40)-2)=RIGHT(AB40,LEN(AB40)-2),$M$5)))</f>
        <v>0</v>
      </c>
      <c r="AD40" t="s">
        <v>323</v>
      </c>
      <c r="AE40" s="200">
        <f t="shared" ref="AE40" si="1360">IF(ISBLANK($P40),0,SUM(IF(LEFT($P40,1)=LEFT(AD40,1),$M$4),IF(RIGHT($P40,LEN($P40)-2)=RIGHT(AD40,LEN(AD40)-2),$M$5)))</f>
        <v>0</v>
      </c>
      <c r="AF40" t="s">
        <v>308</v>
      </c>
      <c r="AG40" s="200">
        <f t="shared" ref="AG40" si="1361">IF(ISBLANK($P40),0,SUM(IF(LEFT($P40,1)=LEFT(AF40,1),$M$4),IF(RIGHT($P40,LEN($P40)-2)=RIGHT(AF40,LEN(AF40)-2),$M$5)))</f>
        <v>0</v>
      </c>
      <c r="AH40" t="s">
        <v>323</v>
      </c>
      <c r="AI40" s="200">
        <f t="shared" ref="AI40" si="1362">IF(ISBLANK($P40),0,SUM(IF(LEFT($P40,1)=LEFT(AH40,1),$M$4),IF(RIGHT($P40,LEN($P40)-2)=RIGHT(AH40,LEN(AH40)-2),$M$5)))</f>
        <v>0</v>
      </c>
      <c r="AJ40" t="s">
        <v>323</v>
      </c>
      <c r="AK40" s="200">
        <f t="shared" ref="AK40" si="1363">IF(ISBLANK($P40),0,SUM(IF(LEFT($P40,1)=LEFT(AJ40,1),$M$4),IF(RIGHT($P40,LEN($P40)-2)=RIGHT(AJ40,LEN(AJ40)-2),$M$5)))</f>
        <v>0</v>
      </c>
      <c r="AL40" t="s">
        <v>346</v>
      </c>
      <c r="AM40" s="200">
        <f t="shared" ref="AM40" si="1364">IF(ISBLANK($P40),0,SUM(IF(LEFT($P40,1)=LEFT(AL40,1),$M$4),IF(RIGHT($P40,LEN($P40)-2)=RIGHT(AL40,LEN(AL40)-2),$M$5)))</f>
        <v>0</v>
      </c>
      <c r="AN40" t="s">
        <v>321</v>
      </c>
      <c r="AO40" s="200">
        <f t="shared" ref="AO40" si="1365">IF(ISBLANK($P40),0,SUM(IF(LEFT($P40,1)=LEFT(AN40,1),$M$4),IF(RIGHT($P40,LEN($P40)-2)=RIGHT(AN40,LEN(AN40)-2),$M$5)))</f>
        <v>0</v>
      </c>
      <c r="AP40" t="s">
        <v>330</v>
      </c>
      <c r="AQ40" s="200">
        <f t="shared" ref="AQ40" si="1366">IF(ISBLANK($P40),0,SUM(IF(LEFT($P40,1)=LEFT(AP40,1),$M$4),IF(RIGHT($P40,LEN($P40)-2)=RIGHT(AP40,LEN(AP40)-2),$M$5)))</f>
        <v>0</v>
      </c>
      <c r="AR40" t="s">
        <v>262</v>
      </c>
      <c r="AS40" s="200">
        <f t="shared" ref="AS40" si="1367">IF(ISBLANK($P40),0,SUM(IF(LEFT($P40,1)=LEFT(AR40,1),$M$4),IF(RIGHT($P40,LEN($P40)-2)=RIGHT(AR40,LEN(AR40)-2),$M$5)))</f>
        <v>0</v>
      </c>
      <c r="AT40" t="s">
        <v>262</v>
      </c>
      <c r="AU40" s="200">
        <f t="shared" ref="AU40" si="1368">IF(ISBLANK($P40),0,SUM(IF(LEFT($P40,1)=LEFT(AT40,1),$M$4),IF(RIGHT($P40,LEN($P40)-2)=RIGHT(AT40,LEN(AT40)-2),$M$5)))</f>
        <v>0</v>
      </c>
      <c r="AV40" t="s">
        <v>262</v>
      </c>
      <c r="AW40" s="200">
        <f t="shared" ref="AW40" si="1369">IF(ISBLANK($P40),0,SUM(IF(LEFT($P40,1)=LEFT(AV40,1),$M$4),IF(RIGHT($P40,LEN($P40)-2)=RIGHT(AV40,LEN(AV40)-2),$M$5)))</f>
        <v>0</v>
      </c>
      <c r="AX40" t="s">
        <v>321</v>
      </c>
      <c r="AY40" s="200">
        <f t="shared" ref="AY40" si="1370">IF(ISBLANK($P40),0,SUM(IF(LEFT($P40,1)=LEFT(AX40,1),$M$4),IF(RIGHT($P40,LEN($P40)-2)=RIGHT(AX40,LEN(AX40)-2),$M$5)))</f>
        <v>0</v>
      </c>
      <c r="AZ40" t="s">
        <v>335</v>
      </c>
      <c r="BA40" s="200">
        <f t="shared" ref="BA40" si="1371">IF(ISBLANK($P40),0,SUM(IF(LEFT($P40,1)=LEFT(AZ40,1),$M$4),IF(RIGHT($P40,LEN($P40)-2)=RIGHT(AZ40,LEN(AZ40)-2),$M$5)))</f>
        <v>0</v>
      </c>
      <c r="BB40" t="s">
        <v>271</v>
      </c>
      <c r="BC40" s="200">
        <f t="shared" ref="BC40" si="1372">IF(ISBLANK($P40),0,SUM(IF(LEFT($P40,1)=LEFT(BB40,1),$M$4),IF(RIGHT($P40,LEN($P40)-2)=RIGHT(BB40,LEN(BB40)-2),$M$5)))</f>
        <v>0</v>
      </c>
      <c r="BD40" t="s">
        <v>323</v>
      </c>
      <c r="BE40" s="200">
        <f t="shared" ref="BE40" si="1373">IF(ISBLANK($P40),0,SUM(IF(LEFT($P40,1)=LEFT(BD40,1),$M$4),IF(RIGHT($P40,LEN($P40)-2)=RIGHT(BD40,LEN(BD40)-2),$M$5)))</f>
        <v>0</v>
      </c>
      <c r="BF40" t="s">
        <v>265</v>
      </c>
      <c r="BG40" s="200">
        <f t="shared" ref="BG40" si="1374">IF(ISBLANK($P40),0,SUM(IF(LEFT($P40,1)=LEFT(BF40,1),$M$4),IF(RIGHT($P40,LEN($P40)-2)=RIGHT(BF40,LEN(BF40)-2),$M$5)))</f>
        <v>0</v>
      </c>
      <c r="BH40" t="s">
        <v>271</v>
      </c>
      <c r="BI40" s="200">
        <f t="shared" ref="BI40" si="1375">IF(ISBLANK($P40),0,SUM(IF(LEFT($P40,1)=LEFT(BH40,1),$M$4),IF(RIGHT($P40,LEN($P40)-2)=RIGHT(BH40,LEN(BH40)-2),$M$5)))</f>
        <v>0</v>
      </c>
      <c r="BJ40" t="s">
        <v>323</v>
      </c>
      <c r="BK40" s="200">
        <f t="shared" ref="BK40" si="1376">IF(ISBLANK($P40),0,SUM(IF(LEFT($P40,1)=LEFT(BJ40,1),$M$4),IF(RIGHT($P40,LEN($P40)-2)=RIGHT(BJ40,LEN(BJ40)-2),$M$5)))</f>
        <v>0</v>
      </c>
      <c r="BL40" t="s">
        <v>323</v>
      </c>
      <c r="BM40" s="200">
        <f t="shared" ref="BM40" si="1377">IF(ISBLANK($P40),0,SUM(IF(LEFT($P40,1)=LEFT(BL40,1),$M$4),IF(RIGHT($P40,LEN($P40)-2)=RIGHT(BL40,LEN(BL40)-2),$M$5)))</f>
        <v>0</v>
      </c>
      <c r="BN40" t="s">
        <v>330</v>
      </c>
      <c r="BO40" s="200">
        <f t="shared" ref="BO40" si="1378">IF(ISBLANK($P40),0,SUM(IF(LEFT($P40,1)=LEFT(BN40,1),$M$4),IF(RIGHT($P40,LEN($P40)-2)=RIGHT(BN40,LEN(BN40)-2),$M$5)))</f>
        <v>0</v>
      </c>
      <c r="BP40" t="s">
        <v>323</v>
      </c>
      <c r="BQ40" s="200">
        <f t="shared" ref="BQ40" si="1379">IF(ISBLANK($P40),0,SUM(IF(LEFT($P40,1)=LEFT(BP40,1),$M$4),IF(RIGHT($P40,LEN($P40)-2)=RIGHT(BP40,LEN(BP40)-2),$M$5)))</f>
        <v>0</v>
      </c>
      <c r="BR40" t="s">
        <v>330</v>
      </c>
      <c r="BS40" s="200">
        <f t="shared" ref="BS40" si="1380">IF(ISBLANK($P40),0,SUM(IF(LEFT($P40,1)=LEFT(BR40,1),$M$4),IF(RIGHT($P40,LEN($P40)-2)=RIGHT(BR40,LEN(BR40)-2),$M$5)))</f>
        <v>0</v>
      </c>
      <c r="BT40" t="s">
        <v>262</v>
      </c>
      <c r="BU40" s="200">
        <f t="shared" ref="BU40" si="1381">IF(ISBLANK($P40),0,SUM(IF(LEFT($P40,1)=LEFT(BT40,1),$M$4),IF(RIGHT($P40,LEN($P40)-2)=RIGHT(BT40,LEN(BT40)-2),$M$5)))</f>
        <v>0</v>
      </c>
      <c r="BV40" t="s">
        <v>323</v>
      </c>
      <c r="BW40" s="200">
        <f t="shared" ref="BW40" si="1382">IF(ISBLANK($P40),0,SUM(IF(LEFT($P40,1)=LEFT(BV40,1),$M$4),IF(RIGHT($P40,LEN($P40)-2)=RIGHT(BV40,LEN(BV40)-2),$M$5)))</f>
        <v>0</v>
      </c>
      <c r="BX40" t="s">
        <v>308</v>
      </c>
      <c r="BY40" s="200">
        <f t="shared" ref="BY40" si="1383">IF(ISBLANK($P40),0,SUM(IF(LEFT($P40,1)=LEFT(BX40,1),$M$4),IF(RIGHT($P40,LEN($P40)-2)=RIGHT(BX40,LEN(BX40)-2),$M$5)))</f>
        <v>0</v>
      </c>
      <c r="BZ40" t="s">
        <v>267</v>
      </c>
      <c r="CA40" s="200">
        <f t="shared" ref="CA40" si="1384">IF(ISBLANK($P40),0,SUM(IF(LEFT($P40,1)=LEFT(BZ40,1),$M$4),IF(RIGHT($P40,LEN($P40)-2)=RIGHT(BZ40,LEN(BZ40)-2),$M$5)))</f>
        <v>0</v>
      </c>
      <c r="CB40" t="s">
        <v>323</v>
      </c>
      <c r="CC40" s="200">
        <f t="shared" ref="CC40" si="1385">IF(ISBLANK($P40),0,SUM(IF(LEFT($P40,1)=LEFT(CB40,1),$M$4),IF(RIGHT($P40,LEN($P40)-2)=RIGHT(CB40,LEN(CB40)-2),$M$5)))</f>
        <v>0</v>
      </c>
      <c r="CD40" t="s">
        <v>262</v>
      </c>
      <c r="CE40" s="200">
        <f t="shared" ref="CE40" si="1386">IF(ISBLANK($P40),0,SUM(IF(LEFT($P40,1)=LEFT(CD40,1),$M$4),IF(RIGHT($P40,LEN($P40)-2)=RIGHT(CD40,LEN(CD40)-2),$M$5)))</f>
        <v>0</v>
      </c>
      <c r="CF40" s="197" t="s">
        <v>323</v>
      </c>
      <c r="CG40" s="200">
        <f t="shared" ref="CG40" si="1387">IF(ISBLANK($P40),0,SUM(IF(LEFT($P40,1)=LEFT(CF40,1),$M$4),IF(RIGHT($P40,LEN($P40)-2)=RIGHT(CF40,LEN(CF40)-2),$M$5)))</f>
        <v>0</v>
      </c>
      <c r="CH40" t="s">
        <v>330</v>
      </c>
      <c r="CI40" s="200">
        <f t="shared" ref="CI40" si="1388">IF(ISBLANK($P40),0,SUM(IF(LEFT($P40,1)=LEFT(CH40,1),$M$4),IF(RIGHT($P40,LEN($P40)-2)=RIGHT(CH40,LEN(CH40)-2),$M$5)))</f>
        <v>0</v>
      </c>
      <c r="CJ40" t="s">
        <v>330</v>
      </c>
      <c r="CK40" s="200">
        <f t="shared" ref="CK40" si="1389">IF(ISBLANK($P40),0,SUM(IF(LEFT($P40,1)=LEFT(CJ40,1),$M$4),IF(RIGHT($P40,LEN($P40)-2)=RIGHT(CJ40,LEN(CJ40)-2),$M$5)))</f>
        <v>0</v>
      </c>
      <c r="CL40" s="197" t="s">
        <v>323</v>
      </c>
      <c r="CM40" s="200">
        <f t="shared" ref="CM40" si="1390">IF(ISBLANK($P40),0,SUM(IF(LEFT($P40,1)=LEFT(CL40,1),$M$4),IF(RIGHT($P40,LEN($P40)-2)=RIGHT(CL40,LEN(CL40)-2),$M$5)))</f>
        <v>0</v>
      </c>
      <c r="CN40" t="s">
        <v>262</v>
      </c>
      <c r="CO40" s="200">
        <f t="shared" ref="CO40" si="1391">IF(ISBLANK($P40),0,SUM(IF(LEFT($P40,1)=LEFT(CN40,1),$M$4),IF(RIGHT($P40,LEN($P40)-2)=RIGHT(CN40,LEN(CN40)-2),$M$5)))</f>
        <v>0</v>
      </c>
      <c r="CP40" t="s">
        <v>323</v>
      </c>
      <c r="CQ40" s="200">
        <f t="shared" ref="CQ40" si="1392">IF(ISBLANK($P40),0,SUM(IF(LEFT($P40,1)=LEFT(CP40,1),$M$4),IF(RIGHT($P40,LEN($P40)-2)=RIGHT(CP40,LEN(CP40)-2),$M$5)))</f>
        <v>0</v>
      </c>
      <c r="CR40" t="s">
        <v>267</v>
      </c>
      <c r="CS40" s="200">
        <f t="shared" ref="CS40" si="1393">IF(ISBLANK($P40),0,SUM(IF(LEFT($P40,1)=LEFT(CR40,1),$M$4),IF(RIGHT($P40,LEN($P40)-2)=RIGHT(CR40,LEN(CR40)-2),$M$5)))</f>
        <v>0</v>
      </c>
      <c r="CT40" s="197" t="s">
        <v>321</v>
      </c>
      <c r="CU40" s="200">
        <f t="shared" ref="CU40" si="1394">IF(ISBLANK($P40),0,SUM(IF(LEFT($P40,1)=LEFT(CT40,1),$M$4),IF(RIGHT($P40,LEN($P40)-2)=RIGHT(CT40,LEN(CT40)-2),$M$5)))</f>
        <v>0</v>
      </c>
      <c r="CV40" s="197" t="s">
        <v>262</v>
      </c>
      <c r="CW40" s="200">
        <f t="shared" ref="CW40" si="1395">IF(ISBLANK($P40),0,SUM(IF(LEFT($P40,1)=LEFT(CV40,1),$M$4),IF(RIGHT($P40,LEN($P40)-2)=RIGHT(CV40,LEN(CV40)-2),$M$5)))</f>
        <v>0</v>
      </c>
      <c r="CX40" s="197" t="s">
        <v>321</v>
      </c>
      <c r="CY40" s="200">
        <f t="shared" ref="CY40" si="1396">IF(ISBLANK($P40),0,SUM(IF(LEFT($P40,1)=LEFT(CX40,1),$M$4),IF(RIGHT($P40,LEN($P40)-2)=RIGHT(CX40,LEN(CX40)-2),$M$5)))</f>
        <v>0</v>
      </c>
      <c r="CZ40" s="197" t="s">
        <v>330</v>
      </c>
      <c r="DA40" s="200">
        <f t="shared" ref="DA40" si="1397">IF(ISBLANK($P40),0,SUM(IF(LEFT($P40,1)=LEFT(CZ40,1),$M$4),IF(RIGHT($P40,LEN($P40)-2)=RIGHT(CZ40,LEN(CZ40)-2),$M$5)))</f>
        <v>0</v>
      </c>
    </row>
    <row r="41" spans="1:105" x14ac:dyDescent="0.25">
      <c r="A41" s="188" t="s">
        <v>377</v>
      </c>
      <c r="B41" s="189">
        <f t="shared" si="722"/>
        <v>2</v>
      </c>
      <c r="C41" s="189">
        <f t="shared" si="723"/>
        <v>2.0409999999999999</v>
      </c>
      <c r="D41" s="189">
        <f>RANK(Tabla6[[#This Row],[PUNTOS1]],Tabla6[PUNTOS1],0)</f>
        <v>19</v>
      </c>
      <c r="E41" s="189">
        <f>RANK(Tabla6[[#This Row],[PUNTOS2]],Tabla6[PUNTOS2],0)</f>
        <v>32</v>
      </c>
      <c r="F41" s="188" t="str">
        <f t="shared" si="724"/>
        <v>MARCOS LUQUI</v>
      </c>
      <c r="G41" s="188">
        <f t="shared" si="725"/>
        <v>2</v>
      </c>
      <c r="H41" s="94"/>
      <c r="I41" s="94"/>
      <c r="J41" s="189">
        <f t="shared" si="467"/>
        <v>23</v>
      </c>
      <c r="K41" s="200" t="str">
        <f>IF(Tabla5[[#This Row],[Puntos]]=M40,".",Tabla5[[#This Row],[PosReal]])</f>
        <v>.</v>
      </c>
      <c r="L41" s="193" t="str">
        <f>VLOOKUP(J41,Tabla6[[ORDEN2]:[PUNTOS]],2,FALSE)</f>
        <v>IKER MACAYA</v>
      </c>
      <c r="M41" s="194">
        <f>VLOOKUP(J41,Tabla6[[ORDEN2]:[PUNTOS]],3,FALSE)</f>
        <v>2</v>
      </c>
      <c r="O41" s="10" t="s">
        <v>307</v>
      </c>
      <c r="P41" s="10"/>
      <c r="Q41" s="5"/>
      <c r="R41" s="97" t="s">
        <v>262</v>
      </c>
      <c r="S41" s="200">
        <f t="shared" si="2"/>
        <v>0</v>
      </c>
      <c r="T41" s="97" t="s">
        <v>271</v>
      </c>
      <c r="U41" s="200">
        <f t="shared" si="2"/>
        <v>0</v>
      </c>
      <c r="V41" s="97" t="s">
        <v>262</v>
      </c>
      <c r="W41" s="200">
        <f t="shared" ref="W41" si="1398">IF(ISBLANK($P41),0,SUM(IF(LEFT($P41,1)=LEFT(V41,1),$M$4),IF(RIGHT($P41,LEN($P41)-2)=RIGHT(V41,LEN(V41)-2),$M$5)))</f>
        <v>0</v>
      </c>
      <c r="X41" s="97" t="s">
        <v>268</v>
      </c>
      <c r="Y41" s="200">
        <f t="shared" ref="Y41" si="1399">IF(ISBLANK($P41),0,SUM(IF(LEFT($P41,1)=LEFT(X41,1),$M$4),IF(RIGHT($P41,LEN($P41)-2)=RIGHT(X41,LEN(X41)-2),$M$5)))</f>
        <v>0</v>
      </c>
      <c r="Z41" s="97" t="s">
        <v>270</v>
      </c>
      <c r="AA41" s="200">
        <f t="shared" ref="AA41" si="1400">IF(ISBLANK($P41),0,SUM(IF(LEFT($P41,1)=LEFT(Z41,1),$M$4),IF(RIGHT($P41,LEN($P41)-2)=RIGHT(Z41,LEN(Z41)-2),$M$5)))</f>
        <v>0</v>
      </c>
      <c r="AB41" s="97" t="s">
        <v>330</v>
      </c>
      <c r="AC41" s="200">
        <f t="shared" ref="AC41" si="1401">IF(ISBLANK($P41),0,SUM(IF(LEFT($P41,1)=LEFT(AB41,1),$M$4),IF(RIGHT($P41,LEN($P41)-2)=RIGHT(AB41,LEN(AB41)-2),$M$5)))</f>
        <v>0</v>
      </c>
      <c r="AD41" t="s">
        <v>323</v>
      </c>
      <c r="AE41" s="200">
        <f t="shared" ref="AE41" si="1402">IF(ISBLANK($P41),0,SUM(IF(LEFT($P41,1)=LEFT(AD41,1),$M$4),IF(RIGHT($P41,LEN($P41)-2)=RIGHT(AD41,LEN(AD41)-2),$M$5)))</f>
        <v>0</v>
      </c>
      <c r="AF41" t="s">
        <v>271</v>
      </c>
      <c r="AG41" s="200">
        <f t="shared" ref="AG41" si="1403">IF(ISBLANK($P41),0,SUM(IF(LEFT($P41,1)=LEFT(AF41,1),$M$4),IF(RIGHT($P41,LEN($P41)-2)=RIGHT(AF41,LEN(AF41)-2),$M$5)))</f>
        <v>0</v>
      </c>
      <c r="AH41" t="s">
        <v>330</v>
      </c>
      <c r="AI41" s="200">
        <f t="shared" ref="AI41" si="1404">IF(ISBLANK($P41),0,SUM(IF(LEFT($P41,1)=LEFT(AH41,1),$M$4),IF(RIGHT($P41,LEN($P41)-2)=RIGHT(AH41,LEN(AH41)-2),$M$5)))</f>
        <v>0</v>
      </c>
      <c r="AJ41" t="s">
        <v>330</v>
      </c>
      <c r="AK41" s="200">
        <f t="shared" ref="AK41" si="1405">IF(ISBLANK($P41),0,SUM(IF(LEFT($P41,1)=LEFT(AJ41,1),$M$4),IF(RIGHT($P41,LEN($P41)-2)=RIGHT(AJ41,LEN(AJ41)-2),$M$5)))</f>
        <v>0</v>
      </c>
      <c r="AL41" t="s">
        <v>262</v>
      </c>
      <c r="AM41" s="200">
        <f t="shared" ref="AM41" si="1406">IF(ISBLANK($P41),0,SUM(IF(LEFT($P41,1)=LEFT(AL41,1),$M$4),IF(RIGHT($P41,LEN($P41)-2)=RIGHT(AL41,LEN(AL41)-2),$M$5)))</f>
        <v>0</v>
      </c>
      <c r="AN41" t="s">
        <v>336</v>
      </c>
      <c r="AO41" s="200">
        <f t="shared" ref="AO41" si="1407">IF(ISBLANK($P41),0,SUM(IF(LEFT($P41,1)=LEFT(AN41,1),$M$4),IF(RIGHT($P41,LEN($P41)-2)=RIGHT(AN41,LEN(AN41)-2),$M$5)))</f>
        <v>0</v>
      </c>
      <c r="AP41" t="s">
        <v>330</v>
      </c>
      <c r="AQ41" s="200">
        <f t="shared" ref="AQ41" si="1408">IF(ISBLANK($P41),0,SUM(IF(LEFT($P41,1)=LEFT(AP41,1),$M$4),IF(RIGHT($P41,LEN($P41)-2)=RIGHT(AP41,LEN(AP41)-2),$M$5)))</f>
        <v>0</v>
      </c>
      <c r="AR41" t="s">
        <v>262</v>
      </c>
      <c r="AS41" s="200">
        <f t="shared" ref="AS41" si="1409">IF(ISBLANK($P41),0,SUM(IF(LEFT($P41,1)=LEFT(AR41,1),$M$4),IF(RIGHT($P41,LEN($P41)-2)=RIGHT(AR41,LEN(AR41)-2),$M$5)))</f>
        <v>0</v>
      </c>
      <c r="AT41" t="s">
        <v>265</v>
      </c>
      <c r="AU41" s="200">
        <f t="shared" ref="AU41" si="1410">IF(ISBLANK($P41),0,SUM(IF(LEFT($P41,1)=LEFT(AT41,1),$M$4),IF(RIGHT($P41,LEN($P41)-2)=RIGHT(AT41,LEN(AT41)-2),$M$5)))</f>
        <v>0</v>
      </c>
      <c r="AV41" t="s">
        <v>326</v>
      </c>
      <c r="AW41" s="200">
        <f t="shared" ref="AW41" si="1411">IF(ISBLANK($P41),0,SUM(IF(LEFT($P41,1)=LEFT(AV41,1),$M$4),IF(RIGHT($P41,LEN($P41)-2)=RIGHT(AV41,LEN(AV41)-2),$M$5)))</f>
        <v>0</v>
      </c>
      <c r="AX41" t="s">
        <v>262</v>
      </c>
      <c r="AY41" s="200">
        <f t="shared" ref="AY41" si="1412">IF(ISBLANK($P41),0,SUM(IF(LEFT($P41,1)=LEFT(AX41,1),$M$4),IF(RIGHT($P41,LEN($P41)-2)=RIGHT(AX41,LEN(AX41)-2),$M$5)))</f>
        <v>0</v>
      </c>
      <c r="AZ41" t="s">
        <v>265</v>
      </c>
      <c r="BA41" s="200">
        <f t="shared" ref="BA41" si="1413">IF(ISBLANK($P41),0,SUM(IF(LEFT($P41,1)=LEFT(AZ41,1),$M$4),IF(RIGHT($P41,LEN($P41)-2)=RIGHT(AZ41,LEN(AZ41)-2),$M$5)))</f>
        <v>0</v>
      </c>
      <c r="BB41" t="s">
        <v>326</v>
      </c>
      <c r="BC41" s="200">
        <f t="shared" ref="BC41" si="1414">IF(ISBLANK($P41),0,SUM(IF(LEFT($P41,1)=LEFT(BB41,1),$M$4),IF(RIGHT($P41,LEN($P41)-2)=RIGHT(BB41,LEN(BB41)-2),$M$5)))</f>
        <v>0</v>
      </c>
      <c r="BD41" t="s">
        <v>330</v>
      </c>
      <c r="BE41" s="200">
        <f t="shared" ref="BE41" si="1415">IF(ISBLANK($P41),0,SUM(IF(LEFT($P41,1)=LEFT(BD41,1),$M$4),IF(RIGHT($P41,LEN($P41)-2)=RIGHT(BD41,LEN(BD41)-2),$M$5)))</f>
        <v>0</v>
      </c>
      <c r="BF41" t="s">
        <v>326</v>
      </c>
      <c r="BG41" s="200">
        <f t="shared" ref="BG41" si="1416">IF(ISBLANK($P41),0,SUM(IF(LEFT($P41,1)=LEFT(BF41,1),$M$4),IF(RIGHT($P41,LEN($P41)-2)=RIGHT(BF41,LEN(BF41)-2),$M$5)))</f>
        <v>0</v>
      </c>
      <c r="BH41" t="s">
        <v>268</v>
      </c>
      <c r="BI41" s="200">
        <f t="shared" ref="BI41" si="1417">IF(ISBLANK($P41),0,SUM(IF(LEFT($P41,1)=LEFT(BH41,1),$M$4),IF(RIGHT($P41,LEN($P41)-2)=RIGHT(BH41,LEN(BH41)-2),$M$5)))</f>
        <v>0</v>
      </c>
      <c r="BJ41" t="s">
        <v>262</v>
      </c>
      <c r="BK41" s="200">
        <f t="shared" ref="BK41" si="1418">IF(ISBLANK($P41),0,SUM(IF(LEFT($P41,1)=LEFT(BJ41,1),$M$4),IF(RIGHT($P41,LEN($P41)-2)=RIGHT(BJ41,LEN(BJ41)-2),$M$5)))</f>
        <v>0</v>
      </c>
      <c r="BL41" t="s">
        <v>323</v>
      </c>
      <c r="BM41" s="200">
        <f t="shared" ref="BM41" si="1419">IF(ISBLANK($P41),0,SUM(IF(LEFT($P41,1)=LEFT(BL41,1),$M$4),IF(RIGHT($P41,LEN($P41)-2)=RIGHT(BL41,LEN(BL41)-2),$M$5)))</f>
        <v>0</v>
      </c>
      <c r="BN41" t="s">
        <v>346</v>
      </c>
      <c r="BO41" s="200">
        <f t="shared" ref="BO41" si="1420">IF(ISBLANK($P41),0,SUM(IF(LEFT($P41,1)=LEFT(BN41,1),$M$4),IF(RIGHT($P41,LEN($P41)-2)=RIGHT(BN41,LEN(BN41)-2),$M$5)))</f>
        <v>0</v>
      </c>
      <c r="BP41" t="s">
        <v>271</v>
      </c>
      <c r="BQ41" s="200">
        <f t="shared" ref="BQ41" si="1421">IF(ISBLANK($P41),0,SUM(IF(LEFT($P41,1)=LEFT(BP41,1),$M$4),IF(RIGHT($P41,LEN($P41)-2)=RIGHT(BP41,LEN(BP41)-2),$M$5)))</f>
        <v>0</v>
      </c>
      <c r="BR41" t="s">
        <v>323</v>
      </c>
      <c r="BS41" s="200">
        <f t="shared" ref="BS41" si="1422">IF(ISBLANK($P41),0,SUM(IF(LEFT($P41,1)=LEFT(BR41,1),$M$4),IF(RIGHT($P41,LEN($P41)-2)=RIGHT(BR41,LEN(BR41)-2),$M$5)))</f>
        <v>0</v>
      </c>
      <c r="BT41" t="s">
        <v>330</v>
      </c>
      <c r="BU41" s="200">
        <f t="shared" ref="BU41" si="1423">IF(ISBLANK($P41),0,SUM(IF(LEFT($P41,1)=LEFT(BT41,1),$M$4),IF(RIGHT($P41,LEN($P41)-2)=RIGHT(BT41,LEN(BT41)-2),$M$5)))</f>
        <v>0</v>
      </c>
      <c r="BV41" t="s">
        <v>346</v>
      </c>
      <c r="BW41" s="200">
        <f t="shared" ref="BW41" si="1424">IF(ISBLANK($P41),0,SUM(IF(LEFT($P41,1)=LEFT(BV41,1),$M$4),IF(RIGHT($P41,LEN($P41)-2)=RIGHT(BV41,LEN(BV41)-2),$M$5)))</f>
        <v>0</v>
      </c>
      <c r="BX41" t="s">
        <v>323</v>
      </c>
      <c r="BY41" s="200">
        <f t="shared" ref="BY41" si="1425">IF(ISBLANK($P41),0,SUM(IF(LEFT($P41,1)=LEFT(BX41,1),$M$4),IF(RIGHT($P41,LEN($P41)-2)=RIGHT(BX41,LEN(BX41)-2),$M$5)))</f>
        <v>0</v>
      </c>
      <c r="BZ41" t="s">
        <v>265</v>
      </c>
      <c r="CA41" s="200">
        <f t="shared" ref="CA41" si="1426">IF(ISBLANK($P41),0,SUM(IF(LEFT($P41,1)=LEFT(BZ41,1),$M$4),IF(RIGHT($P41,LEN($P41)-2)=RIGHT(BZ41,LEN(BZ41)-2),$M$5)))</f>
        <v>0</v>
      </c>
      <c r="CB41" t="s">
        <v>330</v>
      </c>
      <c r="CC41" s="200">
        <f t="shared" ref="CC41" si="1427">IF(ISBLANK($P41),0,SUM(IF(LEFT($P41,1)=LEFT(CB41,1),$M$4),IF(RIGHT($P41,LEN($P41)-2)=RIGHT(CB41,LEN(CB41)-2),$M$5)))</f>
        <v>0</v>
      </c>
      <c r="CD41" t="s">
        <v>330</v>
      </c>
      <c r="CE41" s="200">
        <f t="shared" ref="CE41" si="1428">IF(ISBLANK($P41),0,SUM(IF(LEFT($P41,1)=LEFT(CD41,1),$M$4),IF(RIGHT($P41,LEN($P41)-2)=RIGHT(CD41,LEN(CD41)-2),$M$5)))</f>
        <v>0</v>
      </c>
      <c r="CF41" s="197" t="s">
        <v>323</v>
      </c>
      <c r="CG41" s="200">
        <f t="shared" ref="CG41" si="1429">IF(ISBLANK($P41),0,SUM(IF(LEFT($P41,1)=LEFT(CF41,1),$M$4),IF(RIGHT($P41,LEN($P41)-2)=RIGHT(CF41,LEN(CF41)-2),$M$5)))</f>
        <v>0</v>
      </c>
      <c r="CH41" t="s">
        <v>323</v>
      </c>
      <c r="CI41" s="200">
        <f t="shared" ref="CI41" si="1430">IF(ISBLANK($P41),0,SUM(IF(LEFT($P41,1)=LEFT(CH41,1),$M$4),IF(RIGHT($P41,LEN($P41)-2)=RIGHT(CH41,LEN(CH41)-2),$M$5)))</f>
        <v>0</v>
      </c>
      <c r="CJ41" t="s">
        <v>346</v>
      </c>
      <c r="CK41" s="200">
        <f t="shared" ref="CK41" si="1431">IF(ISBLANK($P41),0,SUM(IF(LEFT($P41,1)=LEFT(CJ41,1),$M$4),IF(RIGHT($P41,LEN($P41)-2)=RIGHT(CJ41,LEN(CJ41)-2),$M$5)))</f>
        <v>0</v>
      </c>
      <c r="CL41" s="197" t="s">
        <v>330</v>
      </c>
      <c r="CM41" s="200">
        <f t="shared" ref="CM41" si="1432">IF(ISBLANK($P41),0,SUM(IF(LEFT($P41,1)=LEFT(CL41,1),$M$4),IF(RIGHT($P41,LEN($P41)-2)=RIGHT(CL41,LEN(CL41)-2),$M$5)))</f>
        <v>0</v>
      </c>
      <c r="CN41" t="s">
        <v>323</v>
      </c>
      <c r="CO41" s="200">
        <f t="shared" ref="CO41" si="1433">IF(ISBLANK($P41),0,SUM(IF(LEFT($P41,1)=LEFT(CN41,1),$M$4),IF(RIGHT($P41,LEN($P41)-2)=RIGHT(CN41,LEN(CN41)-2),$M$5)))</f>
        <v>0</v>
      </c>
      <c r="CP41" t="s">
        <v>346</v>
      </c>
      <c r="CQ41" s="200">
        <f t="shared" ref="CQ41" si="1434">IF(ISBLANK($P41),0,SUM(IF(LEFT($P41,1)=LEFT(CP41,1),$M$4),IF(RIGHT($P41,LEN($P41)-2)=RIGHT(CP41,LEN(CP41)-2),$M$5)))</f>
        <v>0</v>
      </c>
      <c r="CR41" t="s">
        <v>262</v>
      </c>
      <c r="CS41" s="200">
        <f t="shared" ref="CS41" si="1435">IF(ISBLANK($P41),0,SUM(IF(LEFT($P41,1)=LEFT(CR41,1),$M$4),IF(RIGHT($P41,LEN($P41)-2)=RIGHT(CR41,LEN(CR41)-2),$M$5)))</f>
        <v>0</v>
      </c>
      <c r="CT41" s="197" t="s">
        <v>271</v>
      </c>
      <c r="CU41" s="200">
        <f t="shared" ref="CU41" si="1436">IF(ISBLANK($P41),0,SUM(IF(LEFT($P41,1)=LEFT(CT41,1),$M$4),IF(RIGHT($P41,LEN($P41)-2)=RIGHT(CT41,LEN(CT41)-2),$M$5)))</f>
        <v>0</v>
      </c>
      <c r="CV41" s="197" t="s">
        <v>346</v>
      </c>
      <c r="CW41" s="200">
        <f t="shared" ref="CW41" si="1437">IF(ISBLANK($P41),0,SUM(IF(LEFT($P41,1)=LEFT(CV41,1),$M$4),IF(RIGHT($P41,LEN($P41)-2)=RIGHT(CV41,LEN(CV41)-2),$M$5)))</f>
        <v>0</v>
      </c>
      <c r="CX41" s="197" t="s">
        <v>346</v>
      </c>
      <c r="CY41" s="200">
        <f t="shared" ref="CY41" si="1438">IF(ISBLANK($P41),0,SUM(IF(LEFT($P41,1)=LEFT(CX41,1),$M$4),IF(RIGHT($P41,LEN($P41)-2)=RIGHT(CX41,LEN(CX41)-2),$M$5)))</f>
        <v>0</v>
      </c>
      <c r="CZ41" s="197" t="s">
        <v>262</v>
      </c>
      <c r="DA41" s="200">
        <f t="shared" ref="DA41" si="1439">IF(ISBLANK($P41),0,SUM(IF(LEFT($P41,1)=LEFT(CZ41,1),$M$4),IF(RIGHT($P41,LEN($P41)-2)=RIGHT(CZ41,LEN(CZ41)-2),$M$5)))</f>
        <v>0</v>
      </c>
    </row>
    <row r="42" spans="1:105" x14ac:dyDescent="0.25">
      <c r="A42" s="188" t="s">
        <v>379</v>
      </c>
      <c r="B42" s="189">
        <f t="shared" si="722"/>
        <v>2</v>
      </c>
      <c r="C42" s="189">
        <f t="shared" si="723"/>
        <v>2.0419999999999998</v>
      </c>
      <c r="D42" s="189">
        <f>RANK(Tabla6[[#This Row],[PUNTOS1]],Tabla6[PUNTOS1],0)</f>
        <v>19</v>
      </c>
      <c r="E42" s="189">
        <f>RANK(Tabla6[[#This Row],[PUNTOS2]],Tabla6[PUNTOS2],0)</f>
        <v>31</v>
      </c>
      <c r="F42" s="188" t="str">
        <f t="shared" si="724"/>
        <v>MARTA IPIENS</v>
      </c>
      <c r="G42" s="188">
        <f t="shared" si="725"/>
        <v>2</v>
      </c>
      <c r="H42" s="94"/>
      <c r="I42" s="94"/>
      <c r="J42" s="189">
        <f t="shared" si="467"/>
        <v>24</v>
      </c>
      <c r="K42" s="200" t="str">
        <f>IF(Tabla5[[#This Row],[Puntos]]=M41,".",Tabla5[[#This Row],[PosReal]])</f>
        <v>.</v>
      </c>
      <c r="L42" s="193" t="str">
        <f>VLOOKUP(J42,Tabla6[[ORDEN2]:[PUNTOS]],2,FALSE)</f>
        <v>ENEKO ESEBERRI</v>
      </c>
      <c r="M42" s="194">
        <f>VLOOKUP(J42,Tabla6[[ORDEN2]:[PUNTOS]],3,FALSE)</f>
        <v>2</v>
      </c>
      <c r="U42" s="200"/>
      <c r="W42" s="200"/>
      <c r="Y42" s="200"/>
      <c r="AA42" s="200"/>
      <c r="AC42" s="200"/>
      <c r="AE42" s="200"/>
      <c r="AG42" s="200"/>
      <c r="AI42" s="200"/>
      <c r="AK42" s="200"/>
      <c r="AM42" s="200"/>
      <c r="AO42" s="200"/>
      <c r="AQ42" s="200"/>
      <c r="AS42" s="200"/>
      <c r="AU42" s="200"/>
      <c r="AW42" s="200"/>
      <c r="AY42" s="200"/>
      <c r="BA42" s="200"/>
      <c r="BC42" s="200"/>
      <c r="BE42" s="200"/>
      <c r="BG42" s="200"/>
      <c r="BI42" s="200"/>
      <c r="BK42" s="200"/>
      <c r="BM42" s="200"/>
      <c r="BO42" s="200"/>
      <c r="BQ42" s="200"/>
      <c r="BS42" s="200"/>
      <c r="BU42" s="200"/>
      <c r="BW42" s="200"/>
      <c r="BY42" s="200"/>
      <c r="CA42" s="200"/>
      <c r="CC42" s="200"/>
      <c r="CE42" s="200"/>
      <c r="CF42" s="197"/>
      <c r="CL42" s="197"/>
      <c r="CT42" s="197"/>
      <c r="CV42" s="197"/>
      <c r="CX42" s="197"/>
      <c r="CZ42" s="197"/>
    </row>
    <row r="43" spans="1:105" ht="17.25" customHeight="1" x14ac:dyDescent="0.35">
      <c r="A43" s="188" t="s">
        <v>380</v>
      </c>
      <c r="B43" s="189">
        <f t="shared" si="722"/>
        <v>2</v>
      </c>
      <c r="C43" s="189">
        <f t="shared" si="723"/>
        <v>2.0430000000000001</v>
      </c>
      <c r="D43" s="189">
        <f>RANK(Tabla6[[#This Row],[PUNTOS1]],Tabla6[PUNTOS1],0)</f>
        <v>19</v>
      </c>
      <c r="E43" s="189">
        <f>RANK(Tabla6[[#This Row],[PUNTOS2]],Tabla6[PUNTOS2],0)</f>
        <v>30</v>
      </c>
      <c r="F43" s="188" t="str">
        <f t="shared" si="724"/>
        <v>ORTZI ARRONDO</v>
      </c>
      <c r="G43" s="188">
        <f t="shared" si="725"/>
        <v>2</v>
      </c>
      <c r="H43" s="94"/>
      <c r="I43" s="94"/>
      <c r="J43" s="189">
        <f t="shared" si="467"/>
        <v>25</v>
      </c>
      <c r="K43" s="200" t="str">
        <f>IF(Tabla5[[#This Row],[Puntos]]=M42,".",Tabla5[[#This Row],[PosReal]])</f>
        <v>.</v>
      </c>
      <c r="L43" s="193" t="str">
        <f>VLOOKUP(J43,Tabla6[[ORDEN2]:[PUNTOS]],2,FALSE)</f>
        <v>XABI GOÑI</v>
      </c>
      <c r="M43" s="194">
        <f>VLOOKUP(J43,Tabla6[[ORDEN2]:[PUNTOS]],3,FALSE)</f>
        <v>2</v>
      </c>
      <c r="O43" s="96" t="s">
        <v>210</v>
      </c>
      <c r="U43" s="200"/>
      <c r="W43" s="200"/>
      <c r="Y43" s="200"/>
      <c r="AA43" s="200"/>
      <c r="AC43" s="200"/>
      <c r="AE43" s="200"/>
      <c r="AG43" s="200"/>
      <c r="AI43" s="200"/>
      <c r="AK43" s="200"/>
      <c r="AM43" s="200"/>
      <c r="AO43" s="200"/>
      <c r="AQ43" s="200"/>
      <c r="AS43" s="200"/>
      <c r="AU43" s="200"/>
      <c r="AW43" s="200"/>
      <c r="AY43" s="200"/>
      <c r="BA43" s="200"/>
      <c r="BC43" s="200"/>
      <c r="BE43" s="200"/>
      <c r="BG43" s="200"/>
      <c r="BI43" s="200"/>
      <c r="BK43" s="200"/>
      <c r="BM43" s="200"/>
      <c r="BO43" s="200"/>
      <c r="BQ43" s="200"/>
      <c r="BS43" s="200"/>
      <c r="BU43" s="200"/>
      <c r="BW43" s="200"/>
      <c r="BY43" s="200"/>
      <c r="CA43" s="200"/>
      <c r="CC43" s="200"/>
      <c r="CE43" s="200"/>
      <c r="CF43" s="197"/>
      <c r="CL43" s="197"/>
      <c r="CT43" s="197"/>
      <c r="CV43" s="197"/>
      <c r="CX43" s="197"/>
      <c r="CZ43" s="197"/>
    </row>
    <row r="44" spans="1:105" x14ac:dyDescent="0.25">
      <c r="A44" s="188" t="s">
        <v>381</v>
      </c>
      <c r="B44" s="189">
        <f t="shared" si="722"/>
        <v>3</v>
      </c>
      <c r="C44" s="189">
        <f t="shared" si="723"/>
        <v>3.044</v>
      </c>
      <c r="D44" s="189">
        <f>RANK(Tabla6[[#This Row],[PUNTOS1]],Tabla6[PUNTOS1],0)</f>
        <v>1</v>
      </c>
      <c r="E44" s="189">
        <f>RANK(Tabla6[[#This Row],[PUNTOS2]],Tabla6[PUNTOS2],0)</f>
        <v>8</v>
      </c>
      <c r="F44" s="188" t="str">
        <f t="shared" si="724"/>
        <v>PABLO MUNÁRRIZ</v>
      </c>
      <c r="G44" s="188">
        <f t="shared" si="725"/>
        <v>3</v>
      </c>
      <c r="H44" s="94"/>
      <c r="I44" s="94"/>
      <c r="J44" s="189">
        <f t="shared" si="467"/>
        <v>26</v>
      </c>
      <c r="K44" s="200" t="str">
        <f>IF(Tabla5[[#This Row],[Puntos]]=M43,".",Tabla5[[#This Row],[PosReal]])</f>
        <v>.</v>
      </c>
      <c r="L44" s="193" t="str">
        <f>VLOOKUP(J44,Tabla6[[ORDEN2]:[PUNTOS]],2,FALSE)</f>
        <v>VICENTE URDANOZ</v>
      </c>
      <c r="M44" s="194">
        <f>VLOOKUP(J44,Tabla6[[ORDEN2]:[PUNTOS]],3,FALSE)</f>
        <v>2</v>
      </c>
      <c r="O44" s="10" t="s">
        <v>211</v>
      </c>
      <c r="P44" s="10"/>
      <c r="Q44" s="5"/>
      <c r="R44" s="97" t="s">
        <v>104</v>
      </c>
      <c r="S44" s="97">
        <f>IF($P44=R44,$M$6,0)</f>
        <v>0</v>
      </c>
      <c r="T44" s="97" t="s">
        <v>104</v>
      </c>
      <c r="U44" s="200">
        <f>IF($P44=T44,$M$6,0)</f>
        <v>0</v>
      </c>
      <c r="V44" s="97" t="s">
        <v>104</v>
      </c>
      <c r="W44" s="200">
        <f>IF($P44=V44,$M$6,0)</f>
        <v>0</v>
      </c>
      <c r="X44" s="97" t="s">
        <v>104</v>
      </c>
      <c r="Y44" s="200">
        <f>IF($P44=X44,$M$6,0)</f>
        <v>0</v>
      </c>
      <c r="Z44" s="97" t="s">
        <v>104</v>
      </c>
      <c r="AA44" s="200">
        <f>IF($P44=Z44,$M$6,0)</f>
        <v>0</v>
      </c>
      <c r="AB44" s="97" t="s">
        <v>104</v>
      </c>
      <c r="AC44" s="200">
        <f>IF($P44=AB44,$M$6,0)</f>
        <v>0</v>
      </c>
      <c r="AD44" t="s">
        <v>104</v>
      </c>
      <c r="AE44" s="200">
        <f>IF($P44=AD44,$M$6,0)</f>
        <v>0</v>
      </c>
      <c r="AF44" t="s">
        <v>104</v>
      </c>
      <c r="AG44" s="200">
        <f>IF($P44=AF44,$M$6,0)</f>
        <v>0</v>
      </c>
      <c r="AH44" t="s">
        <v>104</v>
      </c>
      <c r="AI44" s="200">
        <f>IF($P44=AH44,$M$6,0)</f>
        <v>0</v>
      </c>
      <c r="AJ44" t="s">
        <v>104</v>
      </c>
      <c r="AK44" s="200">
        <f>IF($P44=AJ44,$M$6,0)</f>
        <v>0</v>
      </c>
      <c r="AL44" t="s">
        <v>104</v>
      </c>
      <c r="AM44" s="200">
        <f>IF($P44=AL44,$M$6,0)</f>
        <v>0</v>
      </c>
      <c r="AN44" t="s">
        <v>104</v>
      </c>
      <c r="AO44" s="200">
        <f>IF($P44=AN44,$M$6,0)</f>
        <v>0</v>
      </c>
      <c r="AP44" t="s">
        <v>104</v>
      </c>
      <c r="AQ44" s="200">
        <f>IF($P44=AP44,$M$6,0)</f>
        <v>0</v>
      </c>
      <c r="AR44" t="s">
        <v>104</v>
      </c>
      <c r="AS44" s="200">
        <f>IF($P44=AR44,$M$6,0)</f>
        <v>0</v>
      </c>
      <c r="AT44" t="s">
        <v>104</v>
      </c>
      <c r="AU44" s="200">
        <f>IF($P44=AT44,$M$6,0)</f>
        <v>0</v>
      </c>
      <c r="AV44" t="s">
        <v>104</v>
      </c>
      <c r="AW44" s="200">
        <f>IF($P44=AV44,$M$6,0)</f>
        <v>0</v>
      </c>
      <c r="AX44" t="s">
        <v>104</v>
      </c>
      <c r="AY44" s="200">
        <f>IF($P44=AX44,$M$6,0)</f>
        <v>0</v>
      </c>
      <c r="AZ44" t="s">
        <v>104</v>
      </c>
      <c r="BA44" s="200">
        <f>IF($P44=AZ44,$M$6,0)</f>
        <v>0</v>
      </c>
      <c r="BB44" t="s">
        <v>104</v>
      </c>
      <c r="BC44" s="200">
        <f>IF($P44=BB44,$M$6,0)</f>
        <v>0</v>
      </c>
      <c r="BD44" t="s">
        <v>104</v>
      </c>
      <c r="BE44" s="200">
        <f>IF($P44=BD44,$M$6,0)</f>
        <v>0</v>
      </c>
      <c r="BF44" t="s">
        <v>104</v>
      </c>
      <c r="BG44" s="200">
        <f>IF($P44=BF44,$M$6,0)</f>
        <v>0</v>
      </c>
      <c r="BH44" t="s">
        <v>104</v>
      </c>
      <c r="BI44" s="200">
        <f>IF($P44=BH44,$M$6,0)</f>
        <v>0</v>
      </c>
      <c r="BJ44" t="s">
        <v>104</v>
      </c>
      <c r="BK44" s="200">
        <f>IF($P44=BJ44,$M$6,0)</f>
        <v>0</v>
      </c>
      <c r="BL44" t="s">
        <v>104</v>
      </c>
      <c r="BM44" s="200">
        <f>IF($P44=BL44,$M$6,0)</f>
        <v>0</v>
      </c>
      <c r="BN44" t="s">
        <v>104</v>
      </c>
      <c r="BO44" s="200">
        <f>IF($P44=BN44,$M$6,0)</f>
        <v>0</v>
      </c>
      <c r="BP44" t="s">
        <v>104</v>
      </c>
      <c r="BQ44" s="200">
        <f>IF($P44=BP44,$M$6,0)</f>
        <v>0</v>
      </c>
      <c r="BR44" t="s">
        <v>104</v>
      </c>
      <c r="BS44" s="200">
        <f>IF($P44=BR44,$M$6,0)</f>
        <v>0</v>
      </c>
      <c r="BT44" t="s">
        <v>104</v>
      </c>
      <c r="BU44" s="200">
        <f>IF($P44=BT44,$M$6,0)</f>
        <v>0</v>
      </c>
      <c r="BV44" t="s">
        <v>104</v>
      </c>
      <c r="BW44" s="200">
        <f>IF($P44=BV44,$M$6,0)</f>
        <v>0</v>
      </c>
      <c r="BX44" t="s">
        <v>112</v>
      </c>
      <c r="BY44" s="200">
        <f>IF($P44=BX44,$M$6,0)</f>
        <v>0</v>
      </c>
      <c r="BZ44" t="s">
        <v>104</v>
      </c>
      <c r="CA44" s="200">
        <f>IF($P44=BZ44,$M$6,0)</f>
        <v>0</v>
      </c>
      <c r="CB44" t="s">
        <v>104</v>
      </c>
      <c r="CC44" s="200">
        <f>IF($P44=CB44,$M$6,0)</f>
        <v>0</v>
      </c>
      <c r="CD44" t="s">
        <v>104</v>
      </c>
      <c r="CE44" s="200">
        <f>IF($P44=CD44,$M$6,0)</f>
        <v>0</v>
      </c>
      <c r="CF44" s="197" t="s">
        <v>104</v>
      </c>
      <c r="CG44" s="200">
        <f>IF($P44=CF44,$M$6,0)</f>
        <v>0</v>
      </c>
      <c r="CH44" t="s">
        <v>104</v>
      </c>
      <c r="CI44" s="200">
        <f>IF($P44=CH44,$M$6,0)</f>
        <v>0</v>
      </c>
      <c r="CJ44" t="s">
        <v>104</v>
      </c>
      <c r="CK44" s="200">
        <f>IF($P44=CJ44,$M$6,0)</f>
        <v>0</v>
      </c>
      <c r="CL44" s="197" t="s">
        <v>104</v>
      </c>
      <c r="CM44" s="200">
        <f>IF($P44=CL44,$M$6,0)</f>
        <v>0</v>
      </c>
      <c r="CN44" t="s">
        <v>104</v>
      </c>
      <c r="CO44" s="200">
        <f>IF($P44=CN44,$M$6,0)</f>
        <v>0</v>
      </c>
      <c r="CP44" t="s">
        <v>104</v>
      </c>
      <c r="CQ44" s="200">
        <f>IF($P44=CP44,$M$6,0)</f>
        <v>0</v>
      </c>
      <c r="CR44" t="s">
        <v>104</v>
      </c>
      <c r="CS44" s="200">
        <f>IF($P44=CR44,$M$6,0)</f>
        <v>0</v>
      </c>
      <c r="CT44" s="197" t="s">
        <v>104</v>
      </c>
      <c r="CU44" s="200">
        <f>IF($P44=CT44,$M$6,0)</f>
        <v>0</v>
      </c>
      <c r="CV44" s="197" t="s">
        <v>104</v>
      </c>
      <c r="CW44" s="200">
        <f>IF($P44=CV44,$M$6,0)</f>
        <v>0</v>
      </c>
      <c r="CX44" s="197" t="s">
        <v>104</v>
      </c>
      <c r="CY44" s="200">
        <f>IF($P44=CX44,$M$6,0)</f>
        <v>0</v>
      </c>
      <c r="CZ44" s="197" t="s">
        <v>104</v>
      </c>
      <c r="DA44" s="200">
        <f>IF($P44=CZ44,$M$6,0)</f>
        <v>0</v>
      </c>
    </row>
    <row r="45" spans="1:105" x14ac:dyDescent="0.25">
      <c r="A45" s="188" t="s">
        <v>384</v>
      </c>
      <c r="B45" s="189">
        <f t="shared" si="722"/>
        <v>2</v>
      </c>
      <c r="C45" s="189">
        <f t="shared" si="723"/>
        <v>2.0449999999999999</v>
      </c>
      <c r="D45" s="189">
        <f>RANK(Tabla6[[#This Row],[PUNTOS1]],Tabla6[PUNTOS1],0)</f>
        <v>19</v>
      </c>
      <c r="E45" s="189">
        <f>RANK(Tabla6[[#This Row],[PUNTOS2]],Tabla6[PUNTOS2],0)</f>
        <v>29</v>
      </c>
      <c r="F45" s="188" t="str">
        <f t="shared" si="724"/>
        <v>PATXI SOLANA</v>
      </c>
      <c r="G45" s="188">
        <f t="shared" si="725"/>
        <v>2</v>
      </c>
      <c r="H45" s="94"/>
      <c r="I45" s="94"/>
      <c r="J45" s="189">
        <f t="shared" si="467"/>
        <v>27</v>
      </c>
      <c r="K45" s="200" t="str">
        <f>IF(Tabla5[[#This Row],[Puntos]]=M44,".",Tabla5[[#This Row],[PosReal]])</f>
        <v>.</v>
      </c>
      <c r="L45" s="193" t="str">
        <f>VLOOKUP(J45,Tabla6[[ORDEN2]:[PUNTOS]],2,FALSE)</f>
        <v>SANTI GARCÍA</v>
      </c>
      <c r="M45" s="194">
        <f>VLOOKUP(J45,Tabla6[[ORDEN2]:[PUNTOS]],3,FALSE)</f>
        <v>2</v>
      </c>
      <c r="O45" s="10" t="s">
        <v>212</v>
      </c>
      <c r="P45" s="10"/>
      <c r="Q45" s="5"/>
      <c r="R45" s="97" t="s">
        <v>112</v>
      </c>
      <c r="S45" s="97">
        <f>IF($P45=R45,$M$7,0)</f>
        <v>0</v>
      </c>
      <c r="T45" s="97" t="s">
        <v>112</v>
      </c>
      <c r="U45" s="200">
        <f>IF($P45=T45,$M$7,0)</f>
        <v>0</v>
      </c>
      <c r="V45" s="97" t="s">
        <v>112</v>
      </c>
      <c r="W45" s="200">
        <f>IF($P45=V45,$M$7,0)</f>
        <v>0</v>
      </c>
      <c r="X45" s="97" t="s">
        <v>118</v>
      </c>
      <c r="Y45" s="200">
        <f>IF($P45=X45,$M$7,0)</f>
        <v>0</v>
      </c>
      <c r="Z45" s="97" t="s">
        <v>112</v>
      </c>
      <c r="AA45" s="200">
        <f>IF($P45=Z45,$M$7,0)</f>
        <v>0</v>
      </c>
      <c r="AB45" s="97" t="s">
        <v>112</v>
      </c>
      <c r="AC45" s="200">
        <f>IF($P45=AB45,$M$7,0)</f>
        <v>0</v>
      </c>
      <c r="AD45" t="s">
        <v>112</v>
      </c>
      <c r="AE45" s="200">
        <f>IF($P45=AD45,$M$7,0)</f>
        <v>0</v>
      </c>
      <c r="AF45" t="s">
        <v>112</v>
      </c>
      <c r="AG45" s="200">
        <f>IF($P45=AF45,$M$7,0)</f>
        <v>0</v>
      </c>
      <c r="AH45" t="s">
        <v>112</v>
      </c>
      <c r="AI45" s="200">
        <f>IF($P45=AH45,$M$7,0)</f>
        <v>0</v>
      </c>
      <c r="AJ45" t="s">
        <v>112</v>
      </c>
      <c r="AK45" s="200">
        <f>IF($P45=AJ45,$M$7,0)</f>
        <v>0</v>
      </c>
      <c r="AL45" t="s">
        <v>125</v>
      </c>
      <c r="AM45" s="200">
        <f>IF($P45=AL45,$M$7,0)</f>
        <v>0</v>
      </c>
      <c r="AN45" t="s">
        <v>112</v>
      </c>
      <c r="AO45" s="200">
        <f>IF($P45=AN45,$M$7,0)</f>
        <v>0</v>
      </c>
      <c r="AP45" t="s">
        <v>112</v>
      </c>
      <c r="AQ45" s="200">
        <f>IF($P45=AP45,$M$7,0)</f>
        <v>0</v>
      </c>
      <c r="AR45" t="s">
        <v>112</v>
      </c>
      <c r="AS45" s="200">
        <f>IF($P45=AR45,$M$7,0)</f>
        <v>0</v>
      </c>
      <c r="AT45" t="s">
        <v>112</v>
      </c>
      <c r="AU45" s="200">
        <f>IF($P45=AT45,$M$7,0)</f>
        <v>0</v>
      </c>
      <c r="AV45" t="s">
        <v>112</v>
      </c>
      <c r="AW45" s="200">
        <f>IF($P45=AV45,$M$7,0)</f>
        <v>0</v>
      </c>
      <c r="AX45" t="s">
        <v>112</v>
      </c>
      <c r="AY45" s="200">
        <f>IF($P45=AX45,$M$7,0)</f>
        <v>0</v>
      </c>
      <c r="AZ45" t="s">
        <v>112</v>
      </c>
      <c r="BA45" s="200">
        <f>IF($P45=AZ45,$M$7,0)</f>
        <v>0</v>
      </c>
      <c r="BB45" t="s">
        <v>112</v>
      </c>
      <c r="BC45" s="200">
        <f>IF($P45=BB45,$M$7,0)</f>
        <v>0</v>
      </c>
      <c r="BD45" t="s">
        <v>118</v>
      </c>
      <c r="BE45" s="200">
        <f>IF($P45=BD45,$M$7,0)</f>
        <v>0</v>
      </c>
      <c r="BF45" t="s">
        <v>112</v>
      </c>
      <c r="BG45" s="200">
        <f>IF($P45=BF45,$M$7,0)</f>
        <v>0</v>
      </c>
      <c r="BH45" t="s">
        <v>112</v>
      </c>
      <c r="BI45" s="200">
        <f>IF($P45=BH45,$M$7,0)</f>
        <v>0</v>
      </c>
      <c r="BJ45" t="s">
        <v>112</v>
      </c>
      <c r="BK45" s="200">
        <f>IF($P45=BJ45,$M$7,0)</f>
        <v>0</v>
      </c>
      <c r="BL45" t="s">
        <v>112</v>
      </c>
      <c r="BM45" s="200">
        <f>IF($P45=BL45,$M$7,0)</f>
        <v>0</v>
      </c>
      <c r="BN45" t="s">
        <v>112</v>
      </c>
      <c r="BO45" s="200">
        <f>IF($P45=BN45,$M$7,0)</f>
        <v>0</v>
      </c>
      <c r="BP45" t="s">
        <v>112</v>
      </c>
      <c r="BQ45" s="200">
        <f>IF($P45=BP45,$M$7,0)</f>
        <v>0</v>
      </c>
      <c r="BR45" t="s">
        <v>112</v>
      </c>
      <c r="BS45" s="200">
        <f>IF($P45=BR45,$M$7,0)</f>
        <v>0</v>
      </c>
      <c r="BT45" t="s">
        <v>112</v>
      </c>
      <c r="BU45" s="200">
        <f>IF($P45=BT45,$M$7,0)</f>
        <v>0</v>
      </c>
      <c r="BV45" t="s">
        <v>112</v>
      </c>
      <c r="BW45" s="200">
        <f>IF($P45=BV45,$M$7,0)</f>
        <v>0</v>
      </c>
      <c r="BX45" t="s">
        <v>104</v>
      </c>
      <c r="BY45" s="200">
        <f>IF($P45=BX45,$M$7,0)</f>
        <v>0</v>
      </c>
      <c r="BZ45" t="s">
        <v>118</v>
      </c>
      <c r="CA45" s="200">
        <f>IF($P45=BZ45,$M$7,0)</f>
        <v>0</v>
      </c>
      <c r="CB45" t="s">
        <v>118</v>
      </c>
      <c r="CC45" s="200">
        <f>IF($P45=CB45,$M$7,0)</f>
        <v>0</v>
      </c>
      <c r="CD45" t="s">
        <v>112</v>
      </c>
      <c r="CE45" s="200">
        <f>IF($P45=CD45,$M$7,0)</f>
        <v>0</v>
      </c>
      <c r="CF45" s="197" t="s">
        <v>112</v>
      </c>
      <c r="CG45" s="200">
        <f>IF($P45=CF45,$M$7,0)</f>
        <v>0</v>
      </c>
      <c r="CH45" t="s">
        <v>112</v>
      </c>
      <c r="CI45" s="200">
        <f>IF($P45=CH45,$M$7,0)</f>
        <v>0</v>
      </c>
      <c r="CJ45" t="s">
        <v>112</v>
      </c>
      <c r="CK45" s="200">
        <f>IF($P45=CJ45,$M$7,0)</f>
        <v>0</v>
      </c>
      <c r="CL45" s="197" t="s">
        <v>112</v>
      </c>
      <c r="CM45" s="200">
        <f>IF($P45=CL45,$M$7,0)</f>
        <v>0</v>
      </c>
      <c r="CN45" t="s">
        <v>112</v>
      </c>
      <c r="CO45" s="200">
        <f>IF($P45=CN45,$M$7,0)</f>
        <v>0</v>
      </c>
      <c r="CP45" t="s">
        <v>118</v>
      </c>
      <c r="CQ45" s="200">
        <f>IF($P45=CP45,$M$7,0)</f>
        <v>0</v>
      </c>
      <c r="CR45" t="s">
        <v>118</v>
      </c>
      <c r="CS45" s="200">
        <f>IF($P45=CR45,$M$7,0)</f>
        <v>0</v>
      </c>
      <c r="CT45" s="197" t="s">
        <v>118</v>
      </c>
      <c r="CU45" s="200">
        <f>IF($P45=CT45,$M$7,0)</f>
        <v>0</v>
      </c>
      <c r="CV45" s="197" t="s">
        <v>118</v>
      </c>
      <c r="CW45" s="200">
        <f>IF($P45=CV45,$M$7,0)</f>
        <v>0</v>
      </c>
      <c r="CX45" s="197" t="s">
        <v>112</v>
      </c>
      <c r="CY45" s="200">
        <f>IF($P45=CX45,$M$7,0)</f>
        <v>0</v>
      </c>
      <c r="CZ45" s="197" t="s">
        <v>112</v>
      </c>
      <c r="DA45" s="200">
        <f>IF($P45=CZ45,$M$7,0)</f>
        <v>0</v>
      </c>
    </row>
    <row r="46" spans="1:105" x14ac:dyDescent="0.25">
      <c r="A46" s="188" t="s">
        <v>385</v>
      </c>
      <c r="B46" s="189">
        <f t="shared" si="722"/>
        <v>3</v>
      </c>
      <c r="C46" s="189">
        <f t="shared" si="723"/>
        <v>3.0459999999999998</v>
      </c>
      <c r="D46" s="189">
        <f>RANK(Tabla6[[#This Row],[PUNTOS1]],Tabla6[PUNTOS1],0)</f>
        <v>1</v>
      </c>
      <c r="E46" s="189">
        <f>RANK(Tabla6[[#This Row],[PUNTOS2]],Tabla6[PUNTOS2],0)</f>
        <v>7</v>
      </c>
      <c r="F46" s="188" t="str">
        <f t="shared" si="724"/>
        <v>PEDRO MENDIVE</v>
      </c>
      <c r="G46" s="188">
        <f t="shared" si="725"/>
        <v>3</v>
      </c>
      <c r="H46" s="94"/>
      <c r="I46" s="94"/>
      <c r="J46" s="189">
        <f t="shared" si="467"/>
        <v>28</v>
      </c>
      <c r="K46" s="200" t="str">
        <f>IF(Tabla5[[#This Row],[Puntos]]=M45,".",Tabla5[[#This Row],[PosReal]])</f>
        <v>.</v>
      </c>
      <c r="L46" s="193" t="str">
        <f>VLOOKUP(J46,Tabla6[[ORDEN2]:[PUNTOS]],2,FALSE)</f>
        <v>RUBÉN ASTRAIN</v>
      </c>
      <c r="M46" s="194">
        <f>VLOOKUP(J46,Tabla6[[ORDEN2]:[PUNTOS]],3,FALSE)</f>
        <v>2</v>
      </c>
      <c r="O46" s="10" t="s">
        <v>213</v>
      </c>
      <c r="P46" s="10"/>
      <c r="Q46" s="5"/>
      <c r="R46" s="97" t="s">
        <v>118</v>
      </c>
      <c r="S46" s="97">
        <f>IF($P46=R46,$M$8,0)</f>
        <v>0</v>
      </c>
      <c r="T46" s="97" t="s">
        <v>118</v>
      </c>
      <c r="U46" s="200">
        <f>IF($P46=T46,$M$8,0)</f>
        <v>0</v>
      </c>
      <c r="V46" s="97" t="s">
        <v>118</v>
      </c>
      <c r="W46" s="200">
        <f>IF($P46=V46,$M$8,0)</f>
        <v>0</v>
      </c>
      <c r="X46" s="97" t="s">
        <v>112</v>
      </c>
      <c r="Y46" s="200">
        <f>IF($P46=X46,$M$8,0)</f>
        <v>0</v>
      </c>
      <c r="Z46" s="97" t="s">
        <v>118</v>
      </c>
      <c r="AA46" s="200">
        <f>IF($P46=Z46,$M$8,0)</f>
        <v>0</v>
      </c>
      <c r="AB46" s="97" t="s">
        <v>118</v>
      </c>
      <c r="AC46" s="200">
        <f>IF($P46=AB46,$M$8,0)</f>
        <v>0</v>
      </c>
      <c r="AD46" t="s">
        <v>118</v>
      </c>
      <c r="AE46" s="200">
        <f>IF($P46=AD46,$M$8,0)</f>
        <v>0</v>
      </c>
      <c r="AF46" t="s">
        <v>125</v>
      </c>
      <c r="AG46" s="200">
        <f>IF($P46=AF46,$M$8,0)</f>
        <v>0</v>
      </c>
      <c r="AH46" t="s">
        <v>118</v>
      </c>
      <c r="AI46" s="200">
        <f>IF($P46=AH46,$M$8,0)</f>
        <v>0</v>
      </c>
      <c r="AJ46" t="s">
        <v>118</v>
      </c>
      <c r="AK46" s="200">
        <f>IF($P46=AJ46,$M$8,0)</f>
        <v>0</v>
      </c>
      <c r="AL46" t="s">
        <v>118</v>
      </c>
      <c r="AM46" s="200">
        <f>IF($P46=AL46,$M$8,0)</f>
        <v>0</v>
      </c>
      <c r="AN46" t="s">
        <v>118</v>
      </c>
      <c r="AO46" s="200">
        <f>IF($P46=AN46,$M$8,0)</f>
        <v>0</v>
      </c>
      <c r="AP46" t="s">
        <v>118</v>
      </c>
      <c r="AQ46" s="200">
        <f>IF($P46=AP46,$M$8,0)</f>
        <v>0</v>
      </c>
      <c r="AR46" t="s">
        <v>118</v>
      </c>
      <c r="AS46" s="200">
        <f>IF($P46=AR46,$M$8,0)</f>
        <v>0</v>
      </c>
      <c r="AT46" t="s">
        <v>125</v>
      </c>
      <c r="AU46" s="200">
        <f>IF($P46=AT46,$M$8,0)</f>
        <v>0</v>
      </c>
      <c r="AV46" t="s">
        <v>125</v>
      </c>
      <c r="AW46" s="200">
        <f>IF($P46=AV46,$M$8,0)</f>
        <v>0</v>
      </c>
      <c r="AX46" t="s">
        <v>118</v>
      </c>
      <c r="AY46" s="200">
        <f>IF($P46=AX46,$M$8,0)</f>
        <v>0</v>
      </c>
      <c r="AZ46" t="s">
        <v>118</v>
      </c>
      <c r="BA46" s="200">
        <f>IF($P46=AZ46,$M$8,0)</f>
        <v>0</v>
      </c>
      <c r="BB46" t="s">
        <v>118</v>
      </c>
      <c r="BC46" s="200">
        <f>IF($P46=BB46,$M$8,0)</f>
        <v>0</v>
      </c>
      <c r="BD46" t="s">
        <v>112</v>
      </c>
      <c r="BE46" s="200">
        <f>IF($P46=BD46,$M$8,0)</f>
        <v>0</v>
      </c>
      <c r="BF46" t="s">
        <v>118</v>
      </c>
      <c r="BG46" s="200">
        <f>IF($P46=BF46,$M$8,0)</f>
        <v>0</v>
      </c>
      <c r="BH46" t="s">
        <v>125</v>
      </c>
      <c r="BI46" s="200">
        <f>IF($P46=BH46,$M$8,0)</f>
        <v>0</v>
      </c>
      <c r="BJ46" t="s">
        <v>118</v>
      </c>
      <c r="BK46" s="200">
        <f>IF($P46=BJ46,$M$8,0)</f>
        <v>0</v>
      </c>
      <c r="BL46" t="s">
        <v>125</v>
      </c>
      <c r="BM46" s="200">
        <f>IF($P46=BL46,$M$8,0)</f>
        <v>0</v>
      </c>
      <c r="BN46" t="s">
        <v>118</v>
      </c>
      <c r="BO46" s="200">
        <f>IF($P46=BN46,$M$8,0)</f>
        <v>0</v>
      </c>
      <c r="BP46" t="s">
        <v>118</v>
      </c>
      <c r="BQ46" s="200">
        <f>IF($P46=BP46,$M$8,0)</f>
        <v>0</v>
      </c>
      <c r="BR46" t="s">
        <v>118</v>
      </c>
      <c r="BS46" s="200">
        <f>IF($P46=BR46,$M$8,0)</f>
        <v>0</v>
      </c>
      <c r="BT46" t="s">
        <v>118</v>
      </c>
      <c r="BU46" s="200">
        <f>IF($P46=BT46,$M$8,0)</f>
        <v>0</v>
      </c>
      <c r="BV46" t="s">
        <v>118</v>
      </c>
      <c r="BW46" s="200">
        <f>IF($P46=BV46,$M$8,0)</f>
        <v>0</v>
      </c>
      <c r="BX46" t="s">
        <v>125</v>
      </c>
      <c r="BY46" s="200">
        <f>IF($P46=BX46,$M$8,0)</f>
        <v>0</v>
      </c>
      <c r="BZ46" t="s">
        <v>112</v>
      </c>
      <c r="CA46" s="200">
        <f>IF($P46=BZ46,$M$8,0)</f>
        <v>0</v>
      </c>
      <c r="CB46" t="s">
        <v>112</v>
      </c>
      <c r="CC46" s="200">
        <f>IF($P46=CB46,$M$8,0)</f>
        <v>0</v>
      </c>
      <c r="CD46" t="s">
        <v>118</v>
      </c>
      <c r="CE46" s="200">
        <f>IF($P46=CD46,$M$8,0)</f>
        <v>0</v>
      </c>
      <c r="CF46" s="197" t="s">
        <v>118</v>
      </c>
      <c r="CG46" s="200">
        <f>IF($P46=CF46,$M$8,0)</f>
        <v>0</v>
      </c>
      <c r="CH46" t="s">
        <v>125</v>
      </c>
      <c r="CI46" s="200">
        <f>IF($P46=CH46,$M$8,0)</f>
        <v>0</v>
      </c>
      <c r="CJ46" t="s">
        <v>118</v>
      </c>
      <c r="CK46" s="200">
        <f>IF($P46=CJ46,$M$8,0)</f>
        <v>0</v>
      </c>
      <c r="CL46" s="197" t="s">
        <v>118</v>
      </c>
      <c r="CM46" s="200">
        <f>IF($P46=CL46,$M$8,0)</f>
        <v>0</v>
      </c>
      <c r="CN46" t="s">
        <v>118</v>
      </c>
      <c r="CO46" s="200">
        <f>IF($P46=CN46,$M$8,0)</f>
        <v>0</v>
      </c>
      <c r="CP46" t="s">
        <v>112</v>
      </c>
      <c r="CQ46" s="200">
        <f>IF($P46=CP46,$M$8,0)</f>
        <v>0</v>
      </c>
      <c r="CR46" t="s">
        <v>112</v>
      </c>
      <c r="CS46" s="200">
        <f>IF($P46=CR46,$M$8,0)</f>
        <v>0</v>
      </c>
      <c r="CT46" s="197" t="s">
        <v>112</v>
      </c>
      <c r="CU46" s="200">
        <f>IF($P46=CT46,$M$8,0)</f>
        <v>0</v>
      </c>
      <c r="CV46" s="197" t="s">
        <v>112</v>
      </c>
      <c r="CW46" s="200">
        <f>IF($P46=CV46,$M$8,0)</f>
        <v>0</v>
      </c>
      <c r="CX46" s="197" t="s">
        <v>118</v>
      </c>
      <c r="CY46" s="200">
        <f>IF($P46=CX46,$M$8,0)</f>
        <v>0</v>
      </c>
      <c r="CZ46" s="197" t="s">
        <v>118</v>
      </c>
      <c r="DA46" s="200">
        <f>IF($P46=CZ46,$M$8,0)</f>
        <v>0</v>
      </c>
    </row>
    <row r="47" spans="1:105" x14ac:dyDescent="0.25">
      <c r="A47" s="188" t="s">
        <v>386</v>
      </c>
      <c r="B47" s="189">
        <f t="shared" si="722"/>
        <v>3</v>
      </c>
      <c r="C47" s="189">
        <f t="shared" si="723"/>
        <v>3.0470000000000002</v>
      </c>
      <c r="D47" s="189">
        <f>RANK(Tabla6[[#This Row],[PUNTOS1]],Tabla6[PUNTOS1],0)</f>
        <v>1</v>
      </c>
      <c r="E47" s="189">
        <f>RANK(Tabla6[[#This Row],[PUNTOS2]],Tabla6[PUNTOS2],0)</f>
        <v>6</v>
      </c>
      <c r="F47" s="188" t="str">
        <f t="shared" si="724"/>
        <v>RAÚL FERNÁNDEZ</v>
      </c>
      <c r="G47" s="188">
        <f t="shared" si="725"/>
        <v>3</v>
      </c>
      <c r="H47" s="94"/>
      <c r="I47" s="94"/>
      <c r="J47" s="189">
        <f t="shared" si="467"/>
        <v>29</v>
      </c>
      <c r="K47" s="200" t="str">
        <f>IF(Tabla5[[#This Row],[Puntos]]=M46,".",Tabla5[[#This Row],[PosReal]])</f>
        <v>.</v>
      </c>
      <c r="L47" s="193" t="str">
        <f>VLOOKUP(J47,Tabla6[[ORDEN2]:[PUNTOS]],2,FALSE)</f>
        <v>PATXI SOLANA</v>
      </c>
      <c r="M47" s="194">
        <f>VLOOKUP(J47,Tabla6[[ORDEN2]:[PUNTOS]],3,FALSE)</f>
        <v>2</v>
      </c>
      <c r="O47" s="10" t="s">
        <v>214</v>
      </c>
      <c r="P47" s="10"/>
      <c r="Q47" s="5"/>
      <c r="R47" s="97" t="s">
        <v>125</v>
      </c>
      <c r="S47" s="97">
        <f>IF($P47=R47,$M$9,0)</f>
        <v>0</v>
      </c>
      <c r="T47" s="97" t="s">
        <v>125</v>
      </c>
      <c r="U47" s="200">
        <f>IF($P47=T47,$M$9,0)</f>
        <v>0</v>
      </c>
      <c r="V47" s="97" t="s">
        <v>125</v>
      </c>
      <c r="W47" s="200">
        <f>IF($P47=V47,$M$9,0)</f>
        <v>0</v>
      </c>
      <c r="X47" s="97" t="s">
        <v>125</v>
      </c>
      <c r="Y47" s="200">
        <f>IF($P47=X47,$M$9,0)</f>
        <v>0</v>
      </c>
      <c r="Z47" s="97" t="s">
        <v>125</v>
      </c>
      <c r="AA47" s="200">
        <f>IF($P47=Z47,$M$9,0)</f>
        <v>0</v>
      </c>
      <c r="AB47" s="97" t="s">
        <v>125</v>
      </c>
      <c r="AC47" s="200">
        <f>IF($P47=AB47,$M$9,0)</f>
        <v>0</v>
      </c>
      <c r="AD47" t="s">
        <v>125</v>
      </c>
      <c r="AE47" s="200">
        <f>IF($P47=AD47,$M$9,0)</f>
        <v>0</v>
      </c>
      <c r="AF47" t="s">
        <v>118</v>
      </c>
      <c r="AG47" s="200">
        <f>IF($P47=AF47,$M$9,0)</f>
        <v>0</v>
      </c>
      <c r="AH47" t="s">
        <v>125</v>
      </c>
      <c r="AI47" s="200">
        <f>IF($P47=AH47,$M$9,0)</f>
        <v>0</v>
      </c>
      <c r="AJ47" t="s">
        <v>125</v>
      </c>
      <c r="AK47" s="200">
        <f>IF($P47=AJ47,$M$9,0)</f>
        <v>0</v>
      </c>
      <c r="AL47" t="s">
        <v>112</v>
      </c>
      <c r="AM47" s="200">
        <f>IF($P47=AL47,$M$9,0)</f>
        <v>0</v>
      </c>
      <c r="AN47" t="s">
        <v>125</v>
      </c>
      <c r="AO47" s="200">
        <f>IF($P47=AN47,$M$9,0)</f>
        <v>0</v>
      </c>
      <c r="AP47" t="s">
        <v>125</v>
      </c>
      <c r="AQ47" s="200">
        <f>IF($P47=AP47,$M$9,0)</f>
        <v>0</v>
      </c>
      <c r="AR47" t="s">
        <v>125</v>
      </c>
      <c r="AS47" s="200">
        <f>IF($P47=AR47,$M$9,0)</f>
        <v>0</v>
      </c>
      <c r="AT47" t="s">
        <v>118</v>
      </c>
      <c r="AU47" s="200">
        <f>IF($P47=AT47,$M$9,0)</f>
        <v>0</v>
      </c>
      <c r="AV47" t="s">
        <v>118</v>
      </c>
      <c r="AW47" s="200">
        <f>IF($P47=AV47,$M$9,0)</f>
        <v>0</v>
      </c>
      <c r="AX47" t="s">
        <v>125</v>
      </c>
      <c r="AY47" s="200">
        <f>IF($P47=AX47,$M$9,0)</f>
        <v>0</v>
      </c>
      <c r="AZ47" t="s">
        <v>125</v>
      </c>
      <c r="BA47" s="200">
        <f>IF($P47=AZ47,$M$9,0)</f>
        <v>0</v>
      </c>
      <c r="BB47" t="s">
        <v>125</v>
      </c>
      <c r="BC47" s="200">
        <f>IF($P47=BB47,$M$9,0)</f>
        <v>0</v>
      </c>
      <c r="BD47" t="s">
        <v>125</v>
      </c>
      <c r="BE47" s="200">
        <f>IF($P47=BD47,$M$9,0)</f>
        <v>0</v>
      </c>
      <c r="BF47" t="s">
        <v>125</v>
      </c>
      <c r="BG47" s="200">
        <f>IF($P47=BF47,$M$9,0)</f>
        <v>0</v>
      </c>
      <c r="BH47" t="s">
        <v>118</v>
      </c>
      <c r="BI47" s="200">
        <f>IF($P47=BH47,$M$9,0)</f>
        <v>0</v>
      </c>
      <c r="BJ47" t="s">
        <v>125</v>
      </c>
      <c r="BK47" s="200">
        <f>IF($P47=BJ47,$M$9,0)</f>
        <v>0</v>
      </c>
      <c r="BL47" t="s">
        <v>118</v>
      </c>
      <c r="BM47" s="200">
        <f>IF($P47=BL47,$M$9,0)</f>
        <v>0</v>
      </c>
      <c r="BN47" t="s">
        <v>125</v>
      </c>
      <c r="BO47" s="200">
        <f>IF($P47=BN47,$M$9,0)</f>
        <v>0</v>
      </c>
      <c r="BP47" t="s">
        <v>125</v>
      </c>
      <c r="BQ47" s="200">
        <f>IF($P47=BP47,$M$9,0)</f>
        <v>0</v>
      </c>
      <c r="BR47" t="s">
        <v>125</v>
      </c>
      <c r="BS47" s="200">
        <f>IF($P47=BR47,$M$9,0)</f>
        <v>0</v>
      </c>
      <c r="BT47" t="s">
        <v>125</v>
      </c>
      <c r="BU47" s="200">
        <f>IF($P47=BT47,$M$9,0)</f>
        <v>0</v>
      </c>
      <c r="BV47" t="s">
        <v>125</v>
      </c>
      <c r="BW47" s="200">
        <f>IF($P47=BV47,$M$9,0)</f>
        <v>0</v>
      </c>
      <c r="BX47" t="s">
        <v>118</v>
      </c>
      <c r="BY47" s="200">
        <f>IF($P47=BX47,$M$9,0)</f>
        <v>0</v>
      </c>
      <c r="BZ47" t="s">
        <v>125</v>
      </c>
      <c r="CA47" s="200">
        <f>IF($P47=BZ47,$M$9,0)</f>
        <v>0</v>
      </c>
      <c r="CB47" t="s">
        <v>125</v>
      </c>
      <c r="CC47" s="200">
        <f>IF($P47=CB47,$M$9,0)</f>
        <v>0</v>
      </c>
      <c r="CD47" t="s">
        <v>125</v>
      </c>
      <c r="CE47" s="200">
        <f>IF($P47=CD47,$M$9,0)</f>
        <v>0</v>
      </c>
      <c r="CF47" s="197" t="s">
        <v>125</v>
      </c>
      <c r="CG47" s="200">
        <f>IF($P47=CF47,$M$9,0)</f>
        <v>0</v>
      </c>
      <c r="CH47" t="s">
        <v>118</v>
      </c>
      <c r="CI47" s="200">
        <f>IF($P47=CH47,$M$9,0)</f>
        <v>0</v>
      </c>
      <c r="CJ47" t="s">
        <v>125</v>
      </c>
      <c r="CK47" s="200">
        <f>IF($P47=CJ47,$M$9,0)</f>
        <v>0</v>
      </c>
      <c r="CL47" s="197" t="s">
        <v>125</v>
      </c>
      <c r="CM47" s="200">
        <f>IF($P47=CL47,$M$9,0)</f>
        <v>0</v>
      </c>
      <c r="CN47" t="s">
        <v>125</v>
      </c>
      <c r="CO47" s="200">
        <f>IF($P47=CN47,$M$9,0)</f>
        <v>0</v>
      </c>
      <c r="CP47" t="s">
        <v>125</v>
      </c>
      <c r="CQ47" s="200">
        <f>IF($P47=CP47,$M$9,0)</f>
        <v>0</v>
      </c>
      <c r="CR47" t="s">
        <v>125</v>
      </c>
      <c r="CS47" s="200">
        <f>IF($P47=CR47,$M$9,0)</f>
        <v>0</v>
      </c>
      <c r="CT47" s="197" t="s">
        <v>125</v>
      </c>
      <c r="CU47" s="200">
        <f>IF($P47=CT47,$M$9,0)</f>
        <v>0</v>
      </c>
      <c r="CV47" s="197" t="s">
        <v>125</v>
      </c>
      <c r="CW47" s="200">
        <f>IF($P47=CV47,$M$9,0)</f>
        <v>0</v>
      </c>
      <c r="CX47" s="197" t="s">
        <v>125</v>
      </c>
      <c r="CY47" s="200">
        <f>IF($P47=CX47,$M$9,0)</f>
        <v>0</v>
      </c>
      <c r="CZ47" s="197" t="s">
        <v>125</v>
      </c>
      <c r="DA47" s="200">
        <f>IF($P47=CZ47,$M$9,0)</f>
        <v>0</v>
      </c>
    </row>
    <row r="48" spans="1:105" x14ac:dyDescent="0.25">
      <c r="A48" s="188" t="s">
        <v>387</v>
      </c>
      <c r="B48" s="189">
        <f t="shared" si="722"/>
        <v>3</v>
      </c>
      <c r="C48" s="189">
        <f t="shared" si="723"/>
        <v>3.048</v>
      </c>
      <c r="D48" s="189">
        <f>RANK(Tabla6[[#This Row],[PUNTOS1]],Tabla6[PUNTOS1],0)</f>
        <v>1</v>
      </c>
      <c r="E48" s="189">
        <f>RANK(Tabla6[[#This Row],[PUNTOS2]],Tabla6[PUNTOS2],0)</f>
        <v>5</v>
      </c>
      <c r="F48" s="188" t="str">
        <f t="shared" si="724"/>
        <v>REBECA ANDUEZA</v>
      </c>
      <c r="G48" s="188">
        <f t="shared" si="725"/>
        <v>3</v>
      </c>
      <c r="H48" s="94"/>
      <c r="I48" s="94"/>
      <c r="J48" s="189">
        <f t="shared" si="467"/>
        <v>30</v>
      </c>
      <c r="K48" s="200" t="str">
        <f>IF(Tabla5[[#This Row],[Puntos]]=M47,".",Tabla5[[#This Row],[PosReal]])</f>
        <v>.</v>
      </c>
      <c r="L48" s="193" t="str">
        <f>VLOOKUP(J48,Tabla6[[ORDEN2]:[PUNTOS]],2,FALSE)</f>
        <v>ORTZI ARRONDO</v>
      </c>
      <c r="M48" s="194">
        <f>VLOOKUP(J48,Tabla6[[ORDEN2]:[PUNTOS]],3,FALSE)</f>
        <v>2</v>
      </c>
      <c r="O48" s="10" t="s">
        <v>215</v>
      </c>
      <c r="P48" s="10"/>
      <c r="Q48" s="5"/>
      <c r="R48" s="97" t="s">
        <v>108</v>
      </c>
      <c r="S48" s="97">
        <f>IF($P48=R48,$M$6,0)</f>
        <v>0</v>
      </c>
      <c r="T48" s="97" t="s">
        <v>108</v>
      </c>
      <c r="U48" s="200">
        <f>IF($P48=T48,$M$6,0)</f>
        <v>0</v>
      </c>
      <c r="V48" s="97" t="s">
        <v>108</v>
      </c>
      <c r="W48" s="200">
        <f>IF($P48=V48,$M$6,0)</f>
        <v>0</v>
      </c>
      <c r="X48" s="97" t="s">
        <v>111</v>
      </c>
      <c r="Y48" s="200">
        <f>IF($P48=X48,$M$6,0)</f>
        <v>0</v>
      </c>
      <c r="Z48" s="97" t="s">
        <v>124</v>
      </c>
      <c r="AA48" s="200">
        <f>IF($P48=Z48,$M$6,0)</f>
        <v>0</v>
      </c>
      <c r="AB48" s="97" t="s">
        <v>108</v>
      </c>
      <c r="AC48" s="200">
        <f>IF($P48=AB48,$M$6,0)</f>
        <v>0</v>
      </c>
      <c r="AD48" t="s">
        <v>108</v>
      </c>
      <c r="AE48" s="200">
        <f>IF($P48=AD48,$M$6,0)</f>
        <v>0</v>
      </c>
      <c r="AF48" t="s">
        <v>108</v>
      </c>
      <c r="AG48" s="200">
        <f>IF($P48=AF48,$M$6,0)</f>
        <v>0</v>
      </c>
      <c r="AH48" t="s">
        <v>108</v>
      </c>
      <c r="AI48" s="200">
        <f>IF($P48=AH48,$M$6,0)</f>
        <v>0</v>
      </c>
      <c r="AJ48" t="s">
        <v>108</v>
      </c>
      <c r="AK48" s="200">
        <f>IF($P48=AJ48,$M$6,0)</f>
        <v>0</v>
      </c>
      <c r="AL48" t="s">
        <v>108</v>
      </c>
      <c r="AM48" s="200">
        <f>IF($P48=AL48,$M$6,0)</f>
        <v>0</v>
      </c>
      <c r="AN48" t="s">
        <v>108</v>
      </c>
      <c r="AO48" s="200">
        <f>IF($P48=AN48,$M$6,0)</f>
        <v>0</v>
      </c>
      <c r="AP48" t="s">
        <v>108</v>
      </c>
      <c r="AQ48" s="200">
        <f>IF($P48=AP48,$M$6,0)</f>
        <v>0</v>
      </c>
      <c r="AR48" t="s">
        <v>108</v>
      </c>
      <c r="AS48" s="200">
        <f>IF($P48=AR48,$M$6,0)</f>
        <v>0</v>
      </c>
      <c r="AT48" t="s">
        <v>108</v>
      </c>
      <c r="AU48" s="200">
        <f>IF($P48=AT48,$M$6,0)</f>
        <v>0</v>
      </c>
      <c r="AV48" t="s">
        <v>108</v>
      </c>
      <c r="AW48" s="200">
        <f>IF($P48=AV48,$M$6,0)</f>
        <v>0</v>
      </c>
      <c r="AX48" t="s">
        <v>108</v>
      </c>
      <c r="AY48" s="200">
        <f>IF($P48=AX48,$M$6,0)</f>
        <v>0</v>
      </c>
      <c r="AZ48" t="s">
        <v>108</v>
      </c>
      <c r="BA48" s="200">
        <f>IF($P48=AZ48,$M$6,0)</f>
        <v>0</v>
      </c>
      <c r="BB48" t="s">
        <v>108</v>
      </c>
      <c r="BC48" s="200">
        <f>IF($P48=BB48,$M$6,0)</f>
        <v>0</v>
      </c>
      <c r="BD48" t="s">
        <v>124</v>
      </c>
      <c r="BE48" s="200">
        <f>IF($P48=BD48,$M$6,0)</f>
        <v>0</v>
      </c>
      <c r="BF48" t="s">
        <v>108</v>
      </c>
      <c r="BG48" s="200">
        <f>IF($P48=BF48,$M$6,0)</f>
        <v>0</v>
      </c>
      <c r="BH48" t="s">
        <v>108</v>
      </c>
      <c r="BI48" s="200">
        <f>IF($P48=BH48,$M$6,0)</f>
        <v>0</v>
      </c>
      <c r="BJ48" t="s">
        <v>108</v>
      </c>
      <c r="BK48" s="200">
        <f>IF($P48=BJ48,$M$6,0)</f>
        <v>0</v>
      </c>
      <c r="BL48" t="s">
        <v>108</v>
      </c>
      <c r="BM48" s="200">
        <f>IF($P48=BL48,$M$6,0)</f>
        <v>0</v>
      </c>
      <c r="BN48" t="s">
        <v>108</v>
      </c>
      <c r="BO48" s="200">
        <f>IF($P48=BN48,$M$6,0)</f>
        <v>0</v>
      </c>
      <c r="BP48" t="s">
        <v>108</v>
      </c>
      <c r="BQ48" s="200">
        <f>IF($P48=BP48,$M$6,0)</f>
        <v>0</v>
      </c>
      <c r="BR48" t="s">
        <v>108</v>
      </c>
      <c r="BS48" s="200">
        <f>IF($P48=BR48,$M$6,0)</f>
        <v>0</v>
      </c>
      <c r="BT48" t="s">
        <v>108</v>
      </c>
      <c r="BU48" s="200">
        <f>IF($P48=BT48,$M$6,0)</f>
        <v>0</v>
      </c>
      <c r="BV48" t="s">
        <v>108</v>
      </c>
      <c r="BW48" s="200">
        <f>IF($P48=BV48,$M$6,0)</f>
        <v>0</v>
      </c>
      <c r="BX48" t="s">
        <v>108</v>
      </c>
      <c r="BY48" s="200">
        <f>IF($P48=BX48,$M$6,0)</f>
        <v>0</v>
      </c>
      <c r="BZ48" t="s">
        <v>108</v>
      </c>
      <c r="CA48" s="200">
        <f>IF($P48=BZ48,$M$6,0)</f>
        <v>0</v>
      </c>
      <c r="CB48" t="s">
        <v>108</v>
      </c>
      <c r="CC48" s="200">
        <f>IF($P48=CB48,$M$6,0)</f>
        <v>0</v>
      </c>
      <c r="CD48" t="s">
        <v>108</v>
      </c>
      <c r="CE48" s="200">
        <f>IF($P48=CD48,$M$6,0)</f>
        <v>0</v>
      </c>
      <c r="CF48" s="197" t="s">
        <v>108</v>
      </c>
      <c r="CG48" s="200">
        <f>IF($P48=CF48,$M$6,0)</f>
        <v>0</v>
      </c>
      <c r="CH48" t="s">
        <v>108</v>
      </c>
      <c r="CI48" s="200">
        <f>IF($P48=CH48,$M$6,0)</f>
        <v>0</v>
      </c>
      <c r="CJ48" t="s">
        <v>108</v>
      </c>
      <c r="CK48" s="200">
        <f>IF($P48=CJ48,$M$6,0)</f>
        <v>0</v>
      </c>
      <c r="CL48" s="197" t="s">
        <v>108</v>
      </c>
      <c r="CM48" s="200">
        <f>IF($P48=CL48,$M$6,0)</f>
        <v>0</v>
      </c>
      <c r="CN48" t="s">
        <v>108</v>
      </c>
      <c r="CO48" s="200">
        <f>IF($P48=CN48,$M$6,0)</f>
        <v>0</v>
      </c>
      <c r="CP48" t="s">
        <v>108</v>
      </c>
      <c r="CQ48" s="200">
        <f>IF($P48=CP48,$M$6,0)</f>
        <v>0</v>
      </c>
      <c r="CR48" t="s">
        <v>108</v>
      </c>
      <c r="CS48" s="200">
        <f>IF($P48=CR48,$M$6,0)</f>
        <v>0</v>
      </c>
      <c r="CT48" s="197" t="s">
        <v>111</v>
      </c>
      <c r="CU48" s="200">
        <f>IF($P48=CT48,$M$6,0)</f>
        <v>0</v>
      </c>
      <c r="CV48" s="197" t="s">
        <v>108</v>
      </c>
      <c r="CW48" s="200">
        <f>IF($P48=CV48,$M$6,0)</f>
        <v>0</v>
      </c>
      <c r="CX48" s="197" t="s">
        <v>108</v>
      </c>
      <c r="CY48" s="200">
        <f>IF($P48=CX48,$M$6,0)</f>
        <v>0</v>
      </c>
      <c r="CZ48" s="197" t="s">
        <v>108</v>
      </c>
      <c r="DA48" s="200">
        <f>IF($P48=CZ48,$M$6,0)</f>
        <v>0</v>
      </c>
    </row>
    <row r="49" spans="1:105" x14ac:dyDescent="0.25">
      <c r="A49" s="188" t="s">
        <v>388</v>
      </c>
      <c r="B49" s="189">
        <f t="shared" si="722"/>
        <v>3</v>
      </c>
      <c r="C49" s="189">
        <f t="shared" si="723"/>
        <v>3.0489999999999999</v>
      </c>
      <c r="D49" s="189">
        <f>RANK(Tabla6[[#This Row],[PUNTOS1]],Tabla6[PUNTOS1],0)</f>
        <v>1</v>
      </c>
      <c r="E49" s="189">
        <f>RANK(Tabla6[[#This Row],[PUNTOS2]],Tabla6[PUNTOS2],0)</f>
        <v>4</v>
      </c>
      <c r="F49" s="188" t="str">
        <f t="shared" si="724"/>
        <v>ROBERTO ESAIN</v>
      </c>
      <c r="G49" s="188">
        <f t="shared" si="725"/>
        <v>3</v>
      </c>
      <c r="H49" s="94"/>
      <c r="I49" s="94"/>
      <c r="J49" s="189">
        <f t="shared" si="467"/>
        <v>31</v>
      </c>
      <c r="K49" s="200" t="str">
        <f>IF(Tabla5[[#This Row],[Puntos]]=M48,".",Tabla5[[#This Row],[PosReal]])</f>
        <v>.</v>
      </c>
      <c r="L49" s="193" t="str">
        <f>VLOOKUP(J49,Tabla6[[ORDEN2]:[PUNTOS]],2,FALSE)</f>
        <v>MARTA IPIENS</v>
      </c>
      <c r="M49" s="194">
        <f>VLOOKUP(J49,Tabla6[[ORDEN2]:[PUNTOS]],3,FALSE)</f>
        <v>2</v>
      </c>
      <c r="O49" s="10" t="s">
        <v>218</v>
      </c>
      <c r="P49" s="10"/>
      <c r="Q49" s="5"/>
      <c r="R49" s="97" t="s">
        <v>124</v>
      </c>
      <c r="S49" s="97">
        <f>IF($P49=R49,$M$7,0)</f>
        <v>0</v>
      </c>
      <c r="T49" s="97" t="s">
        <v>111</v>
      </c>
      <c r="U49" s="200">
        <f>IF($P49=T49,$M$7,0)</f>
        <v>0</v>
      </c>
      <c r="V49" s="97" t="s">
        <v>111</v>
      </c>
      <c r="W49" s="200">
        <f>IF($P49=V49,$M$7,0)</f>
        <v>0</v>
      </c>
      <c r="X49" s="97" t="s">
        <v>108</v>
      </c>
      <c r="Y49" s="200">
        <f>IF($P49=X49,$M$7,0)</f>
        <v>0</v>
      </c>
      <c r="Z49" s="97" t="s">
        <v>108</v>
      </c>
      <c r="AA49" s="200">
        <f>IF($P49=Z49,$M$7,0)</f>
        <v>0</v>
      </c>
      <c r="AB49" s="97" t="s">
        <v>111</v>
      </c>
      <c r="AC49" s="200">
        <f>IF($P49=AB49,$M$7,0)</f>
        <v>0</v>
      </c>
      <c r="AD49" t="s">
        <v>111</v>
      </c>
      <c r="AE49" s="200">
        <f>IF($P49=AD49,$M$7,0)</f>
        <v>0</v>
      </c>
      <c r="AF49" t="s">
        <v>111</v>
      </c>
      <c r="AG49" s="200">
        <f>IF($P49=AF49,$M$7,0)</f>
        <v>0</v>
      </c>
      <c r="AH49" t="s">
        <v>124</v>
      </c>
      <c r="AI49" s="200">
        <f>IF($P49=AH49,$M$7,0)</f>
        <v>0</v>
      </c>
      <c r="AJ49" t="s">
        <v>119</v>
      </c>
      <c r="AK49" s="200">
        <f>IF($P49=AJ49,$M$7,0)</f>
        <v>0</v>
      </c>
      <c r="AL49" t="s">
        <v>111</v>
      </c>
      <c r="AM49" s="200">
        <f>IF($P49=AL49,$M$7,0)</f>
        <v>0</v>
      </c>
      <c r="AN49" t="s">
        <v>124</v>
      </c>
      <c r="AO49" s="200">
        <f>IF($P49=AN49,$M$7,0)</f>
        <v>0</v>
      </c>
      <c r="AP49" t="s">
        <v>119</v>
      </c>
      <c r="AQ49" s="200">
        <f>IF($P49=AP49,$M$7,0)</f>
        <v>0</v>
      </c>
      <c r="AR49" t="s">
        <v>124</v>
      </c>
      <c r="AS49" s="200">
        <f>IF($P49=AR49,$M$7,0)</f>
        <v>0</v>
      </c>
      <c r="AT49" t="s">
        <v>124</v>
      </c>
      <c r="AU49" s="200">
        <f>IF($P49=AT49,$M$7,0)</f>
        <v>0</v>
      </c>
      <c r="AV49" t="s">
        <v>124</v>
      </c>
      <c r="AW49" s="200">
        <f>IF($P49=AV49,$M$7,0)</f>
        <v>0</v>
      </c>
      <c r="AX49" t="s">
        <v>124</v>
      </c>
      <c r="AY49" s="200">
        <f>IF($P49=AX49,$M$7,0)</f>
        <v>0</v>
      </c>
      <c r="AZ49" t="s">
        <v>111</v>
      </c>
      <c r="BA49" s="200">
        <f>IF($P49=AZ49,$M$7,0)</f>
        <v>0</v>
      </c>
      <c r="BB49" t="s">
        <v>111</v>
      </c>
      <c r="BC49" s="200">
        <f>IF($P49=BB49,$M$7,0)</f>
        <v>0</v>
      </c>
      <c r="BD49" t="s">
        <v>108</v>
      </c>
      <c r="BE49" s="200">
        <f>IF($P49=BD49,$M$7,0)</f>
        <v>0</v>
      </c>
      <c r="BF49" t="s">
        <v>111</v>
      </c>
      <c r="BG49" s="200">
        <f>IF($P49=BF49,$M$7,0)</f>
        <v>0</v>
      </c>
      <c r="BH49" t="s">
        <v>111</v>
      </c>
      <c r="BI49" s="200">
        <f>IF($P49=BH49,$M$7,0)</f>
        <v>0</v>
      </c>
      <c r="BJ49" t="s">
        <v>111</v>
      </c>
      <c r="BK49" s="200">
        <f>IF($P49=BJ49,$M$7,0)</f>
        <v>0</v>
      </c>
      <c r="BL49" t="s">
        <v>111</v>
      </c>
      <c r="BM49" s="200">
        <f>IF($P49=BL49,$M$7,0)</f>
        <v>0</v>
      </c>
      <c r="BN49" t="s">
        <v>119</v>
      </c>
      <c r="BO49" s="200">
        <f>IF($P49=BN49,$M$7,0)</f>
        <v>0</v>
      </c>
      <c r="BP49" t="s">
        <v>111</v>
      </c>
      <c r="BQ49" s="200">
        <f>IF($P49=BP49,$M$7,0)</f>
        <v>0</v>
      </c>
      <c r="BR49" t="s">
        <v>111</v>
      </c>
      <c r="BS49" s="200">
        <f>IF($P49=BR49,$M$7,0)</f>
        <v>0</v>
      </c>
      <c r="BT49" t="s">
        <v>124</v>
      </c>
      <c r="BU49" s="200">
        <f>IF($P49=BT49,$M$7,0)</f>
        <v>0</v>
      </c>
      <c r="BV49" t="s">
        <v>111</v>
      </c>
      <c r="BW49" s="200">
        <f>IF($P49=BV49,$M$7,0)</f>
        <v>0</v>
      </c>
      <c r="BX49" t="s">
        <v>124</v>
      </c>
      <c r="BY49" s="200">
        <f>IF($P49=BX49,$M$7,0)</f>
        <v>0</v>
      </c>
      <c r="BZ49" t="s">
        <v>111</v>
      </c>
      <c r="CA49" s="200">
        <f>IF($P49=BZ49,$M$7,0)</f>
        <v>0</v>
      </c>
      <c r="CB49" t="s">
        <v>124</v>
      </c>
      <c r="CC49" s="200">
        <f>IF($P49=CB49,$M$7,0)</f>
        <v>0</v>
      </c>
      <c r="CD49" t="s">
        <v>111</v>
      </c>
      <c r="CE49" s="200">
        <f>IF($P49=CD49,$M$7,0)</f>
        <v>0</v>
      </c>
      <c r="CF49" s="197" t="s">
        <v>111</v>
      </c>
      <c r="CG49" s="200">
        <f>IF($P49=CF49,$M$7,0)</f>
        <v>0</v>
      </c>
      <c r="CH49" t="s">
        <v>119</v>
      </c>
      <c r="CI49" s="200">
        <f>IF($P49=CH49,$M$7,0)</f>
        <v>0</v>
      </c>
      <c r="CJ49" t="s">
        <v>111</v>
      </c>
      <c r="CK49" s="200">
        <f>IF($P49=CJ49,$M$7,0)</f>
        <v>0</v>
      </c>
      <c r="CL49" s="197" t="s">
        <v>111</v>
      </c>
      <c r="CM49" s="200">
        <f>IF($P49=CL49,$M$7,0)</f>
        <v>0</v>
      </c>
      <c r="CN49" t="s">
        <v>111</v>
      </c>
      <c r="CO49" s="200">
        <f>IF($P49=CN49,$M$7,0)</f>
        <v>0</v>
      </c>
      <c r="CP49" t="s">
        <v>111</v>
      </c>
      <c r="CQ49" s="200">
        <f>IF($P49=CP49,$M$7,0)</f>
        <v>0</v>
      </c>
      <c r="CR49" t="s">
        <v>111</v>
      </c>
      <c r="CS49" s="200">
        <f>IF($P49=CR49,$M$7,0)</f>
        <v>0</v>
      </c>
      <c r="CT49" s="197" t="s">
        <v>119</v>
      </c>
      <c r="CU49" s="200">
        <f>IF($P49=CT49,$M$7,0)</f>
        <v>0</v>
      </c>
      <c r="CV49" s="197" t="s">
        <v>111</v>
      </c>
      <c r="CW49" s="200">
        <f>IF($P49=CV49,$M$7,0)</f>
        <v>0</v>
      </c>
      <c r="CX49" s="197" t="s">
        <v>124</v>
      </c>
      <c r="CY49" s="200">
        <f>IF($P49=CX49,$M$7,0)</f>
        <v>0</v>
      </c>
      <c r="CZ49" s="197" t="s">
        <v>111</v>
      </c>
      <c r="DA49" s="200">
        <f>IF($P49=CZ49,$M$7,0)</f>
        <v>0</v>
      </c>
    </row>
    <row r="50" spans="1:105" x14ac:dyDescent="0.25">
      <c r="A50" s="188" t="s">
        <v>390</v>
      </c>
      <c r="B50" s="189">
        <f t="shared" si="722"/>
        <v>2</v>
      </c>
      <c r="C50" s="189">
        <f t="shared" si="723"/>
        <v>2.0499999999999998</v>
      </c>
      <c r="D50" s="189">
        <f>RANK(Tabla6[[#This Row],[PUNTOS1]],Tabla6[PUNTOS1],0)</f>
        <v>19</v>
      </c>
      <c r="E50" s="189">
        <f>RANK(Tabla6[[#This Row],[PUNTOS2]],Tabla6[PUNTOS2],0)</f>
        <v>28</v>
      </c>
      <c r="F50" s="188" t="str">
        <f t="shared" si="724"/>
        <v>RUBÉN ASTRAIN</v>
      </c>
      <c r="G50" s="188">
        <f t="shared" si="725"/>
        <v>2</v>
      </c>
      <c r="H50" s="94"/>
      <c r="I50" s="94"/>
      <c r="J50" s="189">
        <f t="shared" si="467"/>
        <v>32</v>
      </c>
      <c r="K50" s="200" t="str">
        <f>IF(Tabla5[[#This Row],[Puntos]]=M49,".",Tabla5[[#This Row],[PosReal]])</f>
        <v>.</v>
      </c>
      <c r="L50" s="193" t="str">
        <f>VLOOKUP(J50,Tabla6[[ORDEN2]:[PUNTOS]],2,FALSE)</f>
        <v>MARCOS LUQUI</v>
      </c>
      <c r="M50" s="194">
        <f>VLOOKUP(J50,Tabla6[[ORDEN2]:[PUNTOS]],3,FALSE)</f>
        <v>2</v>
      </c>
      <c r="O50" s="10" t="s">
        <v>217</v>
      </c>
      <c r="P50" s="10"/>
      <c r="Q50" s="5"/>
      <c r="R50" s="97" t="s">
        <v>111</v>
      </c>
      <c r="S50" s="97">
        <f>IF($P50=R50,$M$8,0)</f>
        <v>0</v>
      </c>
      <c r="T50" s="97" t="s">
        <v>119</v>
      </c>
      <c r="U50" s="200">
        <f>IF($P50=T50,$M$8,0)</f>
        <v>0</v>
      </c>
      <c r="V50" s="97" t="s">
        <v>124</v>
      </c>
      <c r="W50" s="200">
        <f>IF($P50=V50,$M$8,0)</f>
        <v>0</v>
      </c>
      <c r="X50" s="97" t="s">
        <v>119</v>
      </c>
      <c r="Y50" s="200">
        <f>IF($P50=X50,$M$8,0)</f>
        <v>0</v>
      </c>
      <c r="Z50" s="97" t="s">
        <v>119</v>
      </c>
      <c r="AA50" s="200">
        <f>IF($P50=Z50,$M$8,0)</f>
        <v>0</v>
      </c>
      <c r="AB50" s="97" t="s">
        <v>119</v>
      </c>
      <c r="AC50" s="200">
        <f>IF($P50=AB50,$M$8,0)</f>
        <v>0</v>
      </c>
      <c r="AD50" t="s">
        <v>124</v>
      </c>
      <c r="AE50" s="200">
        <f>IF($P50=AD50,$M$8,0)</f>
        <v>0</v>
      </c>
      <c r="AF50" t="s">
        <v>124</v>
      </c>
      <c r="AG50" s="200">
        <f>IF($P50=AF50,$M$8,0)</f>
        <v>0</v>
      </c>
      <c r="AH50" t="s">
        <v>111</v>
      </c>
      <c r="AI50" s="200">
        <f>IF($P50=AH50,$M$8,0)</f>
        <v>0</v>
      </c>
      <c r="AJ50" t="s">
        <v>111</v>
      </c>
      <c r="AK50" s="200">
        <f>IF($P50=AJ50,$M$8,0)</f>
        <v>0</v>
      </c>
      <c r="AL50" t="s">
        <v>124</v>
      </c>
      <c r="AM50" s="200">
        <f>IF($P50=AL50,$M$8,0)</f>
        <v>0</v>
      </c>
      <c r="AN50" t="s">
        <v>111</v>
      </c>
      <c r="AO50" s="200">
        <f>IF($P50=AN50,$M$8,0)</f>
        <v>0</v>
      </c>
      <c r="AP50" t="s">
        <v>111</v>
      </c>
      <c r="AQ50" s="200">
        <f>IF($P50=AP50,$M$8,0)</f>
        <v>0</v>
      </c>
      <c r="AR50" t="s">
        <v>111</v>
      </c>
      <c r="AS50" s="200">
        <f>IF($P50=AR50,$M$8,0)</f>
        <v>0</v>
      </c>
      <c r="AT50" t="s">
        <v>111</v>
      </c>
      <c r="AU50" s="200">
        <f>IF($P50=AT50,$M$8,0)</f>
        <v>0</v>
      </c>
      <c r="AV50" t="s">
        <v>119</v>
      </c>
      <c r="AW50" s="200">
        <f>IF($P50=AV50,$M$8,0)</f>
        <v>0</v>
      </c>
      <c r="AX50" t="s">
        <v>119</v>
      </c>
      <c r="AY50" s="200">
        <f>IF($P50=AX50,$M$8,0)</f>
        <v>0</v>
      </c>
      <c r="AZ50" t="s">
        <v>119</v>
      </c>
      <c r="BA50" s="200">
        <f>IF($P50=AZ50,$M$8,0)</f>
        <v>0</v>
      </c>
      <c r="BB50" t="s">
        <v>124</v>
      </c>
      <c r="BC50" s="200">
        <f>IF($P50=BB50,$M$8,0)</f>
        <v>0</v>
      </c>
      <c r="BD50" t="s">
        <v>111</v>
      </c>
      <c r="BE50" s="200">
        <f>IF($P50=BD50,$M$8,0)</f>
        <v>0</v>
      </c>
      <c r="BF50" t="s">
        <v>124</v>
      </c>
      <c r="BG50" s="200">
        <f>IF($P50=BF50,$M$8,0)</f>
        <v>0</v>
      </c>
      <c r="BH50" t="s">
        <v>124</v>
      </c>
      <c r="BI50" s="200">
        <f>IF($P50=BH50,$M$8,0)</f>
        <v>0</v>
      </c>
      <c r="BJ50" t="s">
        <v>124</v>
      </c>
      <c r="BK50" s="200">
        <f>IF($P50=BJ50,$M$8,0)</f>
        <v>0</v>
      </c>
      <c r="BL50" t="s">
        <v>119</v>
      </c>
      <c r="BM50" s="200">
        <f>IF($P50=BL50,$M$8,0)</f>
        <v>0</v>
      </c>
      <c r="BN50" t="s">
        <v>111</v>
      </c>
      <c r="BO50" s="200">
        <f>IF($P50=BN50,$M$8,0)</f>
        <v>0</v>
      </c>
      <c r="BP50" t="s">
        <v>124</v>
      </c>
      <c r="BQ50" s="200">
        <f>IF($P50=BP50,$M$8,0)</f>
        <v>0</v>
      </c>
      <c r="BR50" t="s">
        <v>124</v>
      </c>
      <c r="BS50" s="200">
        <f>IF($P50=BR50,$M$8,0)</f>
        <v>0</v>
      </c>
      <c r="BT50" t="s">
        <v>111</v>
      </c>
      <c r="BU50" s="200">
        <f>IF($P50=BT50,$M$8,0)</f>
        <v>0</v>
      </c>
      <c r="BV50" t="s">
        <v>124</v>
      </c>
      <c r="BW50" s="200">
        <f>IF($P50=BV50,$M$8,0)</f>
        <v>0</v>
      </c>
      <c r="BX50" t="s">
        <v>111</v>
      </c>
      <c r="BY50" s="200">
        <f>IF($P50=BX50,$M$8,0)</f>
        <v>0</v>
      </c>
      <c r="BZ50" t="s">
        <v>119</v>
      </c>
      <c r="CA50" s="200">
        <f>IF($P50=BZ50,$M$8,0)</f>
        <v>0</v>
      </c>
      <c r="CB50" t="s">
        <v>111</v>
      </c>
      <c r="CC50" s="200">
        <f>IF($P50=CB50,$M$8,0)</f>
        <v>0</v>
      </c>
      <c r="CD50" t="s">
        <v>119</v>
      </c>
      <c r="CE50" s="200">
        <f>IF($P50=CD50,$M$8,0)</f>
        <v>0</v>
      </c>
      <c r="CF50" s="197" t="s">
        <v>124</v>
      </c>
      <c r="CG50" s="200">
        <f>IF($P50=CF50,$M$8,0)</f>
        <v>0</v>
      </c>
      <c r="CH50" t="s">
        <v>124</v>
      </c>
      <c r="CI50" s="200">
        <f>IF($P50=CH50,$M$8,0)</f>
        <v>0</v>
      </c>
      <c r="CJ50" t="s">
        <v>124</v>
      </c>
      <c r="CK50" s="200">
        <f>IF($P50=CJ50,$M$8,0)</f>
        <v>0</v>
      </c>
      <c r="CL50" s="197" t="s">
        <v>124</v>
      </c>
      <c r="CM50" s="200">
        <f>IF($P50=CL50,$M$8,0)</f>
        <v>0</v>
      </c>
      <c r="CN50" t="s">
        <v>119</v>
      </c>
      <c r="CO50" s="200">
        <f>IF($P50=CN50,$M$8,0)</f>
        <v>0</v>
      </c>
      <c r="CP50" t="s">
        <v>124</v>
      </c>
      <c r="CQ50" s="200">
        <f>IF($P50=CP50,$M$8,0)</f>
        <v>0</v>
      </c>
      <c r="CR50" t="s">
        <v>119</v>
      </c>
      <c r="CS50" s="200">
        <f>IF($P50=CR50,$M$8,0)</f>
        <v>0</v>
      </c>
      <c r="CT50" s="197" t="s">
        <v>108</v>
      </c>
      <c r="CU50" s="200">
        <f>IF($P50=CT50,$M$8,0)</f>
        <v>0</v>
      </c>
      <c r="CV50" s="197" t="s">
        <v>124</v>
      </c>
      <c r="CW50" s="200">
        <f>IF($P50=CV50,$M$8,0)</f>
        <v>0</v>
      </c>
      <c r="CX50" s="197" t="s">
        <v>111</v>
      </c>
      <c r="CY50" s="200">
        <f>IF($P50=CX50,$M$8,0)</f>
        <v>0</v>
      </c>
      <c r="CZ50" s="197" t="s">
        <v>119</v>
      </c>
      <c r="DA50" s="200">
        <f>IF($P50=CZ50,$M$8,0)</f>
        <v>0</v>
      </c>
    </row>
    <row r="51" spans="1:105" x14ac:dyDescent="0.25">
      <c r="A51" s="188" t="s">
        <v>391</v>
      </c>
      <c r="B51" s="189">
        <f t="shared" si="722"/>
        <v>3</v>
      </c>
      <c r="C51" s="189">
        <f t="shared" si="723"/>
        <v>3.0510000000000002</v>
      </c>
      <c r="D51" s="189">
        <f>RANK(Tabla6[[#This Row],[PUNTOS1]],Tabla6[PUNTOS1],0)</f>
        <v>1</v>
      </c>
      <c r="E51" s="189">
        <f>RANK(Tabla6[[#This Row],[PUNTOS2]],Tabla6[PUNTOS2],0)</f>
        <v>3</v>
      </c>
      <c r="F51" s="188" t="str">
        <f t="shared" si="724"/>
        <v>RODRIGO ABAD</v>
      </c>
      <c r="G51" s="188">
        <f t="shared" si="725"/>
        <v>3</v>
      </c>
      <c r="H51" s="94"/>
      <c r="I51" s="94"/>
      <c r="J51" s="189">
        <f t="shared" si="467"/>
        <v>33</v>
      </c>
      <c r="K51" s="200" t="str">
        <f>IF(Tabla5[[#This Row],[Puntos]]=M50,".",Tabla5[[#This Row],[PosReal]])</f>
        <v>.</v>
      </c>
      <c r="L51" s="193" t="str">
        <f>VLOOKUP(J51,Tabla6[[ORDEN2]:[PUNTOS]],2,FALSE)</f>
        <v>LEIRE GARAYO</v>
      </c>
      <c r="M51" s="194">
        <f>VLOOKUP(J51,Tabla6[[ORDEN2]:[PUNTOS]],3,FALSE)</f>
        <v>2</v>
      </c>
      <c r="O51" s="10" t="s">
        <v>219</v>
      </c>
      <c r="P51" s="10"/>
      <c r="Q51" s="5"/>
      <c r="R51" s="97" t="s">
        <v>119</v>
      </c>
      <c r="S51" s="97">
        <f>IF($P51=R51,$M$9,0)</f>
        <v>0</v>
      </c>
      <c r="T51" s="97" t="s">
        <v>124</v>
      </c>
      <c r="U51" s="200">
        <f>IF($P51=T51,$M$9,0)</f>
        <v>0</v>
      </c>
      <c r="V51" s="97" t="s">
        <v>119</v>
      </c>
      <c r="W51" s="200">
        <f>IF($P51=V51,$M$9,0)</f>
        <v>0</v>
      </c>
      <c r="X51" s="97" t="s">
        <v>124</v>
      </c>
      <c r="Y51" s="200">
        <f>IF($P51=X51,$M$9,0)</f>
        <v>0</v>
      </c>
      <c r="Z51" s="97" t="s">
        <v>111</v>
      </c>
      <c r="AA51" s="200">
        <f>IF($P51=Z51,$M$9,0)</f>
        <v>0</v>
      </c>
      <c r="AB51" s="97" t="s">
        <v>124</v>
      </c>
      <c r="AC51" s="200">
        <f>IF($P51=AB51,$M$9,0)</f>
        <v>0</v>
      </c>
      <c r="AD51" t="s">
        <v>119</v>
      </c>
      <c r="AE51" s="200">
        <f>IF($P51=AD51,$M$9,0)</f>
        <v>0</v>
      </c>
      <c r="AF51" t="s">
        <v>119</v>
      </c>
      <c r="AG51" s="200">
        <f>IF($P51=AF51,$M$9,0)</f>
        <v>0</v>
      </c>
      <c r="AH51" t="s">
        <v>119</v>
      </c>
      <c r="AI51" s="200">
        <f>IF($P51=AH51,$M$9,0)</f>
        <v>0</v>
      </c>
      <c r="AJ51" t="s">
        <v>124</v>
      </c>
      <c r="AK51" s="200">
        <f>IF($P51=AJ51,$M$9,0)</f>
        <v>0</v>
      </c>
      <c r="AL51" t="s">
        <v>119</v>
      </c>
      <c r="AM51" s="200">
        <f>IF($P51=AL51,$M$9,0)</f>
        <v>0</v>
      </c>
      <c r="AN51" t="s">
        <v>119</v>
      </c>
      <c r="AO51" s="200">
        <f>IF($P51=AN51,$M$9,0)</f>
        <v>0</v>
      </c>
      <c r="AP51" t="s">
        <v>124</v>
      </c>
      <c r="AQ51" s="200">
        <f>IF($P51=AP51,$M$9,0)</f>
        <v>0</v>
      </c>
      <c r="AR51" t="s">
        <v>119</v>
      </c>
      <c r="AS51" s="200">
        <f>IF($P51=AR51,$M$9,0)</f>
        <v>0</v>
      </c>
      <c r="AT51" t="s">
        <v>119</v>
      </c>
      <c r="AU51" s="200">
        <f>IF($P51=AT51,$M$9,0)</f>
        <v>0</v>
      </c>
      <c r="AV51" t="s">
        <v>111</v>
      </c>
      <c r="AW51" s="200">
        <f>IF($P51=AV51,$M$9,0)</f>
        <v>0</v>
      </c>
      <c r="AX51" t="s">
        <v>111</v>
      </c>
      <c r="AY51" s="200">
        <f>IF($P51=AX51,$M$9,0)</f>
        <v>0</v>
      </c>
      <c r="AZ51" t="s">
        <v>124</v>
      </c>
      <c r="BA51" s="200">
        <f>IF($P51=AZ51,$M$9,0)</f>
        <v>0</v>
      </c>
      <c r="BB51" t="s">
        <v>119</v>
      </c>
      <c r="BC51" s="200">
        <f>IF($P51=BB51,$M$9,0)</f>
        <v>0</v>
      </c>
      <c r="BD51" t="s">
        <v>119</v>
      </c>
      <c r="BE51" s="200">
        <f>IF($P51=BD51,$M$9,0)</f>
        <v>0</v>
      </c>
      <c r="BF51" t="s">
        <v>119</v>
      </c>
      <c r="BG51" s="200">
        <f>IF($P51=BF51,$M$9,0)</f>
        <v>0</v>
      </c>
      <c r="BH51" t="s">
        <v>119</v>
      </c>
      <c r="BI51" s="200">
        <f>IF($P51=BH51,$M$9,0)</f>
        <v>0</v>
      </c>
      <c r="BJ51" t="s">
        <v>119</v>
      </c>
      <c r="BK51" s="200">
        <f>IF($P51=BJ51,$M$9,0)</f>
        <v>0</v>
      </c>
      <c r="BL51" t="s">
        <v>124</v>
      </c>
      <c r="BM51" s="200">
        <f>IF($P51=BL51,$M$9,0)</f>
        <v>0</v>
      </c>
      <c r="BN51" t="s">
        <v>124</v>
      </c>
      <c r="BO51" s="200">
        <f>IF($P51=BN51,$M$9,0)</f>
        <v>0</v>
      </c>
      <c r="BP51" t="s">
        <v>119</v>
      </c>
      <c r="BQ51" s="200">
        <f>IF($P51=BP51,$M$9,0)</f>
        <v>0</v>
      </c>
      <c r="BR51" t="s">
        <v>119</v>
      </c>
      <c r="BS51" s="200">
        <f>IF($P51=BR51,$M$9,0)</f>
        <v>0</v>
      </c>
      <c r="BT51" t="s">
        <v>119</v>
      </c>
      <c r="BU51" s="200">
        <f>IF($P51=BT51,$M$9,0)</f>
        <v>0</v>
      </c>
      <c r="BV51" t="s">
        <v>119</v>
      </c>
      <c r="BW51" s="200">
        <f>IF($P51=BV51,$M$9,0)</f>
        <v>0</v>
      </c>
      <c r="BX51" t="s">
        <v>119</v>
      </c>
      <c r="BY51" s="200">
        <f>IF($P51=BX51,$M$9,0)</f>
        <v>0</v>
      </c>
      <c r="BZ51" t="s">
        <v>124</v>
      </c>
      <c r="CA51" s="200">
        <f>IF($P51=BZ51,$M$9,0)</f>
        <v>0</v>
      </c>
      <c r="CB51" t="s">
        <v>119</v>
      </c>
      <c r="CC51" s="200">
        <f>IF($P51=CB51,$M$9,0)</f>
        <v>0</v>
      </c>
      <c r="CD51" t="s">
        <v>124</v>
      </c>
      <c r="CE51" s="200">
        <f>IF($P51=CD51,$M$9,0)</f>
        <v>0</v>
      </c>
      <c r="CF51" s="197" t="s">
        <v>119</v>
      </c>
      <c r="CG51" s="200">
        <f>IF($P51=CF51,$M$9,0)</f>
        <v>0</v>
      </c>
      <c r="CH51" t="s">
        <v>111</v>
      </c>
      <c r="CI51" s="200">
        <f>IF($P51=CH51,$M$9,0)</f>
        <v>0</v>
      </c>
      <c r="CJ51" t="s">
        <v>119</v>
      </c>
      <c r="CK51" s="200">
        <f>IF($P51=CJ51,$M$9,0)</f>
        <v>0</v>
      </c>
      <c r="CL51" s="197" t="s">
        <v>119</v>
      </c>
      <c r="CM51" s="200">
        <f>IF($P51=CL51,$M$9,0)</f>
        <v>0</v>
      </c>
      <c r="CN51" t="s">
        <v>124</v>
      </c>
      <c r="CO51" s="200">
        <f>IF($P51=CN51,$M$9,0)</f>
        <v>0</v>
      </c>
      <c r="CP51" t="s">
        <v>119</v>
      </c>
      <c r="CQ51" s="200">
        <f>IF($P51=CP51,$M$9,0)</f>
        <v>0</v>
      </c>
      <c r="CR51" t="s">
        <v>124</v>
      </c>
      <c r="CS51" s="200">
        <f>IF($P51=CR51,$M$9,0)</f>
        <v>0</v>
      </c>
      <c r="CT51" s="197" t="s">
        <v>124</v>
      </c>
      <c r="CU51" s="200">
        <f>IF($P51=CT51,$M$9,0)</f>
        <v>0</v>
      </c>
      <c r="CV51" s="197" t="s">
        <v>119</v>
      </c>
      <c r="CW51" s="200">
        <f>IF($P51=CV51,$M$9,0)</f>
        <v>0</v>
      </c>
      <c r="CX51" s="197" t="s">
        <v>119</v>
      </c>
      <c r="CY51" s="200">
        <f>IF($P51=CX51,$M$9,0)</f>
        <v>0</v>
      </c>
      <c r="CZ51" s="197" t="s">
        <v>124</v>
      </c>
      <c r="DA51" s="200">
        <f>IF($P51=CZ51,$M$9,0)</f>
        <v>0</v>
      </c>
    </row>
    <row r="52" spans="1:105" x14ac:dyDescent="0.25">
      <c r="A52" s="188" t="s">
        <v>392</v>
      </c>
      <c r="B52" s="189">
        <f t="shared" si="722"/>
        <v>2</v>
      </c>
      <c r="C52" s="189">
        <f t="shared" si="723"/>
        <v>2.052</v>
      </c>
      <c r="D52" s="189">
        <f>RANK(Tabla6[[#This Row],[PUNTOS1]],Tabla6[PUNTOS1],0)</f>
        <v>19</v>
      </c>
      <c r="E52" s="189">
        <f>RANK(Tabla6[[#This Row],[PUNTOS2]],Tabla6[PUNTOS2],0)</f>
        <v>27</v>
      </c>
      <c r="F52" s="188" t="str">
        <f t="shared" si="724"/>
        <v>SANTI GARCÍA</v>
      </c>
      <c r="G52" s="188">
        <f t="shared" si="725"/>
        <v>2</v>
      </c>
      <c r="H52" s="94"/>
      <c r="I52" s="94"/>
      <c r="J52" s="189">
        <f t="shared" si="467"/>
        <v>34</v>
      </c>
      <c r="K52" s="200" t="str">
        <f>IF(Tabla5[[#This Row],[Puntos]]=M51,".",Tabla5[[#This Row],[PosReal]])</f>
        <v>.</v>
      </c>
      <c r="L52" s="193" t="str">
        <f>VLOOKUP(J52,Tabla6[[ORDEN2]:[PUNTOS]],2,FALSE)</f>
        <v>LAURA ANCÍN</v>
      </c>
      <c r="M52" s="194">
        <f>VLOOKUP(J52,Tabla6[[ORDEN2]:[PUNTOS]],3,FALSE)</f>
        <v>2</v>
      </c>
      <c r="O52" s="10" t="s">
        <v>220</v>
      </c>
      <c r="P52" s="10"/>
      <c r="Q52" s="5"/>
      <c r="R52" s="97" t="s">
        <v>107</v>
      </c>
      <c r="S52" s="97">
        <f>IF($P52=R52,$M$6,0)</f>
        <v>0</v>
      </c>
      <c r="T52" s="97" t="s">
        <v>107</v>
      </c>
      <c r="U52" s="200">
        <f>IF($P52=T52,$M$6,0)</f>
        <v>0</v>
      </c>
      <c r="V52" s="97" t="s">
        <v>107</v>
      </c>
      <c r="W52" s="200">
        <f>IF($P52=V52,$M$6,0)</f>
        <v>0</v>
      </c>
      <c r="X52" s="97" t="s">
        <v>107</v>
      </c>
      <c r="Y52" s="200">
        <f>IF($P52=X52,$M$6,0)</f>
        <v>0</v>
      </c>
      <c r="Z52" s="97" t="s">
        <v>107</v>
      </c>
      <c r="AA52" s="200">
        <f>IF($P52=Z52,$M$6,0)</f>
        <v>0</v>
      </c>
      <c r="AB52" s="97" t="s">
        <v>107</v>
      </c>
      <c r="AC52" s="200">
        <f>IF($P52=AB52,$M$6,0)</f>
        <v>0</v>
      </c>
      <c r="AD52" t="s">
        <v>107</v>
      </c>
      <c r="AE52" s="200">
        <f>IF($P52=AD52,$M$6,0)</f>
        <v>0</v>
      </c>
      <c r="AF52" t="s">
        <v>107</v>
      </c>
      <c r="AG52" s="200">
        <f>IF($P52=AF52,$M$6,0)</f>
        <v>0</v>
      </c>
      <c r="AH52" t="s">
        <v>107</v>
      </c>
      <c r="AI52" s="200">
        <f>IF($P52=AH52,$M$6,0)</f>
        <v>0</v>
      </c>
      <c r="AJ52" t="s">
        <v>107</v>
      </c>
      <c r="AK52" s="200">
        <f>IF($P52=AJ52,$M$6,0)</f>
        <v>0</v>
      </c>
      <c r="AL52" t="s">
        <v>107</v>
      </c>
      <c r="AM52" s="200">
        <f>IF($P52=AL52,$M$6,0)</f>
        <v>0</v>
      </c>
      <c r="AN52" t="s">
        <v>107</v>
      </c>
      <c r="AO52" s="200">
        <f>IF($P52=AN52,$M$6,0)</f>
        <v>0</v>
      </c>
      <c r="AP52" t="s">
        <v>107</v>
      </c>
      <c r="AQ52" s="200">
        <f>IF($P52=AP52,$M$6,0)</f>
        <v>0</v>
      </c>
      <c r="AR52" t="s">
        <v>107</v>
      </c>
      <c r="AS52" s="200">
        <f>IF($P52=AR52,$M$6,0)</f>
        <v>0</v>
      </c>
      <c r="AT52" t="s">
        <v>107</v>
      </c>
      <c r="AU52" s="200">
        <f>IF($P52=AT52,$M$6,0)</f>
        <v>0</v>
      </c>
      <c r="AV52" t="s">
        <v>107</v>
      </c>
      <c r="AW52" s="200">
        <f>IF($P52=AV52,$M$6,0)</f>
        <v>0</v>
      </c>
      <c r="AX52" t="s">
        <v>107</v>
      </c>
      <c r="AY52" s="200">
        <f>IF($P52=AX52,$M$6,0)</f>
        <v>0</v>
      </c>
      <c r="AZ52" t="s">
        <v>107</v>
      </c>
      <c r="BA52" s="200">
        <f>IF($P52=AZ52,$M$6,0)</f>
        <v>0</v>
      </c>
      <c r="BB52" t="s">
        <v>107</v>
      </c>
      <c r="BC52" s="200">
        <f>IF($P52=BB52,$M$6,0)</f>
        <v>0</v>
      </c>
      <c r="BD52" t="s">
        <v>107</v>
      </c>
      <c r="BE52" s="200">
        <f>IF($P52=BD52,$M$6,0)</f>
        <v>0</v>
      </c>
      <c r="BF52" t="s">
        <v>107</v>
      </c>
      <c r="BG52" s="200">
        <f>IF($P52=BF52,$M$6,0)</f>
        <v>0</v>
      </c>
      <c r="BH52" t="s">
        <v>107</v>
      </c>
      <c r="BI52" s="200">
        <f>IF($P52=BH52,$M$6,0)</f>
        <v>0</v>
      </c>
      <c r="BJ52" t="s">
        <v>107</v>
      </c>
      <c r="BK52" s="200">
        <f>IF($P52=BJ52,$M$6,0)</f>
        <v>0</v>
      </c>
      <c r="BL52" t="s">
        <v>107</v>
      </c>
      <c r="BM52" s="200">
        <f>IF($P52=BL52,$M$6,0)</f>
        <v>0</v>
      </c>
      <c r="BN52" t="s">
        <v>107</v>
      </c>
      <c r="BO52" s="200">
        <f>IF($P52=BN52,$M$6,0)</f>
        <v>0</v>
      </c>
      <c r="BP52" t="s">
        <v>107</v>
      </c>
      <c r="BQ52" s="200">
        <f>IF($P52=BP52,$M$6,0)</f>
        <v>0</v>
      </c>
      <c r="BR52" t="s">
        <v>107</v>
      </c>
      <c r="BS52" s="200">
        <f>IF($P52=BR52,$M$6,0)</f>
        <v>0</v>
      </c>
      <c r="BT52" t="s">
        <v>107</v>
      </c>
      <c r="BU52" s="200">
        <f>IF($P52=BT52,$M$6,0)</f>
        <v>0</v>
      </c>
      <c r="BV52" t="s">
        <v>107</v>
      </c>
      <c r="BW52" s="200">
        <f>IF($P52=BV52,$M$6,0)</f>
        <v>0</v>
      </c>
      <c r="BX52" t="s">
        <v>107</v>
      </c>
      <c r="BY52" s="200">
        <f>IF($P52=BX52,$M$6,0)</f>
        <v>0</v>
      </c>
      <c r="BZ52" t="s">
        <v>107</v>
      </c>
      <c r="CA52" s="200">
        <f>IF($P52=BZ52,$M$6,0)</f>
        <v>0</v>
      </c>
      <c r="CB52" t="s">
        <v>107</v>
      </c>
      <c r="CC52" s="200">
        <f>IF($P52=CB52,$M$6,0)</f>
        <v>0</v>
      </c>
      <c r="CD52" t="s">
        <v>107</v>
      </c>
      <c r="CE52" s="200">
        <f>IF($P52=CD52,$M$6,0)</f>
        <v>0</v>
      </c>
      <c r="CF52" s="197" t="s">
        <v>107</v>
      </c>
      <c r="CG52" s="200">
        <f>IF($P52=CF52,$M$6,0)</f>
        <v>0</v>
      </c>
      <c r="CH52" t="s">
        <v>107</v>
      </c>
      <c r="CI52" s="200">
        <f>IF($P52=CH52,$M$6,0)</f>
        <v>0</v>
      </c>
      <c r="CJ52" t="s">
        <v>107</v>
      </c>
      <c r="CK52" s="200">
        <f>IF($P52=CJ52,$M$6,0)</f>
        <v>0</v>
      </c>
      <c r="CL52" s="197" t="s">
        <v>107</v>
      </c>
      <c r="CM52" s="200">
        <f>IF($P52=CL52,$M$6,0)</f>
        <v>0</v>
      </c>
      <c r="CN52" t="s">
        <v>117</v>
      </c>
      <c r="CO52" s="200">
        <f>IF($P52=CN52,$M$6,0)</f>
        <v>0</v>
      </c>
      <c r="CP52" t="s">
        <v>107</v>
      </c>
      <c r="CQ52" s="200">
        <f>IF($P52=CP52,$M$6,0)</f>
        <v>0</v>
      </c>
      <c r="CR52" t="s">
        <v>107</v>
      </c>
      <c r="CS52" s="200">
        <f>IF($P52=CR52,$M$6,0)</f>
        <v>0</v>
      </c>
      <c r="CT52" s="197" t="s">
        <v>107</v>
      </c>
      <c r="CU52" s="200">
        <f>IF($P52=CT52,$M$6,0)</f>
        <v>0</v>
      </c>
      <c r="CV52" s="197" t="s">
        <v>107</v>
      </c>
      <c r="CW52" s="200">
        <f>IF($P52=CV52,$M$6,0)</f>
        <v>0</v>
      </c>
      <c r="CX52" s="197" t="s">
        <v>107</v>
      </c>
      <c r="CY52" s="200">
        <f>IF($P52=CX52,$M$6,0)</f>
        <v>0</v>
      </c>
      <c r="CZ52" s="197" t="s">
        <v>107</v>
      </c>
      <c r="DA52" s="200">
        <f>IF($P52=CZ52,$M$6,0)</f>
        <v>0</v>
      </c>
    </row>
    <row r="53" spans="1:105" x14ac:dyDescent="0.25">
      <c r="A53" s="188" t="s">
        <v>393</v>
      </c>
      <c r="B53" s="189">
        <f t="shared" si="722"/>
        <v>2</v>
      </c>
      <c r="C53" s="189">
        <f t="shared" si="723"/>
        <v>2.0529999999999999</v>
      </c>
      <c r="D53" s="189">
        <f>RANK(Tabla6[[#This Row],[PUNTOS1]],Tabla6[PUNTOS1],0)</f>
        <v>19</v>
      </c>
      <c r="E53" s="189">
        <f>RANK(Tabla6[[#This Row],[PUNTOS2]],Tabla6[PUNTOS2],0)</f>
        <v>26</v>
      </c>
      <c r="F53" s="188" t="str">
        <f t="shared" si="724"/>
        <v>VICENTE URDANOZ</v>
      </c>
      <c r="G53" s="188">
        <f t="shared" si="725"/>
        <v>2</v>
      </c>
      <c r="H53" s="94"/>
      <c r="I53" s="94"/>
      <c r="J53" s="189">
        <f t="shared" si="467"/>
        <v>35</v>
      </c>
      <c r="K53" s="200" t="str">
        <f>IF(Tabla5[[#This Row],[Puntos]]=M52,".",Tabla5[[#This Row],[PosReal]])</f>
        <v>.</v>
      </c>
      <c r="L53" s="193" t="str">
        <f>VLOOKUP(J53,Tabla6[[ORDEN2]:[PUNTOS]],2,FALSE)</f>
        <v>JORGE VILLABONA</v>
      </c>
      <c r="M53" s="194">
        <f>VLOOKUP(J53,Tabla6[[ORDEN2]:[PUNTOS]],3,FALSE)</f>
        <v>2</v>
      </c>
      <c r="O53" s="10" t="s">
        <v>216</v>
      </c>
      <c r="P53" s="10"/>
      <c r="Q53" s="5"/>
      <c r="R53" s="97" t="s">
        <v>117</v>
      </c>
      <c r="S53" s="97">
        <f>IF($P53=R53,$M$7,0)</f>
        <v>0</v>
      </c>
      <c r="T53" s="97" t="s">
        <v>117</v>
      </c>
      <c r="U53" s="200">
        <f>IF($P53=T53,$M$7,0)</f>
        <v>0</v>
      </c>
      <c r="V53" s="97" t="s">
        <v>117</v>
      </c>
      <c r="W53" s="200">
        <f>IF($P53=V53,$M$7,0)</f>
        <v>0</v>
      </c>
      <c r="X53" s="97" t="s">
        <v>117</v>
      </c>
      <c r="Y53" s="200">
        <f>IF($P53=X53,$M$7,0)</f>
        <v>0</v>
      </c>
      <c r="Z53" s="97" t="s">
        <v>117</v>
      </c>
      <c r="AA53" s="200">
        <f>IF($P53=Z53,$M$7,0)</f>
        <v>0</v>
      </c>
      <c r="AB53" s="97" t="s">
        <v>117</v>
      </c>
      <c r="AC53" s="200">
        <f>IF($P53=AB53,$M$7,0)</f>
        <v>0</v>
      </c>
      <c r="AD53" t="s">
        <v>117</v>
      </c>
      <c r="AE53" s="200">
        <f>IF($P53=AD53,$M$7,0)</f>
        <v>0</v>
      </c>
      <c r="AF53" t="s">
        <v>117</v>
      </c>
      <c r="AG53" s="200">
        <f>IF($P53=AF53,$M$7,0)</f>
        <v>0</v>
      </c>
      <c r="AH53" t="s">
        <v>117</v>
      </c>
      <c r="AI53" s="200">
        <f>IF($P53=AH53,$M$7,0)</f>
        <v>0</v>
      </c>
      <c r="AJ53" t="s">
        <v>117</v>
      </c>
      <c r="AK53" s="200">
        <f>IF($P53=AJ53,$M$7,0)</f>
        <v>0</v>
      </c>
      <c r="AL53" t="s">
        <v>117</v>
      </c>
      <c r="AM53" s="200">
        <f>IF($P53=AL53,$M$7,0)</f>
        <v>0</v>
      </c>
      <c r="AN53" t="s">
        <v>117</v>
      </c>
      <c r="AO53" s="200">
        <f>IF($P53=AN53,$M$7,0)</f>
        <v>0</v>
      </c>
      <c r="AP53" t="s">
        <v>115</v>
      </c>
      <c r="AQ53" s="200">
        <f>IF($P53=AP53,$M$7,0)</f>
        <v>0</v>
      </c>
      <c r="AR53" t="s">
        <v>117</v>
      </c>
      <c r="AS53" s="200">
        <f>IF($P53=AR53,$M$7,0)</f>
        <v>0</v>
      </c>
      <c r="AT53" t="s">
        <v>126</v>
      </c>
      <c r="AU53" s="200">
        <f>IF($P53=AT53,$M$7,0)</f>
        <v>0</v>
      </c>
      <c r="AV53" t="s">
        <v>117</v>
      </c>
      <c r="AW53" s="200">
        <f>IF($P53=AV53,$M$7,0)</f>
        <v>0</v>
      </c>
      <c r="AX53" t="s">
        <v>115</v>
      </c>
      <c r="AY53" s="200">
        <f>IF($P53=AX53,$M$7,0)</f>
        <v>0</v>
      </c>
      <c r="AZ53" t="s">
        <v>115</v>
      </c>
      <c r="BA53" s="200">
        <f>IF($P53=AZ53,$M$7,0)</f>
        <v>0</v>
      </c>
      <c r="BB53" t="s">
        <v>115</v>
      </c>
      <c r="BC53" s="200">
        <f>IF($P53=BB53,$M$7,0)</f>
        <v>0</v>
      </c>
      <c r="BD53" t="s">
        <v>115</v>
      </c>
      <c r="BE53" s="200">
        <f>IF($P53=BD53,$M$7,0)</f>
        <v>0</v>
      </c>
      <c r="BF53" t="s">
        <v>117</v>
      </c>
      <c r="BG53" s="200">
        <f>IF($P53=BF53,$M$7,0)</f>
        <v>0</v>
      </c>
      <c r="BH53" t="s">
        <v>126</v>
      </c>
      <c r="BI53" s="200">
        <f>IF($P53=BH53,$M$7,0)</f>
        <v>0</v>
      </c>
      <c r="BJ53" t="s">
        <v>117</v>
      </c>
      <c r="BK53" s="200">
        <f>IF($P53=BJ53,$M$7,0)</f>
        <v>0</v>
      </c>
      <c r="BL53" t="s">
        <v>115</v>
      </c>
      <c r="BM53" s="200">
        <f>IF($P53=BL53,$M$7,0)</f>
        <v>0</v>
      </c>
      <c r="BN53" t="s">
        <v>115</v>
      </c>
      <c r="BO53" s="200">
        <f>IF($P53=BN53,$M$7,0)</f>
        <v>0</v>
      </c>
      <c r="BP53" t="s">
        <v>117</v>
      </c>
      <c r="BQ53" s="200">
        <f>IF($P53=BP53,$M$7,0)</f>
        <v>0</v>
      </c>
      <c r="BR53" t="s">
        <v>117</v>
      </c>
      <c r="BS53" s="200">
        <f>IF($P53=BR53,$M$7,0)</f>
        <v>0</v>
      </c>
      <c r="BT53" t="s">
        <v>117</v>
      </c>
      <c r="BU53" s="200">
        <f>IF($P53=BT53,$M$7,0)</f>
        <v>0</v>
      </c>
      <c r="BV53" t="s">
        <v>117</v>
      </c>
      <c r="BW53" s="200">
        <f>IF($P53=BV53,$M$7,0)</f>
        <v>0</v>
      </c>
      <c r="BX53" t="s">
        <v>126</v>
      </c>
      <c r="BY53" s="200">
        <f>IF($P53=BX53,$M$7,0)</f>
        <v>0</v>
      </c>
      <c r="BZ53" t="s">
        <v>126</v>
      </c>
      <c r="CA53" s="200">
        <f>IF($P53=BZ53,$M$7,0)</f>
        <v>0</v>
      </c>
      <c r="CB53" t="s">
        <v>117</v>
      </c>
      <c r="CC53" s="200">
        <f>IF($P53=CB53,$M$7,0)</f>
        <v>0</v>
      </c>
      <c r="CD53" t="s">
        <v>115</v>
      </c>
      <c r="CE53" s="200">
        <f>IF($P53=CD53,$M$7,0)</f>
        <v>0</v>
      </c>
      <c r="CF53" s="197" t="s">
        <v>117</v>
      </c>
      <c r="CG53" s="200">
        <f>IF($P53=CF53,$M$7,0)</f>
        <v>0</v>
      </c>
      <c r="CH53" t="s">
        <v>115</v>
      </c>
      <c r="CI53" s="200">
        <f>IF($P53=CH53,$M$7,0)</f>
        <v>0</v>
      </c>
      <c r="CJ53" t="s">
        <v>117</v>
      </c>
      <c r="CK53" s="200">
        <f>IF($P53=CJ53,$M$7,0)</f>
        <v>0</v>
      </c>
      <c r="CL53" s="197" t="s">
        <v>117</v>
      </c>
      <c r="CM53" s="200">
        <f>IF($P53=CL53,$M$7,0)</f>
        <v>0</v>
      </c>
      <c r="CN53" t="s">
        <v>115</v>
      </c>
      <c r="CO53" s="200">
        <f>IF($P53=CN53,$M$7,0)</f>
        <v>0</v>
      </c>
      <c r="CP53" t="s">
        <v>117</v>
      </c>
      <c r="CQ53" s="200">
        <f>IF($P53=CP53,$M$7,0)</f>
        <v>0</v>
      </c>
      <c r="CR53" t="s">
        <v>117</v>
      </c>
      <c r="CS53" s="200">
        <f>IF($P53=CR53,$M$7,0)</f>
        <v>0</v>
      </c>
      <c r="CT53" s="197" t="s">
        <v>115</v>
      </c>
      <c r="CU53" s="200">
        <f>IF($P53=CT53,$M$7,0)</f>
        <v>0</v>
      </c>
      <c r="CV53" s="197" t="s">
        <v>117</v>
      </c>
      <c r="CW53" s="200">
        <f>IF($P53=CV53,$M$7,0)</f>
        <v>0</v>
      </c>
      <c r="CX53" s="197" t="s">
        <v>117</v>
      </c>
      <c r="CY53" s="200">
        <f>IF($P53=CX53,$M$7,0)</f>
        <v>0</v>
      </c>
      <c r="CZ53" s="197" t="s">
        <v>115</v>
      </c>
      <c r="DA53" s="200">
        <f>IF($P53=CZ53,$M$7,0)</f>
        <v>0</v>
      </c>
    </row>
    <row r="54" spans="1:105" x14ac:dyDescent="0.25">
      <c r="A54" s="188" t="s">
        <v>394</v>
      </c>
      <c r="B54" s="189">
        <f t="shared" si="722"/>
        <v>2</v>
      </c>
      <c r="C54" s="189">
        <f t="shared" si="723"/>
        <v>2.0539999999999998</v>
      </c>
      <c r="D54" s="189">
        <f>RANK(Tabla6[[#This Row],[PUNTOS1]],Tabla6[PUNTOS1],0)</f>
        <v>19</v>
      </c>
      <c r="E54" s="189">
        <f>RANK(Tabla6[[#This Row],[PUNTOS2]],Tabla6[PUNTOS2],0)</f>
        <v>25</v>
      </c>
      <c r="F54" s="188" t="str">
        <f t="shared" si="724"/>
        <v>XABI GOÑI</v>
      </c>
      <c r="G54" s="188">
        <f t="shared" si="725"/>
        <v>2</v>
      </c>
      <c r="H54" s="94"/>
      <c r="I54" s="94"/>
      <c r="J54" s="189">
        <f t="shared" si="467"/>
        <v>36</v>
      </c>
      <c r="K54" s="200" t="str">
        <f>IF(Tabla5[[#This Row],[Puntos]]=M53,".",Tabla5[[#This Row],[PosReal]])</f>
        <v>.</v>
      </c>
      <c r="L54" s="193" t="str">
        <f>VLOOKUP(J54,Tabla6[[ORDEN2]:[PUNTOS]],2,FALSE)</f>
        <v>JESÚS VALENCIA</v>
      </c>
      <c r="M54" s="194">
        <f>VLOOKUP(J54,Tabla6[[ORDEN2]:[PUNTOS]],3,FALSE)</f>
        <v>2</v>
      </c>
      <c r="O54" s="10" t="s">
        <v>221</v>
      </c>
      <c r="P54" s="10"/>
      <c r="Q54" s="5"/>
      <c r="R54" s="97" t="s">
        <v>115</v>
      </c>
      <c r="S54" s="97">
        <f>IF($P54=R54,$M$8,0)</f>
        <v>0</v>
      </c>
      <c r="T54" s="97" t="s">
        <v>115</v>
      </c>
      <c r="U54" s="200">
        <f>IF($P54=T54,$M$8,0)</f>
        <v>0</v>
      </c>
      <c r="V54" s="97" t="s">
        <v>126</v>
      </c>
      <c r="W54" s="200">
        <f>IF($P54=V54,$M$8,0)</f>
        <v>0</v>
      </c>
      <c r="X54" s="97" t="s">
        <v>115</v>
      </c>
      <c r="Y54" s="200">
        <f>IF($P54=X54,$M$8,0)</f>
        <v>0</v>
      </c>
      <c r="Z54" s="97" t="s">
        <v>115</v>
      </c>
      <c r="AA54" s="200">
        <f>IF($P54=Z54,$M$8,0)</f>
        <v>0</v>
      </c>
      <c r="AB54" s="97" t="s">
        <v>115</v>
      </c>
      <c r="AC54" s="200">
        <f>IF($P54=AB54,$M$8,0)</f>
        <v>0</v>
      </c>
      <c r="AD54" t="s">
        <v>126</v>
      </c>
      <c r="AE54" s="200">
        <f>IF($P54=AD54,$M$8,0)</f>
        <v>0</v>
      </c>
      <c r="AF54" t="s">
        <v>126</v>
      </c>
      <c r="AG54" s="200">
        <f>IF($P54=AF54,$M$8,0)</f>
        <v>0</v>
      </c>
      <c r="AH54" t="s">
        <v>115</v>
      </c>
      <c r="AI54" s="200">
        <f>IF($P54=AH54,$M$8,0)</f>
        <v>0</v>
      </c>
      <c r="AJ54" t="s">
        <v>115</v>
      </c>
      <c r="AK54" s="200">
        <f>IF($P54=AJ54,$M$8,0)</f>
        <v>0</v>
      </c>
      <c r="AL54" t="s">
        <v>115</v>
      </c>
      <c r="AM54" s="200">
        <f>IF($P54=AL54,$M$8,0)</f>
        <v>0</v>
      </c>
      <c r="AN54" t="s">
        <v>126</v>
      </c>
      <c r="AO54" s="200">
        <f>IF($P54=AN54,$M$8,0)</f>
        <v>0</v>
      </c>
      <c r="AP54" t="s">
        <v>117</v>
      </c>
      <c r="AQ54" s="200">
        <f>IF($P54=AP54,$M$8,0)</f>
        <v>0</v>
      </c>
      <c r="AR54" t="s">
        <v>115</v>
      </c>
      <c r="AS54" s="200">
        <f>IF($P54=AR54,$M$8,0)</f>
        <v>0</v>
      </c>
      <c r="AT54" t="s">
        <v>117</v>
      </c>
      <c r="AU54" s="200">
        <f>IF($P54=AT54,$M$8,0)</f>
        <v>0</v>
      </c>
      <c r="AV54" t="s">
        <v>115</v>
      </c>
      <c r="AW54" s="200">
        <f>IF($P54=AV54,$M$8,0)</f>
        <v>0</v>
      </c>
      <c r="AX54" t="s">
        <v>117</v>
      </c>
      <c r="AY54" s="200">
        <f>IF($P54=AX54,$M$8,0)</f>
        <v>0</v>
      </c>
      <c r="AZ54" t="s">
        <v>117</v>
      </c>
      <c r="BA54" s="200">
        <f>IF($P54=AZ54,$M$8,0)</f>
        <v>0</v>
      </c>
      <c r="BB54" t="s">
        <v>117</v>
      </c>
      <c r="BC54" s="200">
        <f>IF($P54=BB54,$M$8,0)</f>
        <v>0</v>
      </c>
      <c r="BD54" t="s">
        <v>117</v>
      </c>
      <c r="BE54" s="200">
        <f>IF($P54=BD54,$M$8,0)</f>
        <v>0</v>
      </c>
      <c r="BF54" t="s">
        <v>115</v>
      </c>
      <c r="BG54" s="200">
        <f>IF($P54=BF54,$M$8,0)</f>
        <v>0</v>
      </c>
      <c r="BH54" t="s">
        <v>115</v>
      </c>
      <c r="BI54" s="200">
        <f>IF($P54=BH54,$M$8,0)</f>
        <v>0</v>
      </c>
      <c r="BJ54" t="s">
        <v>115</v>
      </c>
      <c r="BK54" s="200">
        <f>IF($P54=BJ54,$M$8,0)</f>
        <v>0</v>
      </c>
      <c r="BL54" t="s">
        <v>117</v>
      </c>
      <c r="BM54" s="200">
        <f>IF($P54=BL54,$M$8,0)</f>
        <v>0</v>
      </c>
      <c r="BN54" t="s">
        <v>117</v>
      </c>
      <c r="BO54" s="200">
        <f>IF($P54=BN54,$M$8,0)</f>
        <v>0</v>
      </c>
      <c r="BP54" t="s">
        <v>115</v>
      </c>
      <c r="BQ54" s="200">
        <f>IF($P54=BP54,$M$8,0)</f>
        <v>0</v>
      </c>
      <c r="BR54" t="s">
        <v>115</v>
      </c>
      <c r="BS54" s="200">
        <f>IF($P54=BR54,$M$8,0)</f>
        <v>0</v>
      </c>
      <c r="BT54" t="s">
        <v>115</v>
      </c>
      <c r="BU54" s="200">
        <f>IF($P54=BT54,$M$8,0)</f>
        <v>0</v>
      </c>
      <c r="BV54" t="s">
        <v>115</v>
      </c>
      <c r="BW54" s="200">
        <f>IF($P54=BV54,$M$8,0)</f>
        <v>0</v>
      </c>
      <c r="BX54" t="s">
        <v>117</v>
      </c>
      <c r="BY54" s="200">
        <f>IF($P54=BX54,$M$8,0)</f>
        <v>0</v>
      </c>
      <c r="BZ54" t="s">
        <v>115</v>
      </c>
      <c r="CA54" s="200">
        <f>IF($P54=BZ54,$M$8,0)</f>
        <v>0</v>
      </c>
      <c r="CB54" t="s">
        <v>115</v>
      </c>
      <c r="CC54" s="200">
        <f>IF($P54=CB54,$M$8,0)</f>
        <v>0</v>
      </c>
      <c r="CD54" t="s">
        <v>117</v>
      </c>
      <c r="CE54" s="200">
        <f>IF($P54=CD54,$M$8,0)</f>
        <v>0</v>
      </c>
      <c r="CF54" s="197" t="s">
        <v>115</v>
      </c>
      <c r="CG54" s="200">
        <f>IF($P54=CF54,$M$8,0)</f>
        <v>0</v>
      </c>
      <c r="CH54" t="s">
        <v>126</v>
      </c>
      <c r="CI54" s="200">
        <f>IF($P54=CH54,$M$8,0)</f>
        <v>0</v>
      </c>
      <c r="CJ54" t="s">
        <v>115</v>
      </c>
      <c r="CK54" s="200">
        <f>IF($P54=CJ54,$M$8,0)</f>
        <v>0</v>
      </c>
      <c r="CL54" s="197" t="s">
        <v>115</v>
      </c>
      <c r="CM54" s="200">
        <f>IF($P54=CL54,$M$8,0)</f>
        <v>0</v>
      </c>
      <c r="CN54" t="s">
        <v>107</v>
      </c>
      <c r="CO54" s="200">
        <f>IF($P54=CN54,$M$8,0)</f>
        <v>0</v>
      </c>
      <c r="CP54" t="s">
        <v>115</v>
      </c>
      <c r="CQ54" s="200">
        <f>IF($P54=CP54,$M$8,0)</f>
        <v>0</v>
      </c>
      <c r="CR54" t="s">
        <v>115</v>
      </c>
      <c r="CS54" s="200">
        <f>IF($P54=CR54,$M$8,0)</f>
        <v>0</v>
      </c>
      <c r="CT54" s="197" t="s">
        <v>117</v>
      </c>
      <c r="CU54" s="200">
        <f>IF($P54=CT54,$M$8,0)</f>
        <v>0</v>
      </c>
      <c r="CV54" s="197" t="s">
        <v>115</v>
      </c>
      <c r="CW54" s="200">
        <f>IF($P54=CV54,$M$8,0)</f>
        <v>0</v>
      </c>
      <c r="CX54" s="197" t="s">
        <v>115</v>
      </c>
      <c r="CY54" s="200">
        <f>IF($P54=CX54,$M$8,0)</f>
        <v>0</v>
      </c>
      <c r="CZ54" s="197" t="s">
        <v>117</v>
      </c>
      <c r="DA54" s="200">
        <f>IF($P54=CZ54,$M$8,0)</f>
        <v>0</v>
      </c>
    </row>
    <row r="55" spans="1:105" x14ac:dyDescent="0.25">
      <c r="A55" s="188" t="s">
        <v>396</v>
      </c>
      <c r="B55" s="189">
        <f t="shared" si="722"/>
        <v>2</v>
      </c>
      <c r="C55" s="189">
        <f t="shared" si="723"/>
        <v>2.0550000000000002</v>
      </c>
      <c r="D55" s="189">
        <f>RANK(Tabla6[[#This Row],[PUNTOS1]],Tabla6[PUNTOS1],0)</f>
        <v>19</v>
      </c>
      <c r="E55" s="189">
        <f>RANK(Tabla6[[#This Row],[PUNTOS2]],Tabla6[PUNTOS2],0)</f>
        <v>24</v>
      </c>
      <c r="F55" s="188" t="str">
        <f t="shared" si="724"/>
        <v>ENEKO ESEBERRI</v>
      </c>
      <c r="G55" s="188">
        <f t="shared" si="725"/>
        <v>2</v>
      </c>
      <c r="H55" s="94"/>
      <c r="I55" s="94"/>
      <c r="J55" s="189">
        <f t="shared" si="467"/>
        <v>37</v>
      </c>
      <c r="K55" s="200" t="str">
        <f>IF(Tabla5[[#This Row],[Puntos]]=M54,".",Tabla5[[#This Row],[PosReal]])</f>
        <v>.</v>
      </c>
      <c r="L55" s="193" t="str">
        <f>VLOOKUP(J55,Tabla6[[ORDEN2]:[PUNTOS]],2,FALSE)</f>
        <v>FERMÍN GALAR</v>
      </c>
      <c r="M55" s="194">
        <f>VLOOKUP(J55,Tabla6[[ORDEN2]:[PUNTOS]],3,FALSE)</f>
        <v>2</v>
      </c>
      <c r="O55" s="10" t="s">
        <v>222</v>
      </c>
      <c r="P55" s="10"/>
      <c r="Q55" s="5"/>
      <c r="R55" s="97" t="s">
        <v>126</v>
      </c>
      <c r="S55" s="97">
        <f>IF($P55=R55,$M$9,0)</f>
        <v>0</v>
      </c>
      <c r="T55" s="97" t="s">
        <v>126</v>
      </c>
      <c r="U55" s="200">
        <f>IF($P55=T55,$M$9,0)</f>
        <v>0</v>
      </c>
      <c r="V55" s="97" t="s">
        <v>115</v>
      </c>
      <c r="W55" s="200">
        <f>IF($P55=V55,$M$9,0)</f>
        <v>0</v>
      </c>
      <c r="X55" s="97" t="s">
        <v>126</v>
      </c>
      <c r="Y55" s="200">
        <f>IF($P55=X55,$M$9,0)</f>
        <v>0</v>
      </c>
      <c r="Z55" s="97" t="s">
        <v>126</v>
      </c>
      <c r="AA55" s="200">
        <f>IF($P55=Z55,$M$9,0)</f>
        <v>0</v>
      </c>
      <c r="AB55" s="97" t="s">
        <v>126</v>
      </c>
      <c r="AC55" s="200">
        <f>IF($P55=AB55,$M$9,0)</f>
        <v>0</v>
      </c>
      <c r="AD55" t="s">
        <v>115</v>
      </c>
      <c r="AE55" s="200">
        <f>IF($P55=AD55,$M$9,0)</f>
        <v>0</v>
      </c>
      <c r="AF55" t="s">
        <v>115</v>
      </c>
      <c r="AG55" s="200">
        <f>IF($P55=AF55,$M$9,0)</f>
        <v>0</v>
      </c>
      <c r="AH55" t="s">
        <v>126</v>
      </c>
      <c r="AI55" s="200">
        <f>IF($P55=AH55,$M$9,0)</f>
        <v>0</v>
      </c>
      <c r="AJ55" t="s">
        <v>126</v>
      </c>
      <c r="AK55" s="200">
        <f>IF($P55=AJ55,$M$9,0)</f>
        <v>0</v>
      </c>
      <c r="AL55" t="s">
        <v>126</v>
      </c>
      <c r="AM55" s="200">
        <f>IF($P55=AL55,$M$9,0)</f>
        <v>0</v>
      </c>
      <c r="AN55" t="s">
        <v>115</v>
      </c>
      <c r="AO55" s="200">
        <f>IF($P55=AN55,$M$9,0)</f>
        <v>0</v>
      </c>
      <c r="AP55" t="s">
        <v>126</v>
      </c>
      <c r="AQ55" s="200">
        <f>IF($P55=AP55,$M$9,0)</f>
        <v>0</v>
      </c>
      <c r="AR55" t="s">
        <v>126</v>
      </c>
      <c r="AS55" s="200">
        <f>IF($P55=AR55,$M$9,0)</f>
        <v>0</v>
      </c>
      <c r="AT55" t="s">
        <v>115</v>
      </c>
      <c r="AU55" s="200">
        <f>IF($P55=AT55,$M$9,0)</f>
        <v>0</v>
      </c>
      <c r="AV55" t="s">
        <v>126</v>
      </c>
      <c r="AW55" s="200">
        <f>IF($P55=AV55,$M$9,0)</f>
        <v>0</v>
      </c>
      <c r="AX55" t="s">
        <v>126</v>
      </c>
      <c r="AY55" s="200">
        <f>IF($P55=AX55,$M$9,0)</f>
        <v>0</v>
      </c>
      <c r="AZ55" t="s">
        <v>126</v>
      </c>
      <c r="BA55" s="200">
        <f>IF($P55=AZ55,$M$9,0)</f>
        <v>0</v>
      </c>
      <c r="BB55" t="s">
        <v>126</v>
      </c>
      <c r="BC55" s="200">
        <f>IF($P55=BB55,$M$9,0)</f>
        <v>0</v>
      </c>
      <c r="BD55" t="s">
        <v>126</v>
      </c>
      <c r="BE55" s="200">
        <f>IF($P55=BD55,$M$9,0)</f>
        <v>0</v>
      </c>
      <c r="BF55" t="s">
        <v>126</v>
      </c>
      <c r="BG55" s="200">
        <f>IF($P55=BF55,$M$9,0)</f>
        <v>0</v>
      </c>
      <c r="BH55" t="s">
        <v>117</v>
      </c>
      <c r="BI55" s="200">
        <f>IF($P55=BH55,$M$9,0)</f>
        <v>0</v>
      </c>
      <c r="BJ55" t="s">
        <v>126</v>
      </c>
      <c r="BK55" s="200">
        <f>IF($P55=BJ55,$M$9,0)</f>
        <v>0</v>
      </c>
      <c r="BL55" t="s">
        <v>126</v>
      </c>
      <c r="BM55" s="200">
        <f>IF($P55=BL55,$M$9,0)</f>
        <v>0</v>
      </c>
      <c r="BN55" t="s">
        <v>126</v>
      </c>
      <c r="BO55" s="200">
        <f>IF($P55=BN55,$M$9,0)</f>
        <v>0</v>
      </c>
      <c r="BP55" t="s">
        <v>126</v>
      </c>
      <c r="BQ55" s="200">
        <f>IF($P55=BP55,$M$9,0)</f>
        <v>0</v>
      </c>
      <c r="BR55" t="s">
        <v>126</v>
      </c>
      <c r="BS55" s="200">
        <f>IF($P55=BR55,$M$9,0)</f>
        <v>0</v>
      </c>
      <c r="BT55" t="s">
        <v>126</v>
      </c>
      <c r="BU55" s="200">
        <f>IF($P55=BT55,$M$9,0)</f>
        <v>0</v>
      </c>
      <c r="BV55" t="s">
        <v>126</v>
      </c>
      <c r="BW55" s="200">
        <f>IF($P55=BV55,$M$9,0)</f>
        <v>0</v>
      </c>
      <c r="BX55" t="s">
        <v>115</v>
      </c>
      <c r="BY55" s="200">
        <f>IF($P55=BX55,$M$9,0)</f>
        <v>0</v>
      </c>
      <c r="BZ55" t="s">
        <v>117</v>
      </c>
      <c r="CA55" s="200">
        <f>IF($P55=BZ55,$M$9,0)</f>
        <v>0</v>
      </c>
      <c r="CB55" t="s">
        <v>126</v>
      </c>
      <c r="CC55" s="200">
        <f>IF($P55=CB55,$M$9,0)</f>
        <v>0</v>
      </c>
      <c r="CD55" t="s">
        <v>126</v>
      </c>
      <c r="CE55" s="200">
        <f>IF($P55=CD55,$M$9,0)</f>
        <v>0</v>
      </c>
      <c r="CF55" s="197" t="s">
        <v>126</v>
      </c>
      <c r="CG55" s="200">
        <f>IF($P55=CF55,$M$9,0)</f>
        <v>0</v>
      </c>
      <c r="CH55" t="s">
        <v>117</v>
      </c>
      <c r="CI55" s="200">
        <f>IF($P55=CH55,$M$9,0)</f>
        <v>0</v>
      </c>
      <c r="CJ55" t="s">
        <v>126</v>
      </c>
      <c r="CK55" s="200">
        <f>IF($P55=CJ55,$M$9,0)</f>
        <v>0</v>
      </c>
      <c r="CL55" s="197" t="s">
        <v>126</v>
      </c>
      <c r="CM55" s="200">
        <f>IF($P55=CL55,$M$9,0)</f>
        <v>0</v>
      </c>
      <c r="CN55" t="s">
        <v>126</v>
      </c>
      <c r="CO55" s="200">
        <f>IF($P55=CN55,$M$9,0)</f>
        <v>0</v>
      </c>
      <c r="CP55" t="s">
        <v>126</v>
      </c>
      <c r="CQ55" s="200">
        <f>IF($P55=CP55,$M$9,0)</f>
        <v>0</v>
      </c>
      <c r="CR55" t="s">
        <v>126</v>
      </c>
      <c r="CS55" s="200">
        <f>IF($P55=CR55,$M$9,0)</f>
        <v>0</v>
      </c>
      <c r="CT55" s="197" t="s">
        <v>126</v>
      </c>
      <c r="CU55" s="200">
        <f>IF($P55=CT55,$M$9,0)</f>
        <v>0</v>
      </c>
      <c r="CV55" s="197" t="s">
        <v>126</v>
      </c>
      <c r="CW55" s="200">
        <f>IF($P55=CV55,$M$9,0)</f>
        <v>0</v>
      </c>
      <c r="CX55" s="197" t="s">
        <v>126</v>
      </c>
      <c r="CY55" s="200">
        <f>IF($P55=CX55,$M$9,0)</f>
        <v>0</v>
      </c>
      <c r="CZ55" s="197" t="s">
        <v>126</v>
      </c>
      <c r="DA55" s="200">
        <f>IF($P55=CZ55,$M$9,0)</f>
        <v>0</v>
      </c>
    </row>
    <row r="56" spans="1:105" x14ac:dyDescent="0.25">
      <c r="A56" s="188" t="s">
        <v>397</v>
      </c>
      <c r="B56" s="189">
        <f t="shared" si="722"/>
        <v>3</v>
      </c>
      <c r="C56" s="189">
        <f t="shared" si="723"/>
        <v>3.056</v>
      </c>
      <c r="D56" s="189">
        <f>RANK(Tabla6[[#This Row],[PUNTOS1]],Tabla6[PUNTOS1],0)</f>
        <v>1</v>
      </c>
      <c r="E56" s="189">
        <f>RANK(Tabla6[[#This Row],[PUNTOS2]],Tabla6[PUNTOS2],0)</f>
        <v>2</v>
      </c>
      <c r="F56" s="188" t="str">
        <f t="shared" si="724"/>
        <v>GARAZI LACUNZA</v>
      </c>
      <c r="G56" s="188">
        <f t="shared" si="725"/>
        <v>3</v>
      </c>
      <c r="H56" s="94"/>
      <c r="I56" s="94"/>
      <c r="J56" s="189">
        <f t="shared" si="467"/>
        <v>38</v>
      </c>
      <c r="K56" s="200" t="str">
        <f>IF(Tabla5[[#This Row],[Puntos]]=M55,".",Tabla5[[#This Row],[PosReal]])</f>
        <v>.</v>
      </c>
      <c r="L56" s="193" t="str">
        <f>VLOOKUP(J56,Tabla6[[ORDEN2]:[PUNTOS]],2,FALSE)</f>
        <v>DAVID MARTINEZ</v>
      </c>
      <c r="M56" s="194">
        <f>VLOOKUP(J56,Tabla6[[ORDEN2]:[PUNTOS]],3,FALSE)</f>
        <v>2</v>
      </c>
      <c r="O56" s="10" t="s">
        <v>223</v>
      </c>
      <c r="P56" s="10"/>
      <c r="Q56" s="5"/>
      <c r="R56" s="97" t="s">
        <v>106</v>
      </c>
      <c r="S56" s="97">
        <f>IF($P56=R56,$M$6,0)</f>
        <v>0</v>
      </c>
      <c r="T56" s="97" t="s">
        <v>106</v>
      </c>
      <c r="U56" s="200">
        <f>IF($P56=T56,$M$6,0)</f>
        <v>0</v>
      </c>
      <c r="V56" s="97" t="s">
        <v>106</v>
      </c>
      <c r="W56" s="200">
        <f>IF($P56=V56,$M$6,0)</f>
        <v>0</v>
      </c>
      <c r="X56" s="97" t="s">
        <v>106</v>
      </c>
      <c r="Y56" s="200">
        <f>IF($P56=X56,$M$6,0)</f>
        <v>0</v>
      </c>
      <c r="Z56" s="97" t="s">
        <v>106</v>
      </c>
      <c r="AA56" s="200">
        <f>IF($P56=Z56,$M$6,0)</f>
        <v>0</v>
      </c>
      <c r="AB56" s="97" t="s">
        <v>106</v>
      </c>
      <c r="AC56" s="200">
        <f>IF($P56=AB56,$M$6,0)</f>
        <v>0</v>
      </c>
      <c r="AD56" t="s">
        <v>106</v>
      </c>
      <c r="AE56" s="200">
        <f>IF($P56=AD56,$M$6,0)</f>
        <v>0</v>
      </c>
      <c r="AF56" t="s">
        <v>106</v>
      </c>
      <c r="AG56" s="200">
        <f>IF($P56=AF56,$M$6,0)</f>
        <v>0</v>
      </c>
      <c r="AH56" t="s">
        <v>106</v>
      </c>
      <c r="AI56" s="200">
        <f>IF($P56=AH56,$M$6,0)</f>
        <v>0</v>
      </c>
      <c r="AJ56" t="s">
        <v>106</v>
      </c>
      <c r="AK56" s="200">
        <f>IF($P56=AJ56,$M$6,0)</f>
        <v>0</v>
      </c>
      <c r="AL56" t="s">
        <v>106</v>
      </c>
      <c r="AM56" s="200">
        <f>IF($P56=AL56,$M$6,0)</f>
        <v>0</v>
      </c>
      <c r="AN56" t="s">
        <v>114</v>
      </c>
      <c r="AO56" s="200">
        <f>IF($P56=AN56,$M$6,0)</f>
        <v>0</v>
      </c>
      <c r="AP56" t="s">
        <v>106</v>
      </c>
      <c r="AQ56" s="200">
        <f>IF($P56=AP56,$M$6,0)</f>
        <v>0</v>
      </c>
      <c r="AR56" t="s">
        <v>106</v>
      </c>
      <c r="AS56" s="200">
        <f>IF($P56=AR56,$M$6,0)</f>
        <v>0</v>
      </c>
      <c r="AT56" t="s">
        <v>142</v>
      </c>
      <c r="AU56" s="200">
        <f>IF($P56=AT56,$M$6,0)</f>
        <v>0</v>
      </c>
      <c r="AV56" t="s">
        <v>114</v>
      </c>
      <c r="AW56" s="200">
        <f>IF($P56=AV56,$M$6,0)</f>
        <v>0</v>
      </c>
      <c r="AX56" t="s">
        <v>106</v>
      </c>
      <c r="AY56" s="200">
        <f>IF($P56=AX56,$M$6,0)</f>
        <v>0</v>
      </c>
      <c r="AZ56" t="s">
        <v>114</v>
      </c>
      <c r="BA56" s="200">
        <f>IF($P56=AZ56,$M$6,0)</f>
        <v>0</v>
      </c>
      <c r="BB56" t="s">
        <v>114</v>
      </c>
      <c r="BC56" s="200">
        <f>IF($P56=BB56,$M$6,0)</f>
        <v>0</v>
      </c>
      <c r="BD56" t="s">
        <v>106</v>
      </c>
      <c r="BE56" s="200">
        <f>IF($P56=BD56,$M$6,0)</f>
        <v>0</v>
      </c>
      <c r="BF56" t="s">
        <v>106</v>
      </c>
      <c r="BG56" s="200">
        <f>IF($P56=BF56,$M$6,0)</f>
        <v>0</v>
      </c>
      <c r="BH56" t="s">
        <v>114</v>
      </c>
      <c r="BI56" s="200">
        <f>IF($P56=BH56,$M$6,0)</f>
        <v>0</v>
      </c>
      <c r="BJ56" t="s">
        <v>106</v>
      </c>
      <c r="BK56" s="200">
        <f>IF($P56=BJ56,$M$6,0)</f>
        <v>0</v>
      </c>
      <c r="BL56" t="s">
        <v>106</v>
      </c>
      <c r="BM56" s="200">
        <f>IF($P56=BL56,$M$6,0)</f>
        <v>0</v>
      </c>
      <c r="BN56" t="s">
        <v>106</v>
      </c>
      <c r="BO56" s="200">
        <f>IF($P56=BN56,$M$6,0)</f>
        <v>0</v>
      </c>
      <c r="BP56" t="s">
        <v>106</v>
      </c>
      <c r="BQ56" s="200">
        <f>IF($P56=BP56,$M$6,0)</f>
        <v>0</v>
      </c>
      <c r="BR56" t="s">
        <v>106</v>
      </c>
      <c r="BS56" s="200">
        <f>IF($P56=BR56,$M$6,0)</f>
        <v>0</v>
      </c>
      <c r="BT56" t="s">
        <v>106</v>
      </c>
      <c r="BU56" s="200">
        <f>IF($P56=BT56,$M$6,0)</f>
        <v>0</v>
      </c>
      <c r="BV56" t="s">
        <v>106</v>
      </c>
      <c r="BW56" s="200">
        <f>IF($P56=BV56,$M$6,0)</f>
        <v>0</v>
      </c>
      <c r="BX56" t="s">
        <v>106</v>
      </c>
      <c r="BY56" s="200">
        <f>IF($P56=BX56,$M$6,0)</f>
        <v>0</v>
      </c>
      <c r="BZ56" t="s">
        <v>106</v>
      </c>
      <c r="CA56" s="200">
        <f>IF($P56=BZ56,$M$6,0)</f>
        <v>0</v>
      </c>
      <c r="CB56" t="s">
        <v>106</v>
      </c>
      <c r="CC56" s="200">
        <f>IF($P56=CB56,$M$6,0)</f>
        <v>0</v>
      </c>
      <c r="CD56" t="s">
        <v>114</v>
      </c>
      <c r="CE56" s="200">
        <f>IF($P56=CD56,$M$6,0)</f>
        <v>0</v>
      </c>
      <c r="CF56" s="197" t="s">
        <v>106</v>
      </c>
      <c r="CG56" s="200">
        <f>IF($P56=CF56,$M$6,0)</f>
        <v>0</v>
      </c>
      <c r="CH56" t="s">
        <v>114</v>
      </c>
      <c r="CI56" s="200">
        <f>IF($P56=CH56,$M$6,0)</f>
        <v>0</v>
      </c>
      <c r="CJ56" t="s">
        <v>106</v>
      </c>
      <c r="CK56" s="200">
        <f>IF($P56=CJ56,$M$6,0)</f>
        <v>0</v>
      </c>
      <c r="CL56" s="197" t="s">
        <v>106</v>
      </c>
      <c r="CM56" s="200">
        <f>IF($P56=CL56,$M$6,0)</f>
        <v>0</v>
      </c>
      <c r="CN56" t="s">
        <v>106</v>
      </c>
      <c r="CO56" s="200">
        <f>IF($P56=CN56,$M$6,0)</f>
        <v>0</v>
      </c>
      <c r="CP56" t="s">
        <v>106</v>
      </c>
      <c r="CQ56" s="200">
        <f>IF($P56=CP56,$M$6,0)</f>
        <v>0</v>
      </c>
      <c r="CR56" t="s">
        <v>142</v>
      </c>
      <c r="CS56" s="200">
        <f>IF($P56=CR56,$M$6,0)</f>
        <v>0</v>
      </c>
      <c r="CT56" s="197" t="s">
        <v>114</v>
      </c>
      <c r="CU56" s="200">
        <f>IF($P56=CT56,$M$6,0)</f>
        <v>0</v>
      </c>
      <c r="CV56" s="197" t="s">
        <v>106</v>
      </c>
      <c r="CW56" s="200">
        <f>IF($P56=CV56,$M$6,0)</f>
        <v>0</v>
      </c>
      <c r="CX56" s="197" t="s">
        <v>106</v>
      </c>
      <c r="CY56" s="200">
        <f>IF($P56=CX56,$M$6,0)</f>
        <v>0</v>
      </c>
      <c r="CZ56" s="197" t="s">
        <v>106</v>
      </c>
      <c r="DA56" s="200">
        <f>IF($P56=CZ56,$M$6,0)</f>
        <v>0</v>
      </c>
    </row>
    <row r="57" spans="1:105" x14ac:dyDescent="0.25">
      <c r="A57" s="188" t="s">
        <v>400</v>
      </c>
      <c r="B57" s="189">
        <f t="shared" si="722"/>
        <v>2</v>
      </c>
      <c r="C57" s="189">
        <f t="shared" si="723"/>
        <v>2.0569999999999999</v>
      </c>
      <c r="D57" s="189">
        <f>RANK(Tabla6[[#This Row],[PUNTOS1]],Tabla6[PUNTOS1],0)</f>
        <v>19</v>
      </c>
      <c r="E57" s="189">
        <f>RANK(Tabla6[[#This Row],[PUNTOS2]],Tabla6[PUNTOS2],0)</f>
        <v>23</v>
      </c>
      <c r="F57" s="188" t="str">
        <f t="shared" si="724"/>
        <v>IKER MACAYA</v>
      </c>
      <c r="G57" s="188">
        <f t="shared" si="725"/>
        <v>2</v>
      </c>
      <c r="H57" s="94"/>
      <c r="I57" s="94"/>
      <c r="J57" s="189">
        <f>ROW()-18</f>
        <v>39</v>
      </c>
      <c r="K57" s="200" t="str">
        <f>IF(Tabla5[[#This Row],[Puntos]]=M56,".",Tabla5[[#This Row],[PosReal]])</f>
        <v>.</v>
      </c>
      <c r="L57" s="193" t="str">
        <f>VLOOKUP(J57,Tabla6[[ORDEN2]:[PUNTOS]],2,FALSE)</f>
        <v>EVA LÓPEZ</v>
      </c>
      <c r="M57" s="194">
        <f>VLOOKUP(J57,Tabla6[[ORDEN2]:[PUNTOS]],3,FALSE)</f>
        <v>2</v>
      </c>
      <c r="O57" s="10" t="s">
        <v>224</v>
      </c>
      <c r="P57" s="10"/>
      <c r="Q57" s="5"/>
      <c r="R57" s="97" t="s">
        <v>114</v>
      </c>
      <c r="S57" s="97">
        <f>IF($P57=R57,$M$7,0)</f>
        <v>0</v>
      </c>
      <c r="T57" s="97" t="s">
        <v>142</v>
      </c>
      <c r="U57" s="200">
        <f>IF($P57=T57,$M$7,0)</f>
        <v>0</v>
      </c>
      <c r="V57" s="97" t="s">
        <v>121</v>
      </c>
      <c r="W57" s="200">
        <f>IF($P57=V57,$M$7,0)</f>
        <v>0</v>
      </c>
      <c r="X57" s="97" t="s">
        <v>114</v>
      </c>
      <c r="Y57" s="200">
        <f>IF($P57=X57,$M$7,0)</f>
        <v>0</v>
      </c>
      <c r="Z57" s="97" t="s">
        <v>114</v>
      </c>
      <c r="AA57" s="200">
        <f>IF($P57=Z57,$M$7,0)</f>
        <v>0</v>
      </c>
      <c r="AB57" s="97" t="s">
        <v>114</v>
      </c>
      <c r="AC57" s="200">
        <f>IF($P57=AB57,$M$7,0)</f>
        <v>0</v>
      </c>
      <c r="AD57" t="s">
        <v>114</v>
      </c>
      <c r="AE57" s="200">
        <f>IF($P57=AD57,$M$7,0)</f>
        <v>0</v>
      </c>
      <c r="AF57" t="s">
        <v>142</v>
      </c>
      <c r="AG57" s="200">
        <f>IF($P57=AF57,$M$7,0)</f>
        <v>0</v>
      </c>
      <c r="AH57" t="s">
        <v>114</v>
      </c>
      <c r="AI57" s="200">
        <f>IF($P57=AH57,$M$7,0)</f>
        <v>0</v>
      </c>
      <c r="AJ57" t="s">
        <v>114</v>
      </c>
      <c r="AK57" s="200">
        <f>IF($P57=AJ57,$M$7,0)</f>
        <v>0</v>
      </c>
      <c r="AL57" t="s">
        <v>114</v>
      </c>
      <c r="AM57" s="200">
        <f>IF($P57=AL57,$M$7,0)</f>
        <v>0</v>
      </c>
      <c r="AN57" t="s">
        <v>106</v>
      </c>
      <c r="AO57" s="200">
        <f>IF($P57=AN57,$M$7,0)</f>
        <v>0</v>
      </c>
      <c r="AP57" t="s">
        <v>114</v>
      </c>
      <c r="AQ57" s="200">
        <f>IF($P57=AP57,$M$7,0)</f>
        <v>0</v>
      </c>
      <c r="AR57" t="s">
        <v>121</v>
      </c>
      <c r="AS57" s="200">
        <f>IF($P57=AR57,$M$7,0)</f>
        <v>0</v>
      </c>
      <c r="AT57" t="s">
        <v>106</v>
      </c>
      <c r="AU57" s="200">
        <f>IF($P57=AT57,$M$7,0)</f>
        <v>0</v>
      </c>
      <c r="AV57" t="s">
        <v>106</v>
      </c>
      <c r="AW57" s="200">
        <f>IF($P57=AV57,$M$7,0)</f>
        <v>0</v>
      </c>
      <c r="AX57" t="s">
        <v>114</v>
      </c>
      <c r="AY57" s="200">
        <f>IF($P57=AX57,$M$7,0)</f>
        <v>0</v>
      </c>
      <c r="AZ57" t="s">
        <v>106</v>
      </c>
      <c r="BA57" s="200">
        <f>IF($P57=AZ57,$M$7,0)</f>
        <v>0</v>
      </c>
      <c r="BB57" t="s">
        <v>106</v>
      </c>
      <c r="BC57" s="200">
        <f>IF($P57=BB57,$M$7,0)</f>
        <v>0</v>
      </c>
      <c r="BD57" t="s">
        <v>121</v>
      </c>
      <c r="BE57" s="200">
        <f>IF($P57=BD57,$M$7,0)</f>
        <v>0</v>
      </c>
      <c r="BF57" t="s">
        <v>114</v>
      </c>
      <c r="BG57" s="200">
        <f>IF($P57=BF57,$M$7,0)</f>
        <v>0</v>
      </c>
      <c r="BH57" t="s">
        <v>106</v>
      </c>
      <c r="BI57" s="200">
        <f>IF($P57=BH57,$M$7,0)</f>
        <v>0</v>
      </c>
      <c r="BJ57" t="s">
        <v>114</v>
      </c>
      <c r="BK57" s="200">
        <f>IF($P57=BJ57,$M$7,0)</f>
        <v>0</v>
      </c>
      <c r="BL57" t="s">
        <v>114</v>
      </c>
      <c r="BM57" s="200">
        <f>IF($P57=BL57,$M$7,0)</f>
        <v>0</v>
      </c>
      <c r="BN57" t="s">
        <v>114</v>
      </c>
      <c r="BO57" s="200">
        <f>IF($P57=BN57,$M$7,0)</f>
        <v>0</v>
      </c>
      <c r="BP57" t="s">
        <v>114</v>
      </c>
      <c r="BQ57" s="200">
        <f>IF($P57=BP57,$M$7,0)</f>
        <v>0</v>
      </c>
      <c r="BR57" t="s">
        <v>142</v>
      </c>
      <c r="BS57" s="200">
        <f>IF($P57=BR57,$M$7,0)</f>
        <v>0</v>
      </c>
      <c r="BT57" t="s">
        <v>114</v>
      </c>
      <c r="BU57" s="200">
        <f>IF($P57=BT57,$M$7,0)</f>
        <v>0</v>
      </c>
      <c r="BV57" t="s">
        <v>114</v>
      </c>
      <c r="BW57" s="200">
        <f>IF($P57=BV57,$M$7,0)</f>
        <v>0</v>
      </c>
      <c r="BX57" t="s">
        <v>114</v>
      </c>
      <c r="BY57" s="200">
        <f>IF($P57=BX57,$M$7,0)</f>
        <v>0</v>
      </c>
      <c r="BZ57" t="s">
        <v>121</v>
      </c>
      <c r="CA57" s="200">
        <f>IF($P57=BZ57,$M$7,0)</f>
        <v>0</v>
      </c>
      <c r="CB57" t="s">
        <v>114</v>
      </c>
      <c r="CC57" s="200">
        <f>IF($P57=CB57,$M$7,0)</f>
        <v>0</v>
      </c>
      <c r="CD57" t="s">
        <v>106</v>
      </c>
      <c r="CE57" s="200">
        <f>IF($P57=CD57,$M$7,0)</f>
        <v>0</v>
      </c>
      <c r="CF57" s="197" t="s">
        <v>114</v>
      </c>
      <c r="CG57" s="200">
        <f>IF($P57=CF57,$M$7,0)</f>
        <v>0</v>
      </c>
      <c r="CH57" t="s">
        <v>106</v>
      </c>
      <c r="CI57" s="200">
        <f>IF($P57=CH57,$M$7,0)</f>
        <v>0</v>
      </c>
      <c r="CJ57" t="s">
        <v>114</v>
      </c>
      <c r="CK57" s="200">
        <f>IF($P57=CJ57,$M$7,0)</f>
        <v>0</v>
      </c>
      <c r="CL57" s="197" t="s">
        <v>114</v>
      </c>
      <c r="CM57" s="200">
        <f>IF($P57=CL57,$M$7,0)</f>
        <v>0</v>
      </c>
      <c r="CN57" t="s">
        <v>114</v>
      </c>
      <c r="CO57" s="200">
        <f>IF($P57=CN57,$M$7,0)</f>
        <v>0</v>
      </c>
      <c r="CP57" t="s">
        <v>114</v>
      </c>
      <c r="CQ57" s="200">
        <f>IF($P57=CP57,$M$7,0)</f>
        <v>0</v>
      </c>
      <c r="CR57" t="s">
        <v>106</v>
      </c>
      <c r="CS57" s="200">
        <f>IF($P57=CR57,$M$7,0)</f>
        <v>0</v>
      </c>
      <c r="CT57" s="197" t="s">
        <v>106</v>
      </c>
      <c r="CU57" s="200">
        <f>IF($P57=CT57,$M$7,0)</f>
        <v>0</v>
      </c>
      <c r="CV57" s="197" t="s">
        <v>121</v>
      </c>
      <c r="CW57" s="200">
        <f>IF($P57=CV57,$M$7,0)</f>
        <v>0</v>
      </c>
      <c r="CX57" s="197" t="s">
        <v>114</v>
      </c>
      <c r="CY57" s="200">
        <f>IF($P57=CX57,$M$7,0)</f>
        <v>0</v>
      </c>
      <c r="CZ57" s="197" t="s">
        <v>121</v>
      </c>
      <c r="DA57" s="200">
        <f>IF($P57=CZ57,$M$7,0)</f>
        <v>0</v>
      </c>
    </row>
    <row r="58" spans="1:105" x14ac:dyDescent="0.25">
      <c r="A58" s="188" t="s">
        <v>402</v>
      </c>
      <c r="B58" s="189">
        <f t="shared" si="722"/>
        <v>2</v>
      </c>
      <c r="C58" s="189">
        <f t="shared" si="723"/>
        <v>2.0579999999999998</v>
      </c>
      <c r="D58" s="189">
        <f>RANK(Tabla6[[#This Row],[PUNTOS1]],Tabla6[PUNTOS1],0)</f>
        <v>19</v>
      </c>
      <c r="E58" s="189">
        <f>RANK(Tabla6[[#This Row],[PUNTOS2]],Tabla6[PUNTOS2],0)</f>
        <v>22</v>
      </c>
      <c r="F58" s="188" t="str">
        <f t="shared" si="724"/>
        <v>ASIER ALEJO</v>
      </c>
      <c r="G58" s="188">
        <f t="shared" si="725"/>
        <v>2</v>
      </c>
      <c r="H58" s="94"/>
      <c r="I58" s="94"/>
      <c r="J58" s="189">
        <f t="shared" si="467"/>
        <v>40</v>
      </c>
      <c r="K58" s="200" t="str">
        <f>IF(Tabla5[[#This Row],[Puntos]]=M57,".",Tabla5[[#This Row],[PosReal]])</f>
        <v>.</v>
      </c>
      <c r="L58" s="193" t="str">
        <f>VLOOKUP(J58,Tabla6[[ORDEN2]:[PUNTOS]],2,FALSE)</f>
        <v>ALEX IZQUIERDO</v>
      </c>
      <c r="M58" s="194">
        <f>VLOOKUP(J58,Tabla6[[ORDEN2]:[PUNTOS]],3,FALSE)</f>
        <v>2</v>
      </c>
      <c r="O58" s="10" t="s">
        <v>225</v>
      </c>
      <c r="P58" s="10"/>
      <c r="Q58" s="5"/>
      <c r="R58" s="97" t="s">
        <v>142</v>
      </c>
      <c r="S58" s="97">
        <f>IF($P58=R58,$M$8,0)</f>
        <v>0</v>
      </c>
      <c r="T58" s="97" t="s">
        <v>114</v>
      </c>
      <c r="U58" s="200">
        <f>IF($P58=T58,$M$8,0)</f>
        <v>0</v>
      </c>
      <c r="V58" s="97" t="s">
        <v>114</v>
      </c>
      <c r="W58" s="200">
        <f>IF($P58=V58,$M$8,0)</f>
        <v>0</v>
      </c>
      <c r="X58" s="97" t="s">
        <v>142</v>
      </c>
      <c r="Y58" s="200">
        <f>IF($P58=X58,$M$8,0)</f>
        <v>0</v>
      </c>
      <c r="Z58" s="97" t="s">
        <v>142</v>
      </c>
      <c r="AA58" s="200">
        <f>IF($P58=Z58,$M$8,0)</f>
        <v>0</v>
      </c>
      <c r="AB58" s="97" t="s">
        <v>142</v>
      </c>
      <c r="AC58" s="200">
        <f>IF($P58=AB58,$M$8,0)</f>
        <v>0</v>
      </c>
      <c r="AD58" t="s">
        <v>142</v>
      </c>
      <c r="AE58" s="200">
        <f>IF($P58=AD58,$M$8,0)</f>
        <v>0</v>
      </c>
      <c r="AF58" t="s">
        <v>114</v>
      </c>
      <c r="AG58" s="200">
        <f>IF($P58=AF58,$M$8,0)</f>
        <v>0</v>
      </c>
      <c r="AH58" t="s">
        <v>142</v>
      </c>
      <c r="AI58" s="200">
        <f>IF($P58=AH58,$M$8,0)</f>
        <v>0</v>
      </c>
      <c r="AJ58" t="s">
        <v>121</v>
      </c>
      <c r="AK58" s="200">
        <f>IF($P58=AJ58,$M$8,0)</f>
        <v>0</v>
      </c>
      <c r="AL58" t="s">
        <v>142</v>
      </c>
      <c r="AM58" s="200">
        <f>IF($P58=AL58,$M$8,0)</f>
        <v>0</v>
      </c>
      <c r="AN58" t="s">
        <v>121</v>
      </c>
      <c r="AO58" s="200">
        <f>IF($P58=AN58,$M$8,0)</f>
        <v>0</v>
      </c>
      <c r="AP58" t="s">
        <v>121</v>
      </c>
      <c r="AQ58" s="200">
        <f>IF($P58=AP58,$M$8,0)</f>
        <v>0</v>
      </c>
      <c r="AR58" t="s">
        <v>114</v>
      </c>
      <c r="AS58" s="200">
        <f>IF($P58=AR58,$M$8,0)</f>
        <v>0</v>
      </c>
      <c r="AT58" t="s">
        <v>114</v>
      </c>
      <c r="AU58" s="200">
        <f>IF($P58=AT58,$M$8,0)</f>
        <v>0</v>
      </c>
      <c r="AV58" t="s">
        <v>142</v>
      </c>
      <c r="AW58" s="200">
        <f>IF($P58=AV58,$M$8,0)</f>
        <v>0</v>
      </c>
      <c r="AX58" t="s">
        <v>142</v>
      </c>
      <c r="AY58" s="200">
        <f>IF($P58=AX58,$M$8,0)</f>
        <v>0</v>
      </c>
      <c r="AZ58" t="s">
        <v>142</v>
      </c>
      <c r="BA58" s="200">
        <f>IF($P58=AZ58,$M$8,0)</f>
        <v>0</v>
      </c>
      <c r="BB58" t="s">
        <v>121</v>
      </c>
      <c r="BC58" s="200">
        <f>IF($P58=BB58,$M$8,0)</f>
        <v>0</v>
      </c>
      <c r="BD58" t="s">
        <v>114</v>
      </c>
      <c r="BE58" s="200">
        <f>IF($P58=BD58,$M$8,0)</f>
        <v>0</v>
      </c>
      <c r="BF58" t="s">
        <v>121</v>
      </c>
      <c r="BG58" s="200">
        <f>IF($P58=BF58,$M$8,0)</f>
        <v>0</v>
      </c>
      <c r="BH58" t="s">
        <v>142</v>
      </c>
      <c r="BI58" s="200">
        <f>IF($P58=BH58,$M$8,0)</f>
        <v>0</v>
      </c>
      <c r="BJ58" t="s">
        <v>121</v>
      </c>
      <c r="BK58" s="200">
        <f>IF($P58=BJ58,$M$8,0)</f>
        <v>0</v>
      </c>
      <c r="BL58" t="s">
        <v>142</v>
      </c>
      <c r="BM58" s="200">
        <f>IF($P58=BL58,$M$8,0)</f>
        <v>0</v>
      </c>
      <c r="BN58" t="s">
        <v>121</v>
      </c>
      <c r="BO58" s="200">
        <f>IF($P58=BN58,$M$8,0)</f>
        <v>0</v>
      </c>
      <c r="BP58" t="s">
        <v>142</v>
      </c>
      <c r="BQ58" s="200">
        <f>IF($P58=BP58,$M$8,0)</f>
        <v>0</v>
      </c>
      <c r="BR58" t="s">
        <v>114</v>
      </c>
      <c r="BS58" s="200">
        <f>IF($P58=BR58,$M$8,0)</f>
        <v>0</v>
      </c>
      <c r="BT58" t="s">
        <v>121</v>
      </c>
      <c r="BU58" s="200">
        <f>IF($P58=BT58,$M$8,0)</f>
        <v>0</v>
      </c>
      <c r="BV58" t="s">
        <v>121</v>
      </c>
      <c r="BW58" s="200">
        <f>IF($P58=BV58,$M$8,0)</f>
        <v>0</v>
      </c>
      <c r="BX58" t="s">
        <v>142</v>
      </c>
      <c r="BY58" s="200">
        <f>IF($P58=BX58,$M$8,0)</f>
        <v>0</v>
      </c>
      <c r="BZ58" t="s">
        <v>114</v>
      </c>
      <c r="CA58" s="200">
        <f>IF($P58=BZ58,$M$8,0)</f>
        <v>0</v>
      </c>
      <c r="CB58" t="s">
        <v>142</v>
      </c>
      <c r="CC58" s="200">
        <f>IF($P58=CB58,$M$8,0)</f>
        <v>0</v>
      </c>
      <c r="CD58" t="s">
        <v>121</v>
      </c>
      <c r="CE58" s="200">
        <f>IF($P58=CD58,$M$8,0)</f>
        <v>0</v>
      </c>
      <c r="CF58" s="197" t="s">
        <v>121</v>
      </c>
      <c r="CG58" s="200">
        <f>IF($P58=CF58,$M$8,0)</f>
        <v>0</v>
      </c>
      <c r="CH58" t="s">
        <v>121</v>
      </c>
      <c r="CI58" s="200">
        <f>IF($P58=CH58,$M$8,0)</f>
        <v>0</v>
      </c>
      <c r="CJ58" t="s">
        <v>121</v>
      </c>
      <c r="CK58" s="200">
        <f>IF($P58=CJ58,$M$8,0)</f>
        <v>0</v>
      </c>
      <c r="CL58" s="197" t="s">
        <v>142</v>
      </c>
      <c r="CM58" s="200">
        <f>IF($P58=CL58,$M$8,0)</f>
        <v>0</v>
      </c>
      <c r="CN58" t="s">
        <v>121</v>
      </c>
      <c r="CO58" s="200">
        <f>IF($P58=CN58,$M$8,0)</f>
        <v>0</v>
      </c>
      <c r="CP58" t="s">
        <v>121</v>
      </c>
      <c r="CQ58" s="200">
        <f>IF($P58=CP58,$M$8,0)</f>
        <v>0</v>
      </c>
      <c r="CR58" t="s">
        <v>121</v>
      </c>
      <c r="CS58" s="200">
        <f>IF($P58=CR58,$M$8,0)</f>
        <v>0</v>
      </c>
      <c r="CT58" s="197" t="s">
        <v>142</v>
      </c>
      <c r="CU58" s="200">
        <f>IF($P58=CT58,$M$8,0)</f>
        <v>0</v>
      </c>
      <c r="CV58" s="197" t="s">
        <v>114</v>
      </c>
      <c r="CW58" s="200">
        <f>IF($P58=CV58,$M$8,0)</f>
        <v>0</v>
      </c>
      <c r="CX58" s="197" t="s">
        <v>142</v>
      </c>
      <c r="CY58" s="200">
        <f>IF($P58=CX58,$M$8,0)</f>
        <v>0</v>
      </c>
      <c r="CZ58" s="197" t="s">
        <v>142</v>
      </c>
      <c r="DA58" s="200">
        <f>IF($P58=CZ58,$M$8,0)</f>
        <v>0</v>
      </c>
    </row>
    <row r="59" spans="1:105" x14ac:dyDescent="0.25">
      <c r="A59" s="188" t="s">
        <v>404</v>
      </c>
      <c r="B59" s="189">
        <f t="shared" si="722"/>
        <v>2</v>
      </c>
      <c r="C59" s="189">
        <f t="shared" si="723"/>
        <v>2.0590000000000002</v>
      </c>
      <c r="D59" s="189">
        <f>RANK(Tabla6[[#This Row],[PUNTOS1]],Tabla6[PUNTOS1],0)</f>
        <v>19</v>
      </c>
      <c r="E59" s="189">
        <f>RANK(Tabla6[[#This Row],[PUNTOS2]],Tabla6[PUNTOS2],0)</f>
        <v>21</v>
      </c>
      <c r="F59" s="188" t="str">
        <f t="shared" si="724"/>
        <v>FERNANDO LACUNZA</v>
      </c>
      <c r="G59" s="188">
        <f t="shared" si="725"/>
        <v>2</v>
      </c>
      <c r="H59" s="94"/>
      <c r="I59" s="94"/>
      <c r="J59" s="189">
        <f>ROW()-18</f>
        <v>41</v>
      </c>
      <c r="K59" s="194" t="str">
        <f>IF(Tabla5[[#This Row],[Puntos]]=M58,".",Tabla5[[#This Row],[PosReal]])</f>
        <v>.</v>
      </c>
      <c r="L59" s="193" t="str">
        <f>VLOOKUP(J59,Tabla6[[ORDEN2]:[PUNTOS]],2,FALSE)</f>
        <v>ÁLVARO BULDAIN</v>
      </c>
      <c r="M59" s="194">
        <f>VLOOKUP(J59,Tabla6[[ORDEN2]:[PUNTOS]],3,FALSE)</f>
        <v>2</v>
      </c>
      <c r="O59" s="10" t="s">
        <v>226</v>
      </c>
      <c r="P59" s="10"/>
      <c r="Q59" s="5"/>
      <c r="R59" s="97" t="s">
        <v>121</v>
      </c>
      <c r="S59" s="97">
        <f>IF($P59=R59,$M$9,0)</f>
        <v>0</v>
      </c>
      <c r="T59" s="97" t="s">
        <v>121</v>
      </c>
      <c r="U59" s="200">
        <f>IF($P59=T59,$M$9,0)</f>
        <v>0</v>
      </c>
      <c r="V59" s="97" t="s">
        <v>142</v>
      </c>
      <c r="W59" s="200">
        <f>IF($P59=V59,$M$9,0)</f>
        <v>0</v>
      </c>
      <c r="X59" s="97" t="s">
        <v>121</v>
      </c>
      <c r="Y59" s="200">
        <f>IF($P59=X59,$M$9,0)</f>
        <v>0</v>
      </c>
      <c r="Z59" s="97" t="s">
        <v>121</v>
      </c>
      <c r="AA59" s="200">
        <f>IF($P59=Z59,$M$9,0)</f>
        <v>0</v>
      </c>
      <c r="AB59" s="97" t="s">
        <v>121</v>
      </c>
      <c r="AC59" s="200">
        <f>IF($P59=AB59,$M$9,0)</f>
        <v>0</v>
      </c>
      <c r="AD59" t="s">
        <v>121</v>
      </c>
      <c r="AE59" s="200">
        <f>IF($P59=AD59,$M$9,0)</f>
        <v>0</v>
      </c>
      <c r="AF59" t="s">
        <v>121</v>
      </c>
      <c r="AG59" s="200">
        <f>IF($P59=AF59,$M$9,0)</f>
        <v>0</v>
      </c>
      <c r="AH59" t="s">
        <v>121</v>
      </c>
      <c r="AI59" s="200">
        <f>IF($P59=AH59,$M$9,0)</f>
        <v>0</v>
      </c>
      <c r="AJ59" t="s">
        <v>142</v>
      </c>
      <c r="AK59" s="200">
        <f>IF($P59=AJ59,$M$9,0)</f>
        <v>0</v>
      </c>
      <c r="AL59" t="s">
        <v>121</v>
      </c>
      <c r="AM59" s="200">
        <f>IF($P59=AL59,$M$9,0)</f>
        <v>0</v>
      </c>
      <c r="AN59" t="s">
        <v>142</v>
      </c>
      <c r="AO59" s="200">
        <f>IF($P59=AN59,$M$9,0)</f>
        <v>0</v>
      </c>
      <c r="AP59" t="s">
        <v>142</v>
      </c>
      <c r="AQ59" s="200">
        <f>IF($P59=AP59,$M$9,0)</f>
        <v>0</v>
      </c>
      <c r="AR59" t="s">
        <v>142</v>
      </c>
      <c r="AS59" s="200">
        <f>IF($P59=AR59,$M$9,0)</f>
        <v>0</v>
      </c>
      <c r="AT59" t="s">
        <v>121</v>
      </c>
      <c r="AU59" s="200">
        <f>IF($P59=AT59,$M$9,0)</f>
        <v>0</v>
      </c>
      <c r="AV59" t="s">
        <v>121</v>
      </c>
      <c r="AW59" s="200">
        <f>IF($P59=AV59,$M$9,0)</f>
        <v>0</v>
      </c>
      <c r="AX59" t="s">
        <v>121</v>
      </c>
      <c r="AY59" s="200">
        <f>IF($P59=AX59,$M$9,0)</f>
        <v>0</v>
      </c>
      <c r="AZ59" t="s">
        <v>121</v>
      </c>
      <c r="BA59" s="200">
        <f>IF($P59=AZ59,$M$9,0)</f>
        <v>0</v>
      </c>
      <c r="BB59" t="s">
        <v>142</v>
      </c>
      <c r="BC59" s="200">
        <f>IF($P59=BB59,$M$9,0)</f>
        <v>0</v>
      </c>
      <c r="BD59" t="s">
        <v>142</v>
      </c>
      <c r="BE59" s="200">
        <f>IF($P59=BD59,$M$9,0)</f>
        <v>0</v>
      </c>
      <c r="BF59" t="s">
        <v>142</v>
      </c>
      <c r="BG59" s="200">
        <f>IF($P59=BF59,$M$9,0)</f>
        <v>0</v>
      </c>
      <c r="BH59" t="s">
        <v>121</v>
      </c>
      <c r="BI59" s="200">
        <f>IF($P59=BH59,$M$9,0)</f>
        <v>0</v>
      </c>
      <c r="BJ59" t="s">
        <v>142</v>
      </c>
      <c r="BK59" s="200">
        <f>IF($P59=BJ59,$M$9,0)</f>
        <v>0</v>
      </c>
      <c r="BL59" t="s">
        <v>121</v>
      </c>
      <c r="BM59" s="200">
        <f>IF($P59=BL59,$M$9,0)</f>
        <v>0</v>
      </c>
      <c r="BN59" t="s">
        <v>142</v>
      </c>
      <c r="BO59" s="200">
        <f>IF($P59=BN59,$M$9,0)</f>
        <v>0</v>
      </c>
      <c r="BP59" t="s">
        <v>121</v>
      </c>
      <c r="BQ59" s="200">
        <f>IF($P59=BP59,$M$9,0)</f>
        <v>0</v>
      </c>
      <c r="BR59" t="s">
        <v>121</v>
      </c>
      <c r="BS59" s="200">
        <f>IF($P59=BR59,$M$9,0)</f>
        <v>0</v>
      </c>
      <c r="BT59" t="s">
        <v>142</v>
      </c>
      <c r="BU59" s="200">
        <f>IF($P59=BT59,$M$9,0)</f>
        <v>0</v>
      </c>
      <c r="BV59" t="s">
        <v>142</v>
      </c>
      <c r="BW59" s="200">
        <f>IF($P59=BV59,$M$9,0)</f>
        <v>0</v>
      </c>
      <c r="BX59" t="s">
        <v>121</v>
      </c>
      <c r="BY59" s="200">
        <f>IF($P59=BX59,$M$9,0)</f>
        <v>0</v>
      </c>
      <c r="BZ59" t="s">
        <v>142</v>
      </c>
      <c r="CA59" s="200">
        <f>IF($P59=BZ59,$M$9,0)</f>
        <v>0</v>
      </c>
      <c r="CB59" t="s">
        <v>121</v>
      </c>
      <c r="CC59" s="200">
        <f>IF($P59=CB59,$M$9,0)</f>
        <v>0</v>
      </c>
      <c r="CD59" t="s">
        <v>142</v>
      </c>
      <c r="CE59" s="200">
        <f>IF($P59=CD59,$M$9,0)</f>
        <v>0</v>
      </c>
      <c r="CF59" s="197" t="s">
        <v>142</v>
      </c>
      <c r="CG59" s="200">
        <f>IF($P59=CF59,$M$9,0)</f>
        <v>0</v>
      </c>
      <c r="CH59" t="s">
        <v>142</v>
      </c>
      <c r="CI59" s="200">
        <f>IF($P59=CH59,$M$9,0)</f>
        <v>0</v>
      </c>
      <c r="CJ59" t="s">
        <v>142</v>
      </c>
      <c r="CK59" s="200">
        <f>IF($P59=CJ59,$M$9,0)</f>
        <v>0</v>
      </c>
      <c r="CL59" s="197" t="s">
        <v>121</v>
      </c>
      <c r="CM59" s="200">
        <f>IF($P59=CL59,$M$9,0)</f>
        <v>0</v>
      </c>
      <c r="CN59" t="s">
        <v>142</v>
      </c>
      <c r="CO59" s="200">
        <f>IF($P59=CN59,$M$9,0)</f>
        <v>0</v>
      </c>
      <c r="CP59" t="s">
        <v>142</v>
      </c>
      <c r="CQ59" s="200">
        <f>IF($P59=CP59,$M$9,0)</f>
        <v>0</v>
      </c>
      <c r="CR59" t="s">
        <v>114</v>
      </c>
      <c r="CS59" s="200">
        <f>IF($P59=CR59,$M$9,0)</f>
        <v>0</v>
      </c>
      <c r="CT59" s="197" t="s">
        <v>121</v>
      </c>
      <c r="CU59" s="200">
        <f>IF($P59=CT59,$M$9,0)</f>
        <v>0</v>
      </c>
      <c r="CV59" s="197" t="s">
        <v>142</v>
      </c>
      <c r="CW59" s="200">
        <f>IF($P59=CV59,$M$9,0)</f>
        <v>0</v>
      </c>
      <c r="CX59" s="197" t="s">
        <v>121</v>
      </c>
      <c r="CY59" s="200">
        <f>IF($P59=CX59,$M$9,0)</f>
        <v>0</v>
      </c>
      <c r="CZ59" s="197" t="s">
        <v>114</v>
      </c>
      <c r="DA59" s="200">
        <f>IF($P59=CZ59,$M$9,0)</f>
        <v>0</v>
      </c>
    </row>
    <row r="60" spans="1:105" x14ac:dyDescent="0.25">
      <c r="A60" s="188" t="s">
        <v>406</v>
      </c>
      <c r="B60" s="189">
        <f t="shared" si="722"/>
        <v>2</v>
      </c>
      <c r="C60" s="189">
        <f t="shared" si="723"/>
        <v>2.06</v>
      </c>
      <c r="D60" s="189">
        <f>RANK(Tabla6[[#This Row],[PUNTOS1]],Tabla6[PUNTOS1],0)</f>
        <v>19</v>
      </c>
      <c r="E60" s="189">
        <f>RANK(Tabla6[[#This Row],[PUNTOS2]],Tabla6[PUNTOS2],0)</f>
        <v>20</v>
      </c>
      <c r="F60" s="188" t="str">
        <f t="shared" si="724"/>
        <v>IOSU UREÑA</v>
      </c>
      <c r="G60" s="188">
        <f t="shared" si="725"/>
        <v>2</v>
      </c>
      <c r="H60" s="94"/>
      <c r="I60" s="94"/>
      <c r="J60" s="189">
        <f t="shared" si="467"/>
        <v>42</v>
      </c>
      <c r="K60" s="200" t="str">
        <f>IF(Tabla5[[#This Row],[Puntos]]=M59,".",Tabla5[[#This Row],[PosReal]])</f>
        <v>.</v>
      </c>
      <c r="L60" s="193" t="str">
        <f>VLOOKUP(J60,Tabla6[[ORDEN2]:[PUNTOS]],2,FALSE)</f>
        <v>ESPE AMEZKETA</v>
      </c>
      <c r="M60" s="194">
        <f>VLOOKUP(J60,Tabla6[[ORDEN2]:[PUNTOS]],3,FALSE)</f>
        <v>2</v>
      </c>
      <c r="O60" s="10" t="s">
        <v>227</v>
      </c>
      <c r="P60" s="10"/>
      <c r="Q60" s="5"/>
      <c r="R60" s="97" t="s">
        <v>110</v>
      </c>
      <c r="S60" s="97">
        <f>IF($P60=R60,$M$6,0)</f>
        <v>0</v>
      </c>
      <c r="T60" s="97" t="s">
        <v>110</v>
      </c>
      <c r="U60" s="200">
        <f>IF($P60=T60,$M$6,0)</f>
        <v>0</v>
      </c>
      <c r="V60" s="97" t="s">
        <v>110</v>
      </c>
      <c r="W60" s="200">
        <f>IF($P60=V60,$M$6,0)</f>
        <v>0</v>
      </c>
      <c r="X60" s="97" t="s">
        <v>110</v>
      </c>
      <c r="Y60" s="200">
        <f>IF($P60=X60,$M$6,0)</f>
        <v>0</v>
      </c>
      <c r="Z60" s="97" t="s">
        <v>110</v>
      </c>
      <c r="AA60" s="200">
        <f>IF($P60=Z60,$M$6,0)</f>
        <v>0</v>
      </c>
      <c r="AB60" s="97" t="s">
        <v>105</v>
      </c>
      <c r="AC60" s="200">
        <f>IF($P60=AB60,$M$6,0)</f>
        <v>0</v>
      </c>
      <c r="AD60" t="s">
        <v>105</v>
      </c>
      <c r="AE60" s="200">
        <f>IF($P60=AD60,$M$6,0)</f>
        <v>0</v>
      </c>
      <c r="AF60" t="s">
        <v>105</v>
      </c>
      <c r="AG60" s="200">
        <f>IF($P60=AF60,$M$6,0)</f>
        <v>0</v>
      </c>
      <c r="AH60" t="s">
        <v>105</v>
      </c>
      <c r="AI60" s="200">
        <f>IF($P60=AH60,$M$6,0)</f>
        <v>0</v>
      </c>
      <c r="AJ60" t="s">
        <v>105</v>
      </c>
      <c r="AK60" s="200">
        <f>IF($P60=AJ60,$M$6,0)</f>
        <v>0</v>
      </c>
      <c r="AL60" t="s">
        <v>110</v>
      </c>
      <c r="AM60" s="200">
        <f>IF($P60=AL60,$M$6,0)</f>
        <v>0</v>
      </c>
      <c r="AN60" t="s">
        <v>105</v>
      </c>
      <c r="AO60" s="200">
        <f>IF($P60=AN60,$M$6,0)</f>
        <v>0</v>
      </c>
      <c r="AP60" t="s">
        <v>110</v>
      </c>
      <c r="AQ60" s="200">
        <f>IF($P60=AP60,$M$6,0)</f>
        <v>0</v>
      </c>
      <c r="AR60" t="s">
        <v>105</v>
      </c>
      <c r="AS60" s="200">
        <f>IF($P60=AR60,$M$6,0)</f>
        <v>0</v>
      </c>
      <c r="AT60" t="s">
        <v>110</v>
      </c>
      <c r="AU60" s="200">
        <f>IF($P60=AT60,$M$6,0)</f>
        <v>0</v>
      </c>
      <c r="AV60" t="s">
        <v>110</v>
      </c>
      <c r="AW60" s="200">
        <f>IF($P60=AV60,$M$6,0)</f>
        <v>0</v>
      </c>
      <c r="AX60" t="s">
        <v>105</v>
      </c>
      <c r="AY60" s="200">
        <f>IF($P60=AX60,$M$6,0)</f>
        <v>0</v>
      </c>
      <c r="AZ60" t="s">
        <v>105</v>
      </c>
      <c r="BA60" s="200">
        <f>IF($P60=AZ60,$M$6,0)</f>
        <v>0</v>
      </c>
      <c r="BB60" t="s">
        <v>105</v>
      </c>
      <c r="BC60" s="200">
        <f>IF($P60=BB60,$M$6,0)</f>
        <v>0</v>
      </c>
      <c r="BD60" t="s">
        <v>105</v>
      </c>
      <c r="BE60" s="200">
        <f>IF($P60=BD60,$M$6,0)</f>
        <v>0</v>
      </c>
      <c r="BF60" t="s">
        <v>105</v>
      </c>
      <c r="BG60" s="200">
        <f>IF($P60=BF60,$M$6,0)</f>
        <v>0</v>
      </c>
      <c r="BH60" t="s">
        <v>110</v>
      </c>
      <c r="BI60" s="200">
        <f>IF($P60=BH60,$M$6,0)</f>
        <v>0</v>
      </c>
      <c r="BJ60" t="s">
        <v>105</v>
      </c>
      <c r="BK60" s="200">
        <f>IF($P60=BJ60,$M$6,0)</f>
        <v>0</v>
      </c>
      <c r="BL60" t="s">
        <v>110</v>
      </c>
      <c r="BM60" s="200">
        <f>IF($P60=BL60,$M$6,0)</f>
        <v>0</v>
      </c>
      <c r="BN60" t="s">
        <v>110</v>
      </c>
      <c r="BO60" s="200">
        <f>IF($P60=BN60,$M$6,0)</f>
        <v>0</v>
      </c>
      <c r="BP60" t="s">
        <v>110</v>
      </c>
      <c r="BQ60" s="200">
        <f>IF($P60=BP60,$M$6,0)</f>
        <v>0</v>
      </c>
      <c r="BR60" t="s">
        <v>105</v>
      </c>
      <c r="BS60" s="200">
        <f>IF($P60=BR60,$M$6,0)</f>
        <v>0</v>
      </c>
      <c r="BT60" t="s">
        <v>105</v>
      </c>
      <c r="BU60" s="200">
        <f>IF($P60=BT60,$M$6,0)</f>
        <v>0</v>
      </c>
      <c r="BV60" t="s">
        <v>105</v>
      </c>
      <c r="BW60" s="200">
        <f>IF($P60=BV60,$M$6,0)</f>
        <v>0</v>
      </c>
      <c r="BX60" t="s">
        <v>110</v>
      </c>
      <c r="BY60" s="200">
        <f>IF($P60=BX60,$M$6,0)</f>
        <v>0</v>
      </c>
      <c r="BZ60" t="s">
        <v>105</v>
      </c>
      <c r="CA60" s="200">
        <f>IF($P60=BZ60,$M$6,0)</f>
        <v>0</v>
      </c>
      <c r="CB60" t="s">
        <v>105</v>
      </c>
      <c r="CC60" s="200">
        <f>IF($P60=CB60,$M$6,0)</f>
        <v>0</v>
      </c>
      <c r="CD60" t="s">
        <v>116</v>
      </c>
      <c r="CE60" s="200">
        <f>IF($P60=CD60,$M$6,0)</f>
        <v>0</v>
      </c>
      <c r="CF60" s="197" t="s">
        <v>110</v>
      </c>
      <c r="CG60" s="200">
        <f>IF($P60=CF60,$M$6,0)</f>
        <v>0</v>
      </c>
      <c r="CH60" t="s">
        <v>105</v>
      </c>
      <c r="CI60" s="200">
        <f>IF($P60=CH60,$M$6,0)</f>
        <v>0</v>
      </c>
      <c r="CJ60" t="s">
        <v>105</v>
      </c>
      <c r="CK60" s="200">
        <f>IF($P60=CJ60,$M$6,0)</f>
        <v>0</v>
      </c>
      <c r="CL60" s="197" t="s">
        <v>105</v>
      </c>
      <c r="CM60" s="200">
        <f>IF($P60=CL60,$M$6,0)</f>
        <v>0</v>
      </c>
      <c r="CN60" t="s">
        <v>105</v>
      </c>
      <c r="CO60" s="200">
        <f>IF($P60=CN60,$M$6,0)</f>
        <v>0</v>
      </c>
      <c r="CP60" t="s">
        <v>105</v>
      </c>
      <c r="CQ60" s="200">
        <f>IF($P60=CP60,$M$6,0)</f>
        <v>0</v>
      </c>
      <c r="CR60" t="s">
        <v>110</v>
      </c>
      <c r="CS60" s="200">
        <f>IF($P60=CR60,$M$6,0)</f>
        <v>0</v>
      </c>
      <c r="CT60" s="197" t="s">
        <v>105</v>
      </c>
      <c r="CU60" s="200">
        <f>IF($P60=CT60,$M$6,0)</f>
        <v>0</v>
      </c>
      <c r="CV60" s="197" t="s">
        <v>105</v>
      </c>
      <c r="CW60" s="200">
        <f>IF($P60=CV60,$M$6,0)</f>
        <v>0</v>
      </c>
      <c r="CX60" s="197" t="s">
        <v>105</v>
      </c>
      <c r="CY60" s="200">
        <f>IF($P60=CX60,$M$6,0)</f>
        <v>0</v>
      </c>
      <c r="CZ60" s="197" t="s">
        <v>110</v>
      </c>
      <c r="DA60" s="200">
        <f>IF($P60=CZ60,$M$6,0)</f>
        <v>0</v>
      </c>
    </row>
    <row r="61" spans="1:105" x14ac:dyDescent="0.25">
      <c r="A61" s="202" t="s">
        <v>408</v>
      </c>
      <c r="B61" s="203">
        <f>HLOOKUP(A61,$R$3:$EY$4,2,FALSE)</f>
        <v>2</v>
      </c>
      <c r="C61" s="203">
        <f>SUM(G61,ROW()/1000)</f>
        <v>2.0609999999999999</v>
      </c>
      <c r="D61" s="203">
        <f>RANK(Tabla6[[#This Row],[PUNTOS1]],Tabla6[PUNTOS1],0)</f>
        <v>19</v>
      </c>
      <c r="E61" s="203">
        <f>RANK(Tabla6[[#This Row],[PUNTOS2]],Tabla6[PUNTOS2],0)</f>
        <v>19</v>
      </c>
      <c r="F61" s="202" t="str">
        <f>UPPER(A61)</f>
        <v>OLGA ESQUIROZ</v>
      </c>
      <c r="G61" s="202">
        <f>HLOOKUP(A61,$R$3:$EY$4,2,FALSE)</f>
        <v>2</v>
      </c>
      <c r="H61" s="94"/>
      <c r="I61" s="94"/>
      <c r="J61" s="189">
        <f t="shared" si="467"/>
        <v>43</v>
      </c>
      <c r="K61" s="200">
        <f>IF(Tabla5[[#This Row],[Puntos]]=M60,".",Tabla5[[#This Row],[PosReal]])</f>
        <v>43</v>
      </c>
      <c r="L61" s="193" t="str">
        <f>VLOOKUP(J61,Tabla6[[ORDEN2]:[PUNTOS]],2,FALSE)</f>
        <v>FERMÍN ROS</v>
      </c>
      <c r="M61" s="194">
        <f>VLOOKUP(J61,Tabla6[[ORDEN2]:[PUNTOS]],3,FALSE)</f>
        <v>0</v>
      </c>
      <c r="O61" s="10" t="s">
        <v>228</v>
      </c>
      <c r="P61" s="10"/>
      <c r="Q61" s="5"/>
      <c r="R61" s="97" t="s">
        <v>105</v>
      </c>
      <c r="S61" s="97">
        <f>IF($P61=R61,$M$7,0)</f>
        <v>0</v>
      </c>
      <c r="T61" s="97" t="s">
        <v>105</v>
      </c>
      <c r="U61" s="200">
        <f>IF($P61=T61,$M$7,0)</f>
        <v>0</v>
      </c>
      <c r="V61" s="97" t="s">
        <v>116</v>
      </c>
      <c r="W61" s="200">
        <f>IF($P61=V61,$M$7,0)</f>
        <v>0</v>
      </c>
      <c r="X61" s="97" t="s">
        <v>116</v>
      </c>
      <c r="Y61" s="200">
        <f>IF($P61=X61,$M$7,0)</f>
        <v>0</v>
      </c>
      <c r="Z61" s="97" t="s">
        <v>105</v>
      </c>
      <c r="AA61" s="200">
        <f>IF($P61=Z61,$M$7,0)</f>
        <v>0</v>
      </c>
      <c r="AB61" s="97" t="s">
        <v>110</v>
      </c>
      <c r="AC61" s="200">
        <f>IF($P61=AB61,$M$7,0)</f>
        <v>0</v>
      </c>
      <c r="AD61" t="s">
        <v>110</v>
      </c>
      <c r="AE61" s="200">
        <f>IF($P61=AD61,$M$7,0)</f>
        <v>0</v>
      </c>
      <c r="AF61" t="s">
        <v>110</v>
      </c>
      <c r="AG61" s="200">
        <f>IF($P61=AF61,$M$7,0)</f>
        <v>0</v>
      </c>
      <c r="AH61" t="s">
        <v>110</v>
      </c>
      <c r="AI61" s="200">
        <f>IF($P61=AH61,$M$7,0)</f>
        <v>0</v>
      </c>
      <c r="AJ61" t="s">
        <v>116</v>
      </c>
      <c r="AK61" s="200">
        <f>IF($P61=AJ61,$M$7,0)</f>
        <v>0</v>
      </c>
      <c r="AL61" t="s">
        <v>116</v>
      </c>
      <c r="AM61" s="200">
        <f>IF($P61=AL61,$M$7,0)</f>
        <v>0</v>
      </c>
      <c r="AN61" t="s">
        <v>110</v>
      </c>
      <c r="AO61" s="200">
        <f>IF($P61=AN61,$M$7,0)</f>
        <v>0</v>
      </c>
      <c r="AP61" t="s">
        <v>105</v>
      </c>
      <c r="AQ61" s="200">
        <f>IF($P61=AP61,$M$7,0)</f>
        <v>0</v>
      </c>
      <c r="AR61" t="s">
        <v>116</v>
      </c>
      <c r="AS61" s="200">
        <f>IF($P61=AR61,$M$7,0)</f>
        <v>0</v>
      </c>
      <c r="AT61" t="s">
        <v>122</v>
      </c>
      <c r="AU61" s="200">
        <f>IF($P61=AT61,$M$7,0)</f>
        <v>0</v>
      </c>
      <c r="AV61" t="s">
        <v>105</v>
      </c>
      <c r="AW61" s="200">
        <f>IF($P61=AV61,$M$7,0)</f>
        <v>0</v>
      </c>
      <c r="AX61" t="s">
        <v>110</v>
      </c>
      <c r="AY61" s="200">
        <f>IF($P61=AX61,$M$7,0)</f>
        <v>0</v>
      </c>
      <c r="AZ61" t="s">
        <v>116</v>
      </c>
      <c r="BA61" s="200">
        <f>IF($P61=AZ61,$M$7,0)</f>
        <v>0</v>
      </c>
      <c r="BB61" t="s">
        <v>110</v>
      </c>
      <c r="BC61" s="200">
        <f>IF($P61=BB61,$M$7,0)</f>
        <v>0</v>
      </c>
      <c r="BD61" t="s">
        <v>110</v>
      </c>
      <c r="BE61" s="200">
        <f>IF($P61=BD61,$M$7,0)</f>
        <v>0</v>
      </c>
      <c r="BF61" t="s">
        <v>110</v>
      </c>
      <c r="BG61" s="200">
        <f>IF($P61=BF61,$M$7,0)</f>
        <v>0</v>
      </c>
      <c r="BH61" t="s">
        <v>105</v>
      </c>
      <c r="BI61" s="200">
        <f>IF($P61=BH61,$M$7,0)</f>
        <v>0</v>
      </c>
      <c r="BJ61" t="s">
        <v>110</v>
      </c>
      <c r="BK61" s="200">
        <f>IF($P61=BJ61,$M$7,0)</f>
        <v>0</v>
      </c>
      <c r="BL61" t="s">
        <v>105</v>
      </c>
      <c r="BM61" s="200">
        <f>IF($P61=BL61,$M$7,0)</f>
        <v>0</v>
      </c>
      <c r="BN61" t="s">
        <v>105</v>
      </c>
      <c r="BO61" s="200">
        <f>IF($P61=BN61,$M$7,0)</f>
        <v>0</v>
      </c>
      <c r="BP61" t="s">
        <v>105</v>
      </c>
      <c r="BQ61" s="200">
        <f>IF($P61=BP61,$M$7,0)</f>
        <v>0</v>
      </c>
      <c r="BR61" t="s">
        <v>110</v>
      </c>
      <c r="BS61" s="200">
        <f>IF($P61=BR61,$M$7,0)</f>
        <v>0</v>
      </c>
      <c r="BT61" t="s">
        <v>116</v>
      </c>
      <c r="BU61" s="200">
        <f>IF($P61=BT61,$M$7,0)</f>
        <v>0</v>
      </c>
      <c r="BV61" t="s">
        <v>110</v>
      </c>
      <c r="BW61" s="200">
        <f>IF($P61=BV61,$M$7,0)</f>
        <v>0</v>
      </c>
      <c r="BX61" t="s">
        <v>105</v>
      </c>
      <c r="BY61" s="200">
        <f>IF($P61=BX61,$M$7,0)</f>
        <v>0</v>
      </c>
      <c r="BZ61" t="s">
        <v>110</v>
      </c>
      <c r="CA61" s="200">
        <f>IF($P61=BZ61,$M$7,0)</f>
        <v>0</v>
      </c>
      <c r="CB61" t="s">
        <v>110</v>
      </c>
      <c r="CC61" s="200">
        <f>IF($P61=CB61,$M$7,0)</f>
        <v>0</v>
      </c>
      <c r="CD61" t="s">
        <v>110</v>
      </c>
      <c r="CE61" s="200">
        <f>IF($P61=CD61,$M$7,0)</f>
        <v>0</v>
      </c>
      <c r="CF61" s="197" t="s">
        <v>105</v>
      </c>
      <c r="CG61" s="200">
        <f>IF($P61=CF61,$M$7,0)</f>
        <v>0</v>
      </c>
      <c r="CH61" t="s">
        <v>110</v>
      </c>
      <c r="CI61" s="200">
        <f>IF($P61=CH61,$M$7,0)</f>
        <v>0</v>
      </c>
      <c r="CJ61" t="s">
        <v>110</v>
      </c>
      <c r="CK61" s="200">
        <f>IF($P61=CJ61,$M$7,0)</f>
        <v>0</v>
      </c>
      <c r="CL61" s="197" t="s">
        <v>110</v>
      </c>
      <c r="CM61" s="200">
        <f>IF($P61=CL61,$M$7,0)</f>
        <v>0</v>
      </c>
      <c r="CN61" t="s">
        <v>110</v>
      </c>
      <c r="CO61" s="200">
        <f>IF($P61=CN61,$M$7,0)</f>
        <v>0</v>
      </c>
      <c r="CP61" t="s">
        <v>110</v>
      </c>
      <c r="CQ61" s="200">
        <f>IF($P61=CP61,$M$7,0)</f>
        <v>0</v>
      </c>
      <c r="CR61" t="s">
        <v>105</v>
      </c>
      <c r="CS61" s="200">
        <f>IF($P61=CR61,$M$7,0)</f>
        <v>0</v>
      </c>
      <c r="CT61" s="197" t="s">
        <v>116</v>
      </c>
      <c r="CU61" s="200">
        <f>IF($P61=CT61,$M$7,0)</f>
        <v>0</v>
      </c>
      <c r="CV61" s="197" t="s">
        <v>110</v>
      </c>
      <c r="CW61" s="200">
        <f>IF($P61=CV61,$M$7,0)</f>
        <v>0</v>
      </c>
      <c r="CX61" s="197" t="s">
        <v>110</v>
      </c>
      <c r="CY61" s="200">
        <f>IF($P61=CX61,$M$7,0)</f>
        <v>0</v>
      </c>
      <c r="CZ61" s="197" t="s">
        <v>105</v>
      </c>
      <c r="DA61" s="200">
        <f>IF($P61=CZ61,$M$7,0)</f>
        <v>0</v>
      </c>
    </row>
    <row r="62" spans="1:105" x14ac:dyDescent="0.25">
      <c r="A62" s="202" t="s">
        <v>409</v>
      </c>
      <c r="B62" s="203">
        <f>HLOOKUP(A62,$R$3:$EY$4,2,FALSE)</f>
        <v>3</v>
      </c>
      <c r="C62" s="203">
        <f>SUM(G62,ROW()/1000)</f>
        <v>3.0619999999999998</v>
      </c>
      <c r="D62" s="203">
        <f>RANK(Tabla6[[#This Row],[PUNTOS1]],Tabla6[PUNTOS1],0)</f>
        <v>1</v>
      </c>
      <c r="E62" s="203">
        <f>RANK(Tabla6[[#This Row],[PUNTOS2]],Tabla6[PUNTOS2],0)</f>
        <v>1</v>
      </c>
      <c r="F62" s="202" t="str">
        <f>UPPER(A62)</f>
        <v>MIRIAM ANTONA</v>
      </c>
      <c r="G62" s="202">
        <f>HLOOKUP(A62,$R$3:$EY$4,2,FALSE)</f>
        <v>3</v>
      </c>
      <c r="J62" s="189">
        <f t="shared" si="467"/>
        <v>44</v>
      </c>
      <c r="K62" s="200" t="str">
        <f>IF(Tabla5[[#This Row],[Puntos]]=M61,".",Tabla5[[#This Row],[PosReal]])</f>
        <v>.</v>
      </c>
      <c r="L62" s="193" t="str">
        <f>VLOOKUP(J62,Tabla6[[ORDEN2]:[PUNTOS]],2,FALSE)</f>
        <v>ANA LERANOZ</v>
      </c>
      <c r="M62" s="194">
        <f>VLOOKUP(J62,Tabla6[[ORDEN2]:[PUNTOS]],3,FALSE)</f>
        <v>0</v>
      </c>
      <c r="O62" s="10" t="s">
        <v>229</v>
      </c>
      <c r="P62" s="10"/>
      <c r="Q62" s="5"/>
      <c r="R62" s="97" t="s">
        <v>122</v>
      </c>
      <c r="S62" s="97">
        <f>IF($P62=R62,$M$8,0)</f>
        <v>0</v>
      </c>
      <c r="T62" s="97" t="s">
        <v>122</v>
      </c>
      <c r="U62" s="200">
        <f>IF($P62=T62,$M$8,0)</f>
        <v>0</v>
      </c>
      <c r="V62" s="97" t="s">
        <v>105</v>
      </c>
      <c r="W62" s="200">
        <f>IF($P62=V62,$M$8,0)</f>
        <v>0</v>
      </c>
      <c r="X62" s="97" t="s">
        <v>105</v>
      </c>
      <c r="Y62" s="200">
        <f>IF($P62=X62,$M$8,0)</f>
        <v>0</v>
      </c>
      <c r="Z62" s="97" t="s">
        <v>116</v>
      </c>
      <c r="AA62" s="200">
        <f>IF($P62=Z62,$M$8,0)</f>
        <v>0</v>
      </c>
      <c r="AB62" s="97" t="s">
        <v>116</v>
      </c>
      <c r="AC62" s="200">
        <f>IF($P62=AB62,$M$8,0)</f>
        <v>0</v>
      </c>
      <c r="AD62" t="s">
        <v>116</v>
      </c>
      <c r="AE62" s="200">
        <f>IF($P62=AD62,$M$8,0)</f>
        <v>0</v>
      </c>
      <c r="AF62" t="s">
        <v>116</v>
      </c>
      <c r="AG62" s="200">
        <f>IF($P62=AF62,$M$8,0)</f>
        <v>0</v>
      </c>
      <c r="AH62" t="s">
        <v>122</v>
      </c>
      <c r="AI62" s="200">
        <f>IF($P62=AH62,$M$8,0)</f>
        <v>0</v>
      </c>
      <c r="AJ62" t="s">
        <v>110</v>
      </c>
      <c r="AK62" s="200">
        <f>IF($P62=AJ62,$M$8,0)</f>
        <v>0</v>
      </c>
      <c r="AL62" t="s">
        <v>122</v>
      </c>
      <c r="AM62" s="200">
        <f>IF($P62=AL62,$M$8,0)</f>
        <v>0</v>
      </c>
      <c r="AN62" t="s">
        <v>116</v>
      </c>
      <c r="AO62" s="200">
        <f>IF($P62=AN62,$M$8,0)</f>
        <v>0</v>
      </c>
      <c r="AP62" t="s">
        <v>122</v>
      </c>
      <c r="AQ62" s="200">
        <f>IF($P62=AP62,$M$8,0)</f>
        <v>0</v>
      </c>
      <c r="AR62" t="s">
        <v>110</v>
      </c>
      <c r="AS62" s="200">
        <f>IF($P62=AR62,$M$8,0)</f>
        <v>0</v>
      </c>
      <c r="AT62" t="s">
        <v>116</v>
      </c>
      <c r="AU62" s="200">
        <f>IF($P62=AT62,$M$8,0)</f>
        <v>0</v>
      </c>
      <c r="AV62" t="s">
        <v>116</v>
      </c>
      <c r="AW62" s="200">
        <f>IF($P62=AV62,$M$8,0)</f>
        <v>0</v>
      </c>
      <c r="AX62" t="s">
        <v>116</v>
      </c>
      <c r="AY62" s="200">
        <f>IF($P62=AX62,$M$8,0)</f>
        <v>0</v>
      </c>
      <c r="AZ62" t="s">
        <v>110</v>
      </c>
      <c r="BA62" s="200">
        <f>IF($P62=AZ62,$M$8,0)</f>
        <v>0</v>
      </c>
      <c r="BB62" t="s">
        <v>116</v>
      </c>
      <c r="BC62" s="200">
        <f>IF($P62=BB62,$M$8,0)</f>
        <v>0</v>
      </c>
      <c r="BD62" t="s">
        <v>116</v>
      </c>
      <c r="BE62" s="200">
        <f>IF($P62=BD62,$M$8,0)</f>
        <v>0</v>
      </c>
      <c r="BF62" t="s">
        <v>116</v>
      </c>
      <c r="BG62" s="200">
        <f>IF($P62=BF62,$M$8,0)</f>
        <v>0</v>
      </c>
      <c r="BH62" t="s">
        <v>116</v>
      </c>
      <c r="BI62" s="200">
        <f>IF($P62=BH62,$M$8,0)</f>
        <v>0</v>
      </c>
      <c r="BJ62" t="s">
        <v>116</v>
      </c>
      <c r="BK62" s="200">
        <f>IF($P62=BJ62,$M$8,0)</f>
        <v>0</v>
      </c>
      <c r="BL62" t="s">
        <v>116</v>
      </c>
      <c r="BM62" s="200">
        <f>IF($P62=BL62,$M$8,0)</f>
        <v>0</v>
      </c>
      <c r="BN62" t="s">
        <v>122</v>
      </c>
      <c r="BO62" s="200">
        <f>IF($P62=BN62,$M$8,0)</f>
        <v>0</v>
      </c>
      <c r="BP62" t="s">
        <v>116</v>
      </c>
      <c r="BQ62" s="200">
        <f>IF($P62=BP62,$M$8,0)</f>
        <v>0</v>
      </c>
      <c r="BR62" t="s">
        <v>116</v>
      </c>
      <c r="BS62" s="200">
        <f>IF($P62=BR62,$M$8,0)</f>
        <v>0</v>
      </c>
      <c r="BT62" t="s">
        <v>110</v>
      </c>
      <c r="BU62" s="200">
        <f>IF($P62=BT62,$M$8,0)</f>
        <v>0</v>
      </c>
      <c r="BV62" t="s">
        <v>116</v>
      </c>
      <c r="BW62" s="200">
        <f>IF($P62=BV62,$M$8,0)</f>
        <v>0</v>
      </c>
      <c r="BX62" t="s">
        <v>116</v>
      </c>
      <c r="BY62" s="200">
        <f>IF($P62=BX62,$M$8,0)</f>
        <v>0</v>
      </c>
      <c r="BZ62" t="s">
        <v>116</v>
      </c>
      <c r="CA62" s="200">
        <f>IF($P62=BZ62,$M$8,0)</f>
        <v>0</v>
      </c>
      <c r="CB62" t="s">
        <v>116</v>
      </c>
      <c r="CC62" s="200">
        <f>IF($P62=CB62,$M$8,0)</f>
        <v>0</v>
      </c>
      <c r="CD62" t="s">
        <v>105</v>
      </c>
      <c r="CE62" s="200">
        <f>IF($P62=CD62,$M$8,0)</f>
        <v>0</v>
      </c>
      <c r="CF62" s="197" t="s">
        <v>116</v>
      </c>
      <c r="CG62" s="200">
        <f>IF($P62=CF62,$M$8,0)</f>
        <v>0</v>
      </c>
      <c r="CH62" t="s">
        <v>122</v>
      </c>
      <c r="CI62" s="200">
        <f>IF($P62=CH62,$M$8,0)</f>
        <v>0</v>
      </c>
      <c r="CJ62" t="s">
        <v>116</v>
      </c>
      <c r="CK62" s="200">
        <f>IF($P62=CJ62,$M$8,0)</f>
        <v>0</v>
      </c>
      <c r="CL62" s="197" t="s">
        <v>116</v>
      </c>
      <c r="CM62" s="200">
        <f>IF($P62=CL62,$M$8,0)</f>
        <v>0</v>
      </c>
      <c r="CN62" t="s">
        <v>116</v>
      </c>
      <c r="CO62" s="200">
        <f>IF($P62=CN62,$M$8,0)</f>
        <v>0</v>
      </c>
      <c r="CP62" t="s">
        <v>116</v>
      </c>
      <c r="CQ62" s="200">
        <f>IF($P62=CP62,$M$8,0)</f>
        <v>0</v>
      </c>
      <c r="CR62" t="s">
        <v>116</v>
      </c>
      <c r="CS62" s="200">
        <f>IF($P62=CR62,$M$8,0)</f>
        <v>0</v>
      </c>
      <c r="CT62" s="197" t="s">
        <v>110</v>
      </c>
      <c r="CU62" s="200">
        <f>IF($P62=CT62,$M$8,0)</f>
        <v>0</v>
      </c>
      <c r="CV62" s="197" t="s">
        <v>116</v>
      </c>
      <c r="CW62" s="200">
        <f>IF($P62=CV62,$M$8,0)</f>
        <v>0</v>
      </c>
      <c r="CX62" s="197" t="s">
        <v>116</v>
      </c>
      <c r="CY62" s="200">
        <f>IF($P62=CX62,$M$8,0)</f>
        <v>0</v>
      </c>
      <c r="CZ62" s="197" t="s">
        <v>116</v>
      </c>
      <c r="DA62" s="200">
        <f>IF($P62=CZ62,$M$8,0)</f>
        <v>0</v>
      </c>
    </row>
    <row r="63" spans="1:105" x14ac:dyDescent="0.25">
      <c r="O63" s="10" t="s">
        <v>230</v>
      </c>
      <c r="P63" s="10"/>
      <c r="Q63" s="5"/>
      <c r="R63" s="97" t="s">
        <v>116</v>
      </c>
      <c r="S63" s="97">
        <f>IF($P63=R63,$M$9,0)</f>
        <v>0</v>
      </c>
      <c r="T63" s="97" t="s">
        <v>116</v>
      </c>
      <c r="U63" s="200">
        <f>IF($P63=T63,$M$9,0)</f>
        <v>0</v>
      </c>
      <c r="V63" s="97" t="s">
        <v>122</v>
      </c>
      <c r="W63" s="200">
        <f>IF($P63=V63,$M$9,0)</f>
        <v>0</v>
      </c>
      <c r="X63" s="97" t="s">
        <v>122</v>
      </c>
      <c r="Y63" s="200">
        <f>IF($P63=X63,$M$9,0)</f>
        <v>0</v>
      </c>
      <c r="Z63" s="97" t="s">
        <v>122</v>
      </c>
      <c r="AA63" s="200">
        <f>IF($P63=Z63,$M$9,0)</f>
        <v>0</v>
      </c>
      <c r="AB63" s="97" t="s">
        <v>122</v>
      </c>
      <c r="AC63" s="200">
        <f>IF($P63=AB63,$M$9,0)</f>
        <v>0</v>
      </c>
      <c r="AD63" t="s">
        <v>122</v>
      </c>
      <c r="AE63" s="200">
        <f>IF($P63=AD63,$M$9,0)</f>
        <v>0</v>
      </c>
      <c r="AF63" t="s">
        <v>122</v>
      </c>
      <c r="AG63" s="200">
        <f>IF($P63=AF63,$M$9,0)</f>
        <v>0</v>
      </c>
      <c r="AH63" t="s">
        <v>116</v>
      </c>
      <c r="AI63" s="200">
        <f>IF($P63=AH63,$M$9,0)</f>
        <v>0</v>
      </c>
      <c r="AJ63" t="s">
        <v>122</v>
      </c>
      <c r="AK63" s="200">
        <f>IF($P63=AJ63,$M$9,0)</f>
        <v>0</v>
      </c>
      <c r="AL63" t="s">
        <v>105</v>
      </c>
      <c r="AM63" s="200">
        <f>IF($P63=AL63,$M$9,0)</f>
        <v>0</v>
      </c>
      <c r="AN63" t="s">
        <v>122</v>
      </c>
      <c r="AO63" s="200">
        <f>IF($P63=AN63,$M$9,0)</f>
        <v>0</v>
      </c>
      <c r="AP63" t="s">
        <v>116</v>
      </c>
      <c r="AQ63" s="200">
        <f>IF($P63=AP63,$M$9,0)</f>
        <v>0</v>
      </c>
      <c r="AR63" t="s">
        <v>122</v>
      </c>
      <c r="AS63" s="200">
        <f>IF($P63=AR63,$M$9,0)</f>
        <v>0</v>
      </c>
      <c r="AT63" t="s">
        <v>105</v>
      </c>
      <c r="AU63" s="200">
        <f>IF($P63=AT63,$M$9,0)</f>
        <v>0</v>
      </c>
      <c r="AV63" t="s">
        <v>122</v>
      </c>
      <c r="AW63" s="200">
        <f>IF($P63=AV63,$M$9,0)</f>
        <v>0</v>
      </c>
      <c r="AX63" t="s">
        <v>122</v>
      </c>
      <c r="AY63" s="200">
        <f>IF($P63=AX63,$M$9,0)</f>
        <v>0</v>
      </c>
      <c r="AZ63" t="s">
        <v>122</v>
      </c>
      <c r="BA63" s="200">
        <f>IF($P63=AZ63,$M$9,0)</f>
        <v>0</v>
      </c>
      <c r="BB63" t="s">
        <v>122</v>
      </c>
      <c r="BC63" s="200">
        <f>IF($P63=BB63,$M$9,0)</f>
        <v>0</v>
      </c>
      <c r="BD63" t="s">
        <v>122</v>
      </c>
      <c r="BE63" s="200">
        <f>IF($P63=BD63,$M$9,0)</f>
        <v>0</v>
      </c>
      <c r="BF63" t="s">
        <v>122</v>
      </c>
      <c r="BG63" s="200">
        <f>IF($P63=BF63,$M$9,0)</f>
        <v>0</v>
      </c>
      <c r="BH63" t="s">
        <v>122</v>
      </c>
      <c r="BI63" s="200">
        <f>IF($P63=BH63,$M$9,0)</f>
        <v>0</v>
      </c>
      <c r="BJ63" t="s">
        <v>122</v>
      </c>
      <c r="BK63" s="200">
        <f>IF($P63=BJ63,$M$9,0)</f>
        <v>0</v>
      </c>
      <c r="BL63" t="s">
        <v>122</v>
      </c>
      <c r="BM63" s="200">
        <f>IF($P63=BL63,$M$9,0)</f>
        <v>0</v>
      </c>
      <c r="BN63" t="s">
        <v>116</v>
      </c>
      <c r="BO63" s="200">
        <f>IF($P63=BN63,$M$9,0)</f>
        <v>0</v>
      </c>
      <c r="BP63" t="s">
        <v>122</v>
      </c>
      <c r="BQ63" s="200">
        <f>IF($P63=BP63,$M$9,0)</f>
        <v>0</v>
      </c>
      <c r="BR63" t="s">
        <v>122</v>
      </c>
      <c r="BS63" s="200">
        <f>IF($P63=BR63,$M$9,0)</f>
        <v>0</v>
      </c>
      <c r="BT63" t="s">
        <v>122</v>
      </c>
      <c r="BU63" s="200">
        <f>IF($P63=BT63,$M$9,0)</f>
        <v>0</v>
      </c>
      <c r="BV63" t="s">
        <v>122</v>
      </c>
      <c r="BW63" s="200">
        <f>IF($P63=BV63,$M$9,0)</f>
        <v>0</v>
      </c>
      <c r="BX63" t="s">
        <v>122</v>
      </c>
      <c r="BY63" s="200">
        <f>IF($P63=BX63,$M$9,0)</f>
        <v>0</v>
      </c>
      <c r="BZ63" t="s">
        <v>122</v>
      </c>
      <c r="CA63" s="200">
        <f>IF($P63=BZ63,$M$9,0)</f>
        <v>0</v>
      </c>
      <c r="CB63" t="s">
        <v>122</v>
      </c>
      <c r="CC63" s="200">
        <f>IF($P63=CB63,$M$9,0)</f>
        <v>0</v>
      </c>
      <c r="CD63" t="s">
        <v>122</v>
      </c>
      <c r="CE63" s="200">
        <f>IF($P63=CD63,$M$9,0)</f>
        <v>0</v>
      </c>
      <c r="CF63" s="197" t="s">
        <v>122</v>
      </c>
      <c r="CG63" s="200">
        <f>IF($P63=CF63,$M$9,0)</f>
        <v>0</v>
      </c>
      <c r="CH63" t="s">
        <v>116</v>
      </c>
      <c r="CI63" s="200">
        <f>IF($P63=CH63,$M$9,0)</f>
        <v>0</v>
      </c>
      <c r="CJ63" t="s">
        <v>122</v>
      </c>
      <c r="CK63" s="200">
        <f>IF($P63=CJ63,$M$9,0)</f>
        <v>0</v>
      </c>
      <c r="CL63" s="197" t="s">
        <v>122</v>
      </c>
      <c r="CM63" s="200">
        <f>IF($P63=CL63,$M$9,0)</f>
        <v>0</v>
      </c>
      <c r="CN63" t="s">
        <v>122</v>
      </c>
      <c r="CO63" s="200">
        <f>IF($P63=CN63,$M$9,0)</f>
        <v>0</v>
      </c>
      <c r="CP63" t="s">
        <v>122</v>
      </c>
      <c r="CQ63" s="200">
        <f>IF($P63=CP63,$M$9,0)</f>
        <v>0</v>
      </c>
      <c r="CR63" t="s">
        <v>122</v>
      </c>
      <c r="CS63" s="200">
        <f>IF($P63=CR63,$M$9,0)</f>
        <v>0</v>
      </c>
      <c r="CT63" s="197" t="s">
        <v>122</v>
      </c>
      <c r="CU63" s="200">
        <f>IF($P63=CT63,$M$9,0)</f>
        <v>0</v>
      </c>
      <c r="CV63" s="197" t="s">
        <v>122</v>
      </c>
      <c r="CW63" s="200">
        <f>IF($P63=CV63,$M$9,0)</f>
        <v>0</v>
      </c>
      <c r="CX63" s="197" t="s">
        <v>122</v>
      </c>
      <c r="CY63" s="200">
        <f>IF($P63=CX63,$M$9,0)</f>
        <v>0</v>
      </c>
      <c r="CZ63" s="197" t="s">
        <v>122</v>
      </c>
      <c r="DA63" s="200">
        <f>IF($P63=CZ63,$M$9,0)</f>
        <v>0</v>
      </c>
    </row>
    <row r="64" spans="1:105" x14ac:dyDescent="0.25">
      <c r="O64" s="10" t="s">
        <v>231</v>
      </c>
      <c r="P64" s="10"/>
      <c r="Q64" s="5"/>
      <c r="R64" s="97" t="s">
        <v>109</v>
      </c>
      <c r="S64" s="97">
        <f>IF($P64=R64,$M$6,0)</f>
        <v>0</v>
      </c>
      <c r="T64" s="97" t="s">
        <v>109</v>
      </c>
      <c r="U64" s="200">
        <f>IF($P64=T64,$M$6,0)</f>
        <v>0</v>
      </c>
      <c r="V64" s="97" t="s">
        <v>109</v>
      </c>
      <c r="W64" s="200">
        <f>IF($P64=V64,$M$6,0)</f>
        <v>0</v>
      </c>
      <c r="X64" s="97" t="s">
        <v>109</v>
      </c>
      <c r="Y64" s="200">
        <f>IF($P64=X64,$M$6,0)</f>
        <v>0</v>
      </c>
      <c r="Z64" s="97" t="s">
        <v>109</v>
      </c>
      <c r="AA64" s="200">
        <f>IF($P64=Z64,$M$6,0)</f>
        <v>0</v>
      </c>
      <c r="AB64" s="97" t="s">
        <v>109</v>
      </c>
      <c r="AC64" s="200">
        <f>IF($P64=AB64,$M$6,0)</f>
        <v>0</v>
      </c>
      <c r="AD64" t="s">
        <v>109</v>
      </c>
      <c r="AE64" s="200">
        <f>IF($P64=AD64,$M$6,0)</f>
        <v>0</v>
      </c>
      <c r="AF64" t="s">
        <v>109</v>
      </c>
      <c r="AG64" s="200">
        <f>IF($P64=AF64,$M$6,0)</f>
        <v>0</v>
      </c>
      <c r="AH64" t="s">
        <v>109</v>
      </c>
      <c r="AI64" s="200">
        <f>IF($P64=AH64,$M$6,0)</f>
        <v>0</v>
      </c>
      <c r="AJ64" t="s">
        <v>113</v>
      </c>
      <c r="AK64" s="200">
        <f>IF($P64=AJ64,$M$6,0)</f>
        <v>0</v>
      </c>
      <c r="AL64" t="s">
        <v>109</v>
      </c>
      <c r="AM64" s="200">
        <f>IF($P64=AL64,$M$6,0)</f>
        <v>0</v>
      </c>
      <c r="AN64" t="s">
        <v>113</v>
      </c>
      <c r="AO64" s="200">
        <f>IF($P64=AN64,$M$6,0)</f>
        <v>0</v>
      </c>
      <c r="AP64" t="s">
        <v>109</v>
      </c>
      <c r="AQ64" s="200">
        <f>IF($P64=AP64,$M$6,0)</f>
        <v>0</v>
      </c>
      <c r="AR64" t="s">
        <v>109</v>
      </c>
      <c r="AS64" s="200">
        <f>IF($P64=AR64,$M$6,0)</f>
        <v>0</v>
      </c>
      <c r="AT64" t="s">
        <v>109</v>
      </c>
      <c r="AU64" s="200">
        <f>IF($P64=AT64,$M$6,0)</f>
        <v>0</v>
      </c>
      <c r="AV64" t="s">
        <v>109</v>
      </c>
      <c r="AW64" s="200">
        <f>IF($P64=AV64,$M$6,0)</f>
        <v>0</v>
      </c>
      <c r="AX64" t="s">
        <v>109</v>
      </c>
      <c r="AY64" s="200">
        <f>IF($P64=AX64,$M$6,0)</f>
        <v>0</v>
      </c>
      <c r="AZ64" t="s">
        <v>109</v>
      </c>
      <c r="BA64" s="200">
        <f>IF($P64=AZ64,$M$6,0)</f>
        <v>0</v>
      </c>
      <c r="BB64" t="s">
        <v>109</v>
      </c>
      <c r="BC64" s="200">
        <f>IF($P64=BB64,$M$6,0)</f>
        <v>0</v>
      </c>
      <c r="BD64" t="s">
        <v>113</v>
      </c>
      <c r="BE64" s="200">
        <f>IF($P64=BD64,$M$6,0)</f>
        <v>0</v>
      </c>
      <c r="BF64" t="s">
        <v>109</v>
      </c>
      <c r="BG64" s="200">
        <f>IF($P64=BF64,$M$6,0)</f>
        <v>0</v>
      </c>
      <c r="BH64" t="s">
        <v>109</v>
      </c>
      <c r="BI64" s="200">
        <f>IF($P64=BH64,$M$6,0)</f>
        <v>0</v>
      </c>
      <c r="BJ64" t="s">
        <v>109</v>
      </c>
      <c r="BK64" s="200">
        <f>IF($P64=BJ64,$M$6,0)</f>
        <v>0</v>
      </c>
      <c r="BL64" t="s">
        <v>109</v>
      </c>
      <c r="BM64" s="200">
        <f>IF($P64=BL64,$M$6,0)</f>
        <v>0</v>
      </c>
      <c r="BN64" t="s">
        <v>109</v>
      </c>
      <c r="BO64" s="200">
        <f>IF($P64=BN64,$M$6,0)</f>
        <v>0</v>
      </c>
      <c r="BP64" t="s">
        <v>113</v>
      </c>
      <c r="BQ64" s="200">
        <f>IF($P64=BP64,$M$6,0)</f>
        <v>0</v>
      </c>
      <c r="BR64" t="s">
        <v>109</v>
      </c>
      <c r="BS64" s="200">
        <f>IF($P64=BR64,$M$6,0)</f>
        <v>0</v>
      </c>
      <c r="BT64" t="s">
        <v>109</v>
      </c>
      <c r="BU64" s="200">
        <f>IF($P64=BT64,$M$6,0)</f>
        <v>0</v>
      </c>
      <c r="BV64" t="s">
        <v>109</v>
      </c>
      <c r="BW64" s="200">
        <f>IF($P64=BV64,$M$6,0)</f>
        <v>0</v>
      </c>
      <c r="BX64" t="s">
        <v>113</v>
      </c>
      <c r="BY64" s="200">
        <f>IF($P64=BX64,$M$6,0)</f>
        <v>0</v>
      </c>
      <c r="BZ64" t="s">
        <v>109</v>
      </c>
      <c r="CA64" s="200">
        <f>IF($P64=BZ64,$M$6,0)</f>
        <v>0</v>
      </c>
      <c r="CB64" t="s">
        <v>109</v>
      </c>
      <c r="CC64" s="200">
        <f>IF($P64=CB64,$M$6,0)</f>
        <v>0</v>
      </c>
      <c r="CD64" t="s">
        <v>109</v>
      </c>
      <c r="CE64" s="200">
        <f>IF($P64=CD64,$M$6,0)</f>
        <v>0</v>
      </c>
      <c r="CF64" s="197" t="s">
        <v>109</v>
      </c>
      <c r="CG64" s="200">
        <f>IF($P64=CF64,$M$6,0)</f>
        <v>0</v>
      </c>
      <c r="CH64" t="s">
        <v>109</v>
      </c>
      <c r="CI64" s="200">
        <f>IF($P64=CH64,$M$6,0)</f>
        <v>0</v>
      </c>
      <c r="CJ64" t="s">
        <v>109</v>
      </c>
      <c r="CK64" s="200">
        <f>IF($P64=CJ64,$M$6,0)</f>
        <v>0</v>
      </c>
      <c r="CL64" s="197" t="s">
        <v>109</v>
      </c>
      <c r="CM64" s="200">
        <f>IF($P64=CL64,$M$6,0)</f>
        <v>0</v>
      </c>
      <c r="CN64" t="s">
        <v>109</v>
      </c>
      <c r="CO64" s="200">
        <f>IF($P64=CN64,$M$6,0)</f>
        <v>0</v>
      </c>
      <c r="CP64" t="s">
        <v>109</v>
      </c>
      <c r="CQ64" s="200">
        <f>IF($P64=CP64,$M$6,0)</f>
        <v>0</v>
      </c>
      <c r="CR64" t="s">
        <v>109</v>
      </c>
      <c r="CS64" s="200">
        <f>IF($P64=CR64,$M$6,0)</f>
        <v>0</v>
      </c>
      <c r="CT64" s="197" t="s">
        <v>120</v>
      </c>
      <c r="CU64" s="200">
        <f>IF($P64=CT64,$M$6,0)</f>
        <v>0</v>
      </c>
      <c r="CV64" s="197" t="s">
        <v>113</v>
      </c>
      <c r="CW64" s="200">
        <f>IF($P64=CV64,$M$6,0)</f>
        <v>0</v>
      </c>
      <c r="CX64" s="197" t="s">
        <v>109</v>
      </c>
      <c r="CY64" s="200">
        <f>IF($P64=CX64,$M$6,0)</f>
        <v>0</v>
      </c>
      <c r="CZ64" s="197" t="s">
        <v>109</v>
      </c>
      <c r="DA64" s="200">
        <f>IF($P64=CZ64,$M$6,0)</f>
        <v>0</v>
      </c>
    </row>
    <row r="65" spans="15:105" x14ac:dyDescent="0.25">
      <c r="O65" s="10" t="s">
        <v>232</v>
      </c>
      <c r="P65" s="10"/>
      <c r="Q65" s="5"/>
      <c r="R65" s="97" t="s">
        <v>113</v>
      </c>
      <c r="S65" s="97">
        <f>IF($P65=R65,$M$7,0)</f>
        <v>0</v>
      </c>
      <c r="T65" s="97" t="s">
        <v>113</v>
      </c>
      <c r="U65" s="200">
        <f>IF($P65=T65,$M$7,0)</f>
        <v>0</v>
      </c>
      <c r="V65" s="97" t="s">
        <v>113</v>
      </c>
      <c r="W65" s="200">
        <f>IF($P65=V65,$M$7,0)</f>
        <v>0</v>
      </c>
      <c r="X65" s="97" t="s">
        <v>120</v>
      </c>
      <c r="Y65" s="200">
        <f>IF($P65=X65,$M$7,0)</f>
        <v>0</v>
      </c>
      <c r="Z65" s="97" t="s">
        <v>123</v>
      </c>
      <c r="AA65" s="200">
        <f>IF($P65=Z65,$M$7,0)</f>
        <v>0</v>
      </c>
      <c r="AB65" s="97" t="s">
        <v>113</v>
      </c>
      <c r="AC65" s="200">
        <f>IF($P65=AB65,$M$7,0)</f>
        <v>0</v>
      </c>
      <c r="AD65" t="s">
        <v>113</v>
      </c>
      <c r="AE65" s="200">
        <f>IF($P65=AD65,$M$7,0)</f>
        <v>0</v>
      </c>
      <c r="AF65" t="s">
        <v>123</v>
      </c>
      <c r="AG65" s="200">
        <f>IF($P65=AF65,$M$7,0)</f>
        <v>0</v>
      </c>
      <c r="AH65" t="s">
        <v>113</v>
      </c>
      <c r="AI65" s="200">
        <f>IF($P65=AH65,$M$7,0)</f>
        <v>0</v>
      </c>
      <c r="AJ65" t="s">
        <v>109</v>
      </c>
      <c r="AK65" s="200">
        <f>IF($P65=AJ65,$M$7,0)</f>
        <v>0</v>
      </c>
      <c r="AL65" t="s">
        <v>120</v>
      </c>
      <c r="AM65" s="200">
        <f>IF($P65=AL65,$M$7,0)</f>
        <v>0</v>
      </c>
      <c r="AN65" t="s">
        <v>123</v>
      </c>
      <c r="AO65" s="200">
        <f>IF($P65=AN65,$M$7,0)</f>
        <v>0</v>
      </c>
      <c r="AP65" t="s">
        <v>113</v>
      </c>
      <c r="AQ65" s="200">
        <f>IF($P65=AP65,$M$7,0)</f>
        <v>0</v>
      </c>
      <c r="AR65" t="s">
        <v>113</v>
      </c>
      <c r="AS65" s="200">
        <f>IF($P65=AR65,$M$7,0)</f>
        <v>0</v>
      </c>
      <c r="AT65" t="s">
        <v>120</v>
      </c>
      <c r="AU65" s="200">
        <f>IF($P65=AT65,$M$7,0)</f>
        <v>0</v>
      </c>
      <c r="AV65" t="s">
        <v>113</v>
      </c>
      <c r="AW65" s="200">
        <f>IF($P65=AV65,$M$7,0)</f>
        <v>0</v>
      </c>
      <c r="AX65" t="s">
        <v>123</v>
      </c>
      <c r="AY65" s="200">
        <f>IF($P65=AX65,$M$7,0)</f>
        <v>0</v>
      </c>
      <c r="AZ65" t="s">
        <v>113</v>
      </c>
      <c r="BA65" s="200">
        <f>IF($P65=AZ65,$M$7,0)</f>
        <v>0</v>
      </c>
      <c r="BB65" t="s">
        <v>113</v>
      </c>
      <c r="BC65" s="200">
        <f>IF($P65=BB65,$M$7,0)</f>
        <v>0</v>
      </c>
      <c r="BD65" t="s">
        <v>109</v>
      </c>
      <c r="BE65" s="200">
        <f>IF($P65=BD65,$M$7,0)</f>
        <v>0</v>
      </c>
      <c r="BF65" t="s">
        <v>113</v>
      </c>
      <c r="BG65" s="200">
        <f>IF($P65=BF65,$M$7,0)</f>
        <v>0</v>
      </c>
      <c r="BH65" t="s">
        <v>113</v>
      </c>
      <c r="BI65" s="200">
        <f>IF($P65=BH65,$M$7,0)</f>
        <v>0</v>
      </c>
      <c r="BJ65" t="s">
        <v>113</v>
      </c>
      <c r="BK65" s="200">
        <f>IF($P65=BJ65,$M$7,0)</f>
        <v>0</v>
      </c>
      <c r="BL65" t="s">
        <v>113</v>
      </c>
      <c r="BM65" s="200">
        <f>IF($P65=BL65,$M$7,0)</f>
        <v>0</v>
      </c>
      <c r="BN65" t="s">
        <v>113</v>
      </c>
      <c r="BO65" s="200">
        <f>IF($P65=BN65,$M$7,0)</f>
        <v>0</v>
      </c>
      <c r="BP65" t="s">
        <v>109</v>
      </c>
      <c r="BQ65" s="200">
        <f>IF($P65=BP65,$M$7,0)</f>
        <v>0</v>
      </c>
      <c r="BR65" t="s">
        <v>113</v>
      </c>
      <c r="BS65" s="200">
        <f>IF($P65=BR65,$M$7,0)</f>
        <v>0</v>
      </c>
      <c r="BT65" t="s">
        <v>113</v>
      </c>
      <c r="BU65" s="200">
        <f>IF($P65=BT65,$M$7,0)</f>
        <v>0</v>
      </c>
      <c r="BV65" t="s">
        <v>113</v>
      </c>
      <c r="BW65" s="200">
        <f>IF($P65=BV65,$M$7,0)</f>
        <v>0</v>
      </c>
      <c r="BX65" t="s">
        <v>109</v>
      </c>
      <c r="BY65" s="200">
        <f>IF($P65=BX65,$M$7,0)</f>
        <v>0</v>
      </c>
      <c r="BZ65" t="s">
        <v>123</v>
      </c>
      <c r="CA65" s="200">
        <f>IF($P65=BZ65,$M$7,0)</f>
        <v>0</v>
      </c>
      <c r="CB65" t="s">
        <v>113</v>
      </c>
      <c r="CC65" s="200">
        <f>IF($P65=CB65,$M$7,0)</f>
        <v>0</v>
      </c>
      <c r="CD65" t="s">
        <v>113</v>
      </c>
      <c r="CE65" s="200">
        <f>IF($P65=CD65,$M$7,0)</f>
        <v>0</v>
      </c>
      <c r="CF65" s="197" t="s">
        <v>113</v>
      </c>
      <c r="CG65" s="200">
        <f>IF($P65=CF65,$M$7,0)</f>
        <v>0</v>
      </c>
      <c r="CH65" t="s">
        <v>113</v>
      </c>
      <c r="CI65" s="200">
        <f>IF($P65=CH65,$M$7,0)</f>
        <v>0</v>
      </c>
      <c r="CJ65" t="s">
        <v>113</v>
      </c>
      <c r="CK65" s="200">
        <f>IF($P65=CJ65,$M$7,0)</f>
        <v>0</v>
      </c>
      <c r="CL65" s="197" t="s">
        <v>113</v>
      </c>
      <c r="CM65" s="200">
        <f>IF($P65=CL65,$M$7,0)</f>
        <v>0</v>
      </c>
      <c r="CN65" t="s">
        <v>113</v>
      </c>
      <c r="CO65" s="200">
        <f>IF($P65=CN65,$M$7,0)</f>
        <v>0</v>
      </c>
      <c r="CP65" t="s">
        <v>113</v>
      </c>
      <c r="CQ65" s="200">
        <f>IF($P65=CP65,$M$7,0)</f>
        <v>0</v>
      </c>
      <c r="CR65" t="s">
        <v>113</v>
      </c>
      <c r="CS65" s="200">
        <f>IF($P65=CR65,$M$7,0)</f>
        <v>0</v>
      </c>
      <c r="CT65" s="197" t="s">
        <v>109</v>
      </c>
      <c r="CU65" s="200">
        <f>IF($P65=CT65,$M$7,0)</f>
        <v>0</v>
      </c>
      <c r="CV65" s="197" t="s">
        <v>109</v>
      </c>
      <c r="CW65" s="200">
        <f>IF($P65=CV65,$M$7,0)</f>
        <v>0</v>
      </c>
      <c r="CX65" s="197" t="s">
        <v>113</v>
      </c>
      <c r="CY65" s="200">
        <f>IF($P65=CX65,$M$7,0)</f>
        <v>0</v>
      </c>
      <c r="CZ65" s="197" t="s">
        <v>113</v>
      </c>
      <c r="DA65" s="200">
        <f>IF($P65=CZ65,$M$7,0)</f>
        <v>0</v>
      </c>
    </row>
    <row r="66" spans="15:105" x14ac:dyDescent="0.25">
      <c r="O66" s="10" t="s">
        <v>233</v>
      </c>
      <c r="P66" s="10"/>
      <c r="Q66" s="5"/>
      <c r="R66" s="97" t="s">
        <v>120</v>
      </c>
      <c r="S66" s="97">
        <f>IF($P66=R66,$M$8,0)</f>
        <v>0</v>
      </c>
      <c r="T66" s="97" t="s">
        <v>120</v>
      </c>
      <c r="U66" s="200">
        <f>IF($P66=T66,$M$8,0)</f>
        <v>0</v>
      </c>
      <c r="V66" s="97" t="s">
        <v>120</v>
      </c>
      <c r="W66" s="200">
        <f>IF($P66=V66,$M$8,0)</f>
        <v>0</v>
      </c>
      <c r="X66" s="97" t="s">
        <v>113</v>
      </c>
      <c r="Y66" s="200">
        <f>IF($P66=X66,$M$8,0)</f>
        <v>0</v>
      </c>
      <c r="Z66" s="97" t="s">
        <v>113</v>
      </c>
      <c r="AA66" s="200">
        <f>IF($P66=Z66,$M$8,0)</f>
        <v>0</v>
      </c>
      <c r="AB66" s="97" t="s">
        <v>123</v>
      </c>
      <c r="AC66" s="200">
        <f>IF($P66=AB66,$M$8,0)</f>
        <v>0</v>
      </c>
      <c r="AD66" t="s">
        <v>120</v>
      </c>
      <c r="AE66" s="200">
        <f>IF($P66=AD66,$M$8,0)</f>
        <v>0</v>
      </c>
      <c r="AF66" t="s">
        <v>120</v>
      </c>
      <c r="AG66" s="200">
        <f>IF($P66=AF66,$M$8,0)</f>
        <v>0</v>
      </c>
      <c r="AH66" t="s">
        <v>120</v>
      </c>
      <c r="AI66" s="200">
        <f>IF($P66=AH66,$M$8,0)</f>
        <v>0</v>
      </c>
      <c r="AJ66" t="s">
        <v>120</v>
      </c>
      <c r="AK66" s="200">
        <f>IF($P66=AJ66,$M$8,0)</f>
        <v>0</v>
      </c>
      <c r="AL66" t="s">
        <v>113</v>
      </c>
      <c r="AM66" s="200">
        <f>IF($P66=AL66,$M$8,0)</f>
        <v>0</v>
      </c>
      <c r="AN66" t="s">
        <v>109</v>
      </c>
      <c r="AO66" s="200">
        <f>IF($P66=AN66,$M$8,0)</f>
        <v>0</v>
      </c>
      <c r="AP66" t="s">
        <v>120</v>
      </c>
      <c r="AQ66" s="200">
        <f>IF($P66=AP66,$M$8,0)</f>
        <v>0</v>
      </c>
      <c r="AR66" t="s">
        <v>120</v>
      </c>
      <c r="AS66" s="200">
        <f>IF($P66=AR66,$M$8,0)</f>
        <v>0</v>
      </c>
      <c r="AT66" t="s">
        <v>113</v>
      </c>
      <c r="AU66" s="200">
        <f>IF($P66=AT66,$M$8,0)</f>
        <v>0</v>
      </c>
      <c r="AV66" t="s">
        <v>120</v>
      </c>
      <c r="AW66" s="200">
        <f>IF($P66=AV66,$M$8,0)</f>
        <v>0</v>
      </c>
      <c r="AX66" t="s">
        <v>113</v>
      </c>
      <c r="AY66" s="200">
        <f>IF($P66=AX66,$M$8,0)</f>
        <v>0</v>
      </c>
      <c r="AZ66" t="s">
        <v>120</v>
      </c>
      <c r="BA66" s="200">
        <f>IF($P66=AZ66,$M$8,0)</f>
        <v>0</v>
      </c>
      <c r="BB66" t="s">
        <v>123</v>
      </c>
      <c r="BC66" s="200">
        <f>IF($P66=BB66,$M$8,0)</f>
        <v>0</v>
      </c>
      <c r="BD66" t="s">
        <v>120</v>
      </c>
      <c r="BE66" s="200">
        <f>IF($P66=BD66,$M$8,0)</f>
        <v>0</v>
      </c>
      <c r="BF66" t="s">
        <v>120</v>
      </c>
      <c r="BG66" s="200">
        <f>IF($P66=BF66,$M$8,0)</f>
        <v>0</v>
      </c>
      <c r="BH66" t="s">
        <v>120</v>
      </c>
      <c r="BI66" s="200">
        <f>IF($P66=BH66,$M$8,0)</f>
        <v>0</v>
      </c>
      <c r="BJ66" t="s">
        <v>120</v>
      </c>
      <c r="BK66" s="200">
        <f>IF($P66=BJ66,$M$8,0)</f>
        <v>0</v>
      </c>
      <c r="BL66" t="s">
        <v>120</v>
      </c>
      <c r="BM66" s="200">
        <f>IF($P66=BL66,$M$8,0)</f>
        <v>0</v>
      </c>
      <c r="BN66" t="s">
        <v>120</v>
      </c>
      <c r="BO66" s="200">
        <f>IF($P66=BN66,$M$8,0)</f>
        <v>0</v>
      </c>
      <c r="BP66" t="s">
        <v>120</v>
      </c>
      <c r="BQ66" s="200">
        <f>IF($P66=BP66,$M$8,0)</f>
        <v>0</v>
      </c>
      <c r="BR66" t="s">
        <v>120</v>
      </c>
      <c r="BS66" s="200">
        <f>IF($P66=BR66,$M$8,0)</f>
        <v>0</v>
      </c>
      <c r="BT66" t="s">
        <v>120</v>
      </c>
      <c r="BU66" s="200">
        <f>IF($P66=BT66,$M$8,0)</f>
        <v>0</v>
      </c>
      <c r="BV66" t="s">
        <v>123</v>
      </c>
      <c r="BW66" s="200">
        <f>IF($P66=BV66,$M$8,0)</f>
        <v>0</v>
      </c>
      <c r="BX66" t="s">
        <v>120</v>
      </c>
      <c r="BY66" s="200">
        <f>IF($P66=BX66,$M$8,0)</f>
        <v>0</v>
      </c>
      <c r="BZ66" t="s">
        <v>113</v>
      </c>
      <c r="CA66" s="200">
        <f>IF($P66=BZ66,$M$8,0)</f>
        <v>0</v>
      </c>
      <c r="CB66" t="s">
        <v>120</v>
      </c>
      <c r="CC66" s="200">
        <f>IF($P66=CB66,$M$8,0)</f>
        <v>0</v>
      </c>
      <c r="CD66" t="s">
        <v>120</v>
      </c>
      <c r="CE66" s="200">
        <f>IF($P66=CD66,$M$8,0)</f>
        <v>0</v>
      </c>
      <c r="CF66" s="197" t="s">
        <v>120</v>
      </c>
      <c r="CG66" s="200">
        <f>IF($P66=CF66,$M$8,0)</f>
        <v>0</v>
      </c>
      <c r="CH66" t="s">
        <v>123</v>
      </c>
      <c r="CI66" s="200">
        <f>IF($P66=CH66,$M$8,0)</f>
        <v>0</v>
      </c>
      <c r="CJ66" t="s">
        <v>120</v>
      </c>
      <c r="CK66" s="200">
        <f>IF($P66=CJ66,$M$8,0)</f>
        <v>0</v>
      </c>
      <c r="CL66" s="197" t="s">
        <v>123</v>
      </c>
      <c r="CM66" s="200">
        <f>IF($P66=CL66,$M$8,0)</f>
        <v>0</v>
      </c>
      <c r="CN66" t="s">
        <v>120</v>
      </c>
      <c r="CO66" s="200">
        <f>IF($P66=CN66,$M$8,0)</f>
        <v>0</v>
      </c>
      <c r="CP66" t="s">
        <v>123</v>
      </c>
      <c r="CQ66" s="200">
        <f>IF($P66=CP66,$M$8,0)</f>
        <v>0</v>
      </c>
      <c r="CR66" t="s">
        <v>123</v>
      </c>
      <c r="CS66" s="200">
        <f>IF($P66=CR66,$M$8,0)</f>
        <v>0</v>
      </c>
      <c r="CT66" s="197" t="s">
        <v>113</v>
      </c>
      <c r="CU66" s="200">
        <f>IF($P66=CT66,$M$8,0)</f>
        <v>0</v>
      </c>
      <c r="CV66" s="197" t="s">
        <v>123</v>
      </c>
      <c r="CW66" s="200">
        <f>IF($P66=CV66,$M$8,0)</f>
        <v>0</v>
      </c>
      <c r="CX66" s="197" t="s">
        <v>123</v>
      </c>
      <c r="CY66" s="200">
        <f>IF($P66=CX66,$M$8,0)</f>
        <v>0</v>
      </c>
      <c r="CZ66" s="197" t="s">
        <v>120</v>
      </c>
      <c r="DA66" s="200">
        <f>IF($P66=CZ66,$M$8,0)</f>
        <v>0</v>
      </c>
    </row>
    <row r="67" spans="15:105" x14ac:dyDescent="0.25">
      <c r="O67" s="10" t="s">
        <v>234</v>
      </c>
      <c r="P67" s="10"/>
      <c r="Q67" s="5"/>
      <c r="R67" s="97" t="s">
        <v>123</v>
      </c>
      <c r="S67" s="97">
        <f>IF($P67=R67,$M$9,0)</f>
        <v>0</v>
      </c>
      <c r="T67" s="97" t="s">
        <v>123</v>
      </c>
      <c r="U67" s="200">
        <f>IF($P67=T67,$M$9,0)</f>
        <v>0</v>
      </c>
      <c r="V67" s="97" t="s">
        <v>123</v>
      </c>
      <c r="W67" s="200">
        <f>IF($P67=V67,$M$9,0)</f>
        <v>0</v>
      </c>
      <c r="X67" s="97" t="s">
        <v>123</v>
      </c>
      <c r="Y67" s="200">
        <f>IF($P67=X67,$M$9,0)</f>
        <v>0</v>
      </c>
      <c r="Z67" s="97" t="s">
        <v>120</v>
      </c>
      <c r="AA67" s="200">
        <f>IF($P67=Z67,$M$9,0)</f>
        <v>0</v>
      </c>
      <c r="AB67" s="97" t="s">
        <v>120</v>
      </c>
      <c r="AC67" s="200">
        <f>IF($P67=AB67,$M$9,0)</f>
        <v>0</v>
      </c>
      <c r="AD67" t="s">
        <v>123</v>
      </c>
      <c r="AE67" s="200">
        <f>IF($P67=AD67,$M$9,0)</f>
        <v>0</v>
      </c>
      <c r="AF67" t="s">
        <v>113</v>
      </c>
      <c r="AG67" s="200">
        <f>IF($P67=AF67,$M$9,0)</f>
        <v>0</v>
      </c>
      <c r="AH67" t="s">
        <v>123</v>
      </c>
      <c r="AI67" s="200">
        <f>IF($P67=AH67,$M$9,0)</f>
        <v>0</v>
      </c>
      <c r="AJ67" t="s">
        <v>123</v>
      </c>
      <c r="AK67" s="200">
        <f>IF($P67=AJ67,$M$9,0)</f>
        <v>0</v>
      </c>
      <c r="AL67" t="s">
        <v>123</v>
      </c>
      <c r="AM67" s="200">
        <f>IF($P67=AL67,$M$9,0)</f>
        <v>0</v>
      </c>
      <c r="AN67" t="s">
        <v>120</v>
      </c>
      <c r="AO67" s="200">
        <f>IF($P67=AN67,$M$9,0)</f>
        <v>0</v>
      </c>
      <c r="AP67" t="s">
        <v>123</v>
      </c>
      <c r="AQ67" s="200">
        <f>IF($P67=AP67,$M$9,0)</f>
        <v>0</v>
      </c>
      <c r="AR67" t="s">
        <v>123</v>
      </c>
      <c r="AS67" s="200">
        <f>IF($P67=AR67,$M$9,0)</f>
        <v>0</v>
      </c>
      <c r="AT67" t="s">
        <v>123</v>
      </c>
      <c r="AU67" s="200">
        <f>IF($P67=AT67,$M$9,0)</f>
        <v>0</v>
      </c>
      <c r="AV67" t="s">
        <v>123</v>
      </c>
      <c r="AW67" s="200">
        <f>IF($P67=AV67,$M$9,0)</f>
        <v>0</v>
      </c>
      <c r="AX67" t="s">
        <v>120</v>
      </c>
      <c r="AY67" s="200">
        <f>IF($P67=AX67,$M$9,0)</f>
        <v>0</v>
      </c>
      <c r="AZ67" t="s">
        <v>123</v>
      </c>
      <c r="BA67" s="200">
        <f>IF($P67=AZ67,$M$9,0)</f>
        <v>0</v>
      </c>
      <c r="BB67" t="s">
        <v>120</v>
      </c>
      <c r="BC67" s="200">
        <f>IF($P67=BB67,$M$9,0)</f>
        <v>0</v>
      </c>
      <c r="BD67" t="s">
        <v>123</v>
      </c>
      <c r="BE67" s="200">
        <f>IF($P67=BD67,$M$9,0)</f>
        <v>0</v>
      </c>
      <c r="BF67" t="s">
        <v>123</v>
      </c>
      <c r="BG67" s="200">
        <f>IF($P67=BF67,$M$9,0)</f>
        <v>0</v>
      </c>
      <c r="BH67" t="s">
        <v>123</v>
      </c>
      <c r="BI67" s="200">
        <f>IF($P67=BH67,$M$9,0)</f>
        <v>0</v>
      </c>
      <c r="BJ67" t="s">
        <v>123</v>
      </c>
      <c r="BK67" s="200">
        <f>IF($P67=BJ67,$M$9,0)</f>
        <v>0</v>
      </c>
      <c r="BL67" t="s">
        <v>123</v>
      </c>
      <c r="BM67" s="200">
        <f>IF($P67=BL67,$M$9,0)</f>
        <v>0</v>
      </c>
      <c r="BN67" t="s">
        <v>123</v>
      </c>
      <c r="BO67" s="200">
        <f>IF($P67=BN67,$M$9,0)</f>
        <v>0</v>
      </c>
      <c r="BP67" t="s">
        <v>123</v>
      </c>
      <c r="BQ67" s="200">
        <f>IF($P67=BP67,$M$9,0)</f>
        <v>0</v>
      </c>
      <c r="BR67" t="s">
        <v>123</v>
      </c>
      <c r="BS67" s="200">
        <f>IF($P67=BR67,$M$9,0)</f>
        <v>0</v>
      </c>
      <c r="BT67" t="s">
        <v>123</v>
      </c>
      <c r="BU67" s="200">
        <f>IF($P67=BT67,$M$9,0)</f>
        <v>0</v>
      </c>
      <c r="BV67" t="s">
        <v>120</v>
      </c>
      <c r="BW67" s="200">
        <f>IF($P67=BV67,$M$9,0)</f>
        <v>0</v>
      </c>
      <c r="BX67" t="s">
        <v>123</v>
      </c>
      <c r="BY67" s="200">
        <f>IF($P67=BX67,$M$9,0)</f>
        <v>0</v>
      </c>
      <c r="BZ67" t="s">
        <v>120</v>
      </c>
      <c r="CA67" s="200">
        <f>IF($P67=BZ67,$M$9,0)</f>
        <v>0</v>
      </c>
      <c r="CB67" t="s">
        <v>123</v>
      </c>
      <c r="CC67" s="200">
        <f>IF($P67=CB67,$M$9,0)</f>
        <v>0</v>
      </c>
      <c r="CD67" t="s">
        <v>123</v>
      </c>
      <c r="CE67" s="200">
        <f>IF($P67=CD67,$M$9,0)</f>
        <v>0</v>
      </c>
      <c r="CF67" s="197" t="s">
        <v>123</v>
      </c>
      <c r="CG67" s="200">
        <f>IF($P67=CF67,$M$9,0)</f>
        <v>0</v>
      </c>
      <c r="CH67" t="s">
        <v>120</v>
      </c>
      <c r="CI67" s="200">
        <f>IF($P67=CH67,$M$9,0)</f>
        <v>0</v>
      </c>
      <c r="CJ67" t="s">
        <v>123</v>
      </c>
      <c r="CK67" s="200">
        <f>IF($P67=CJ67,$M$9,0)</f>
        <v>0</v>
      </c>
      <c r="CL67" s="197" t="s">
        <v>120</v>
      </c>
      <c r="CM67" s="200">
        <f>IF($P67=CL67,$M$9,0)</f>
        <v>0</v>
      </c>
      <c r="CN67" t="s">
        <v>123</v>
      </c>
      <c r="CO67" s="200">
        <f>IF($P67=CN67,$M$9,0)</f>
        <v>0</v>
      </c>
      <c r="CP67" t="s">
        <v>120</v>
      </c>
      <c r="CQ67" s="200">
        <f>IF($P67=CP67,$M$9,0)</f>
        <v>0</v>
      </c>
      <c r="CR67" t="s">
        <v>120</v>
      </c>
      <c r="CS67" s="200">
        <f>IF($P67=CR67,$M$9,0)</f>
        <v>0</v>
      </c>
      <c r="CT67" s="197" t="s">
        <v>123</v>
      </c>
      <c r="CU67" s="200">
        <f>IF($P67=CT67,$M$9,0)</f>
        <v>0</v>
      </c>
      <c r="CV67" s="197" t="s">
        <v>120</v>
      </c>
      <c r="CW67" s="200">
        <f>IF($P67=CV67,$M$9,0)</f>
        <v>0</v>
      </c>
      <c r="CX67" s="197" t="s">
        <v>120</v>
      </c>
      <c r="CY67" s="200">
        <f>IF($P67=CX67,$M$9,0)</f>
        <v>0</v>
      </c>
      <c r="CZ67" s="197" t="s">
        <v>123</v>
      </c>
      <c r="DA67" s="200">
        <f>IF($P67=CZ67,$M$9,0)</f>
        <v>0</v>
      </c>
    </row>
    <row r="68" spans="15:105" x14ac:dyDescent="0.25">
      <c r="U68" s="200"/>
      <c r="W68" s="200"/>
      <c r="Y68" s="200"/>
      <c r="AA68" s="200"/>
      <c r="AC68" s="200"/>
      <c r="AE68" s="200"/>
      <c r="AG68" s="200"/>
      <c r="AI68" s="200"/>
      <c r="AK68" s="200"/>
      <c r="AM68" s="200"/>
      <c r="AO68" s="200"/>
      <c r="AQ68" s="200"/>
      <c r="AS68" s="200"/>
      <c r="AU68" s="200"/>
      <c r="AW68" s="200"/>
      <c r="AY68" s="200"/>
      <c r="BA68" s="200"/>
      <c r="BC68" s="200"/>
      <c r="BE68" s="200"/>
      <c r="BG68" s="200"/>
      <c r="BI68" s="200"/>
      <c r="BK68" s="200"/>
      <c r="BM68" s="200"/>
      <c r="BO68" s="200"/>
      <c r="BQ68" s="200"/>
      <c r="BS68" s="200"/>
      <c r="BU68" s="200"/>
      <c r="BW68" s="200"/>
      <c r="BY68" s="200"/>
      <c r="CA68" s="200"/>
      <c r="CC68" s="200"/>
      <c r="CE68" s="200"/>
      <c r="CF68" s="197"/>
      <c r="CL68" s="197"/>
      <c r="CT68" s="197"/>
      <c r="CV68" s="197"/>
      <c r="CX68" s="197"/>
      <c r="CZ68" s="197"/>
    </row>
    <row r="69" spans="15:105" ht="21" x14ac:dyDescent="0.35">
      <c r="O69" s="96" t="s">
        <v>237</v>
      </c>
      <c r="U69" s="200"/>
      <c r="W69" s="200"/>
      <c r="Y69" s="200"/>
      <c r="AA69" s="200"/>
      <c r="AC69" s="200"/>
      <c r="AE69" s="200"/>
      <c r="AG69" s="200"/>
      <c r="AI69" s="200"/>
      <c r="AK69" s="200"/>
      <c r="AM69" s="200"/>
      <c r="AO69" s="200"/>
      <c r="AQ69" s="200"/>
      <c r="AS69" s="200"/>
      <c r="AU69" s="200"/>
      <c r="AW69" s="200"/>
      <c r="AY69" s="200"/>
      <c r="BA69" s="200"/>
      <c r="BC69" s="200"/>
      <c r="BE69" s="200"/>
      <c r="BG69" s="200"/>
      <c r="BI69" s="200"/>
      <c r="BK69" s="200"/>
      <c r="BM69" s="200"/>
      <c r="BO69" s="200"/>
      <c r="BQ69" s="200"/>
      <c r="BS69" s="200"/>
      <c r="BU69" s="200"/>
      <c r="BW69" s="200"/>
      <c r="BY69" s="200"/>
      <c r="CA69" s="200"/>
      <c r="CC69" s="200"/>
      <c r="CE69" s="200"/>
      <c r="CF69" s="197"/>
      <c r="CL69" s="197"/>
      <c r="CT69" s="197"/>
      <c r="CV69" s="197"/>
      <c r="CX69" s="197"/>
      <c r="CZ69" s="197"/>
    </row>
    <row r="70" spans="15:105" x14ac:dyDescent="0.25">
      <c r="O70" s="10" t="s">
        <v>235</v>
      </c>
      <c r="P70" s="10"/>
      <c r="Q70" s="5"/>
      <c r="R70" s="97" t="s">
        <v>112</v>
      </c>
      <c r="S70" s="97">
        <f>COUNTIF($P$70:$P$85,R70)*$M$10</f>
        <v>0</v>
      </c>
      <c r="T70" s="97" t="s">
        <v>112</v>
      </c>
      <c r="U70" s="200">
        <f>COUNTIF($P$70:$P$85,T70)*$M$10</f>
        <v>0</v>
      </c>
      <c r="V70" s="97" t="s">
        <v>112</v>
      </c>
      <c r="W70" s="200">
        <f>COUNTIF($P$70:$P$85,V70)*$M$10</f>
        <v>0</v>
      </c>
      <c r="X70" s="97" t="s">
        <v>118</v>
      </c>
      <c r="Y70" s="200">
        <f>COUNTIF($P$70:$P$85,X70)*$M$10</f>
        <v>0</v>
      </c>
      <c r="Z70" s="97" t="s">
        <v>112</v>
      </c>
      <c r="AA70" s="200">
        <f>COUNTIF($P$70:$P$85,Z70)*$M$10</f>
        <v>0</v>
      </c>
      <c r="AB70" s="97" t="s">
        <v>112</v>
      </c>
      <c r="AC70" s="200">
        <f>COUNTIF($P$70:$P$85,AB70)*$M$10</f>
        <v>0</v>
      </c>
      <c r="AD70" t="s">
        <v>112</v>
      </c>
      <c r="AE70" s="200">
        <f>COUNTIF($P$70:$P$85,AD70)*$M$10</f>
        <v>0</v>
      </c>
      <c r="AF70" t="s">
        <v>112</v>
      </c>
      <c r="AG70" s="200">
        <f>COUNTIF($P$70:$P$85,AF70)*$M$10</f>
        <v>0</v>
      </c>
      <c r="AH70" t="s">
        <v>112</v>
      </c>
      <c r="AI70" s="200">
        <f>COUNTIF($P$70:$P$85,AH70)*$M$10</f>
        <v>0</v>
      </c>
      <c r="AJ70" t="s">
        <v>112</v>
      </c>
      <c r="AK70" s="200">
        <f>COUNTIF($P$70:$P$85,AJ70)*$M$10</f>
        <v>0</v>
      </c>
      <c r="AL70" t="s">
        <v>125</v>
      </c>
      <c r="AM70" s="200">
        <f>COUNTIF($P$70:$P$85,AL70)*$M$10</f>
        <v>0</v>
      </c>
      <c r="AN70" t="s">
        <v>112</v>
      </c>
      <c r="AO70" s="200">
        <f>COUNTIF($P$70:$P$85,AN70)*$M$10</f>
        <v>0</v>
      </c>
      <c r="AP70" t="s">
        <v>112</v>
      </c>
      <c r="AQ70" s="200">
        <f>COUNTIF($P$70:$P$85,AP70)*$M$10</f>
        <v>0</v>
      </c>
      <c r="AR70" t="s">
        <v>112</v>
      </c>
      <c r="AS70" s="200">
        <f>COUNTIF($P$70:$P$85,AR70)*$M$10</f>
        <v>0</v>
      </c>
      <c r="AT70" t="s">
        <v>112</v>
      </c>
      <c r="AU70" s="200">
        <f>COUNTIF($P$70:$P$85,AT70)*$M$10</f>
        <v>0</v>
      </c>
      <c r="AV70" t="s">
        <v>112</v>
      </c>
      <c r="AW70" s="200">
        <f>COUNTIF($P$70:$P$85,AV70)*$M$10</f>
        <v>0</v>
      </c>
      <c r="AX70" t="s">
        <v>112</v>
      </c>
      <c r="AY70" s="200">
        <f>COUNTIF($P$70:$P$85,AX70)*$M$10</f>
        <v>0</v>
      </c>
      <c r="AZ70" t="s">
        <v>112</v>
      </c>
      <c r="BA70" s="200">
        <f>COUNTIF($P$70:$P$85,AZ70)*$M$10</f>
        <v>0</v>
      </c>
      <c r="BB70" t="s">
        <v>112</v>
      </c>
      <c r="BC70" s="200">
        <f>COUNTIF($P$70:$P$85,BB70)*$M$10</f>
        <v>0</v>
      </c>
      <c r="BD70" t="s">
        <v>118</v>
      </c>
      <c r="BE70" s="200">
        <f>COUNTIF($P$70:$P$85,BD70)*$M$10</f>
        <v>0</v>
      </c>
      <c r="BF70" t="s">
        <v>112</v>
      </c>
      <c r="BG70" s="200">
        <f>COUNTIF($P$70:$P$85,BF70)*$M$10</f>
        <v>0</v>
      </c>
      <c r="BH70" t="s">
        <v>112</v>
      </c>
      <c r="BI70" s="200">
        <f>COUNTIF($P$70:$P$85,BH70)*$M$10</f>
        <v>0</v>
      </c>
      <c r="BJ70" t="s">
        <v>112</v>
      </c>
      <c r="BK70" s="200">
        <f>COUNTIF($P$70:$P$85,BJ70)*$M$10</f>
        <v>0</v>
      </c>
      <c r="BL70" t="s">
        <v>112</v>
      </c>
      <c r="BM70" s="200">
        <f>COUNTIF($P$70:$P$85,BL70)*$M$10</f>
        <v>0</v>
      </c>
      <c r="BN70" t="s">
        <v>112</v>
      </c>
      <c r="BO70" s="200">
        <f>COUNTIF($P$70:$P$85,BN70)*$M$10</f>
        <v>0</v>
      </c>
      <c r="BP70" t="s">
        <v>112</v>
      </c>
      <c r="BQ70" s="200">
        <f>COUNTIF($P$70:$P$85,BP70)*$M$10</f>
        <v>0</v>
      </c>
      <c r="BR70" t="s">
        <v>112</v>
      </c>
      <c r="BS70" s="200">
        <f>COUNTIF($P$70:$P$85,BR70)*$M$10</f>
        <v>0</v>
      </c>
      <c r="BT70" t="s">
        <v>112</v>
      </c>
      <c r="BU70" s="200">
        <f>COUNTIF($P$70:$P$85,BT70)*$M$10</f>
        <v>0</v>
      </c>
      <c r="BV70" t="s">
        <v>112</v>
      </c>
      <c r="BW70" s="200">
        <f>COUNTIF($P$70:$P$85,BV70)*$M$10</f>
        <v>0</v>
      </c>
      <c r="BX70" t="s">
        <v>104</v>
      </c>
      <c r="BY70" s="200">
        <f>COUNTIF($P$70:$P$85,BX70)*$M$10</f>
        <v>0</v>
      </c>
      <c r="BZ70" t="s">
        <v>118</v>
      </c>
      <c r="CA70" s="200">
        <f>COUNTIF($P$70:$P$85,BZ70)*$M$10</f>
        <v>0</v>
      </c>
      <c r="CB70" t="s">
        <v>118</v>
      </c>
      <c r="CC70" s="200">
        <f>COUNTIF($P$70:$P$85,CB70)*$M$10</f>
        <v>0</v>
      </c>
      <c r="CD70" t="s">
        <v>112</v>
      </c>
      <c r="CE70" s="200">
        <f>COUNTIF($P$70:$P$85,CD70)*$M$10</f>
        <v>0</v>
      </c>
      <c r="CF70" s="197" t="s">
        <v>112</v>
      </c>
      <c r="CG70" s="200">
        <f>COUNTIF($P$70:$P$85,CF70)*$M$10</f>
        <v>0</v>
      </c>
      <c r="CH70" t="s">
        <v>112</v>
      </c>
      <c r="CI70" s="200">
        <f>COUNTIF($P$70:$P$85,CH70)*$M$10</f>
        <v>0</v>
      </c>
      <c r="CJ70" t="s">
        <v>112</v>
      </c>
      <c r="CK70" s="200">
        <f>COUNTIF($P$70:$P$85,CJ70)*$M$10</f>
        <v>0</v>
      </c>
      <c r="CL70" s="197" t="s">
        <v>112</v>
      </c>
      <c r="CM70" s="200">
        <f>COUNTIF($P$70:$P$85,CL70)*$M$10</f>
        <v>0</v>
      </c>
      <c r="CN70" t="s">
        <v>112</v>
      </c>
      <c r="CO70" s="200">
        <f>COUNTIF($P$70:$P$85,CN70)*$M$10</f>
        <v>0</v>
      </c>
      <c r="CP70" t="s">
        <v>118</v>
      </c>
      <c r="CQ70" s="200">
        <f>COUNTIF($P$70:$P$85,CP70)*$M$10</f>
        <v>0</v>
      </c>
      <c r="CR70" t="s">
        <v>118</v>
      </c>
      <c r="CS70" s="200">
        <f>COUNTIF($P$70:$P$85,CR70)*$M$10</f>
        <v>0</v>
      </c>
      <c r="CT70" s="197" t="s">
        <v>118</v>
      </c>
      <c r="CU70" s="200">
        <f>COUNTIF($P$70:$P$85,CT70)*$M$10</f>
        <v>0</v>
      </c>
      <c r="CV70" s="197" t="s">
        <v>118</v>
      </c>
      <c r="CW70" s="200">
        <f>COUNTIF($P$70:$P$85,CV70)*$M$10</f>
        <v>0</v>
      </c>
      <c r="CX70" s="197" t="s">
        <v>112</v>
      </c>
      <c r="CY70" s="200">
        <f>COUNTIF($P$70:$P$85,CX70)*$M$10</f>
        <v>0</v>
      </c>
      <c r="CZ70" s="197" t="s">
        <v>112</v>
      </c>
      <c r="DA70" s="200">
        <f>COUNTIF($P$70:$P$85,CZ70)*$M$10</f>
        <v>0</v>
      </c>
    </row>
    <row r="71" spans="15:105" x14ac:dyDescent="0.25">
      <c r="O71" s="10" t="s">
        <v>235</v>
      </c>
      <c r="P71" s="10"/>
      <c r="Q71" s="5"/>
      <c r="R71" s="97" t="s">
        <v>108</v>
      </c>
      <c r="S71" s="97">
        <f t="shared" ref="S71:AW85" si="1440">COUNTIF($P$70:$P$85,R71)*$M$10</f>
        <v>0</v>
      </c>
      <c r="T71" s="97" t="s">
        <v>108</v>
      </c>
      <c r="U71" s="200">
        <f t="shared" si="1440"/>
        <v>0</v>
      </c>
      <c r="V71" s="97" t="s">
        <v>108</v>
      </c>
      <c r="W71" s="200">
        <f t="shared" si="1440"/>
        <v>0</v>
      </c>
      <c r="X71" s="97" t="s">
        <v>111</v>
      </c>
      <c r="Y71" s="200">
        <f t="shared" si="1440"/>
        <v>0</v>
      </c>
      <c r="Z71" s="97" t="s">
        <v>124</v>
      </c>
      <c r="AA71" s="200">
        <f t="shared" si="1440"/>
        <v>0</v>
      </c>
      <c r="AB71" s="97" t="s">
        <v>108</v>
      </c>
      <c r="AC71" s="200">
        <f t="shared" si="1440"/>
        <v>0</v>
      </c>
      <c r="AD71" t="s">
        <v>108</v>
      </c>
      <c r="AE71" s="200">
        <f t="shared" si="1440"/>
        <v>0</v>
      </c>
      <c r="AF71" t="s">
        <v>108</v>
      </c>
      <c r="AG71" s="200">
        <f t="shared" si="1440"/>
        <v>0</v>
      </c>
      <c r="AH71" t="s">
        <v>108</v>
      </c>
      <c r="AI71" s="200">
        <f t="shared" si="1440"/>
        <v>0</v>
      </c>
      <c r="AJ71" t="s">
        <v>108</v>
      </c>
      <c r="AK71" s="200">
        <f t="shared" si="1440"/>
        <v>0</v>
      </c>
      <c r="AL71" t="s">
        <v>108</v>
      </c>
      <c r="AM71" s="200">
        <f t="shared" si="1440"/>
        <v>0</v>
      </c>
      <c r="AN71" t="s">
        <v>108</v>
      </c>
      <c r="AO71" s="200">
        <f t="shared" si="1440"/>
        <v>0</v>
      </c>
      <c r="AP71" t="s">
        <v>108</v>
      </c>
      <c r="AQ71" s="200">
        <f t="shared" si="1440"/>
        <v>0</v>
      </c>
      <c r="AR71" t="s">
        <v>108</v>
      </c>
      <c r="AS71" s="200">
        <f t="shared" si="1440"/>
        <v>0</v>
      </c>
      <c r="AT71" t="s">
        <v>108</v>
      </c>
      <c r="AU71" s="200">
        <f t="shared" si="1440"/>
        <v>0</v>
      </c>
      <c r="AV71" t="s">
        <v>108</v>
      </c>
      <c r="AW71" s="200">
        <f t="shared" si="1440"/>
        <v>0</v>
      </c>
      <c r="AX71" t="s">
        <v>108</v>
      </c>
      <c r="AY71" s="200">
        <f t="shared" ref="AY71:AY85" si="1441">COUNTIF($P$70:$P$85,AX71)*$M$10</f>
        <v>0</v>
      </c>
      <c r="AZ71" t="s">
        <v>108</v>
      </c>
      <c r="BA71" s="200">
        <f t="shared" ref="BA71:BA85" si="1442">COUNTIF($P$70:$P$85,AZ71)*$M$10</f>
        <v>0</v>
      </c>
      <c r="BB71" t="s">
        <v>108</v>
      </c>
      <c r="BC71" s="200">
        <f t="shared" ref="BC71:BC85" si="1443">COUNTIF($P$70:$P$85,BB71)*$M$10</f>
        <v>0</v>
      </c>
      <c r="BD71" t="s">
        <v>124</v>
      </c>
      <c r="BE71" s="200">
        <f t="shared" ref="BE71:BE85" si="1444">COUNTIF($P$70:$P$85,BD71)*$M$10</f>
        <v>0</v>
      </c>
      <c r="BF71" t="s">
        <v>108</v>
      </c>
      <c r="BG71" s="200">
        <f t="shared" ref="BG71:BG85" si="1445">COUNTIF($P$70:$P$85,BF71)*$M$10</f>
        <v>0</v>
      </c>
      <c r="BH71" t="s">
        <v>108</v>
      </c>
      <c r="BI71" s="200">
        <f t="shared" ref="BI71:BI85" si="1446">COUNTIF($P$70:$P$85,BH71)*$M$10</f>
        <v>0</v>
      </c>
      <c r="BJ71" t="s">
        <v>108</v>
      </c>
      <c r="BK71" s="200">
        <f t="shared" ref="BK71:BK85" si="1447">COUNTIF($P$70:$P$85,BJ71)*$M$10</f>
        <v>0</v>
      </c>
      <c r="BL71" t="s">
        <v>108</v>
      </c>
      <c r="BM71" s="200">
        <f t="shared" ref="BM71:BM85" si="1448">COUNTIF($P$70:$P$85,BL71)*$M$10</f>
        <v>0</v>
      </c>
      <c r="BN71" t="s">
        <v>108</v>
      </c>
      <c r="BO71" s="200">
        <f t="shared" ref="BO71:BO85" si="1449">COUNTIF($P$70:$P$85,BN71)*$M$10</f>
        <v>0</v>
      </c>
      <c r="BP71" t="s">
        <v>108</v>
      </c>
      <c r="BQ71" s="200">
        <f t="shared" ref="BQ71:BQ85" si="1450">COUNTIF($P$70:$P$85,BP71)*$M$10</f>
        <v>0</v>
      </c>
      <c r="BR71" t="s">
        <v>108</v>
      </c>
      <c r="BS71" s="200">
        <f t="shared" ref="BS71:BS85" si="1451">COUNTIF($P$70:$P$85,BR71)*$M$10</f>
        <v>0</v>
      </c>
      <c r="BT71" t="s">
        <v>108</v>
      </c>
      <c r="BU71" s="200">
        <f t="shared" ref="BU71:BU85" si="1452">COUNTIF($P$70:$P$85,BT71)*$M$10</f>
        <v>0</v>
      </c>
      <c r="BV71" t="s">
        <v>108</v>
      </c>
      <c r="BW71" s="200">
        <f t="shared" ref="BW71:BW85" si="1453">COUNTIF($P$70:$P$85,BV71)*$M$10</f>
        <v>0</v>
      </c>
      <c r="BX71" t="s">
        <v>108</v>
      </c>
      <c r="BY71" s="200">
        <f t="shared" ref="BY71:BY85" si="1454">COUNTIF($P$70:$P$85,BX71)*$M$10</f>
        <v>0</v>
      </c>
      <c r="BZ71" t="s">
        <v>108</v>
      </c>
      <c r="CA71" s="200">
        <f t="shared" ref="CA71:CA85" si="1455">COUNTIF($P$70:$P$85,BZ71)*$M$10</f>
        <v>0</v>
      </c>
      <c r="CB71" t="s">
        <v>108</v>
      </c>
      <c r="CC71" s="200">
        <f t="shared" ref="CC71:CC85" si="1456">COUNTIF($P$70:$P$85,CB71)*$M$10</f>
        <v>0</v>
      </c>
      <c r="CD71" t="s">
        <v>108</v>
      </c>
      <c r="CE71" s="200">
        <f t="shared" ref="CE71:CE85" si="1457">COUNTIF($P$70:$P$85,CD71)*$M$10</f>
        <v>0</v>
      </c>
      <c r="CF71" s="197" t="s">
        <v>108</v>
      </c>
      <c r="CG71" s="200">
        <f t="shared" ref="CG71:CG85" si="1458">COUNTIF($P$70:$P$85,CF71)*$M$10</f>
        <v>0</v>
      </c>
      <c r="CH71" t="s">
        <v>108</v>
      </c>
      <c r="CI71" s="200">
        <f t="shared" ref="CI71:CI85" si="1459">COUNTIF($P$70:$P$85,CH71)*$M$10</f>
        <v>0</v>
      </c>
      <c r="CJ71" t="s">
        <v>108</v>
      </c>
      <c r="CK71" s="200">
        <f t="shared" ref="CK71:CK85" si="1460">COUNTIF($P$70:$P$85,CJ71)*$M$10</f>
        <v>0</v>
      </c>
      <c r="CL71" s="197" t="s">
        <v>108</v>
      </c>
      <c r="CM71" s="200">
        <f t="shared" ref="CM71:CM85" si="1461">COUNTIF($P$70:$P$85,CL71)*$M$10</f>
        <v>0</v>
      </c>
      <c r="CN71" t="s">
        <v>108</v>
      </c>
      <c r="CO71" s="200">
        <f t="shared" ref="CO71:CO85" si="1462">COUNTIF($P$70:$P$85,CN71)*$M$10</f>
        <v>0</v>
      </c>
      <c r="CP71" t="s">
        <v>108</v>
      </c>
      <c r="CQ71" s="200">
        <f t="shared" ref="CQ71:CQ85" si="1463">COUNTIF($P$70:$P$85,CP71)*$M$10</f>
        <v>0</v>
      </c>
      <c r="CR71" t="s">
        <v>108</v>
      </c>
      <c r="CS71" s="200">
        <f t="shared" ref="CS71:CS85" si="1464">COUNTIF($P$70:$P$85,CR71)*$M$10</f>
        <v>0</v>
      </c>
      <c r="CT71" s="197" t="s">
        <v>111</v>
      </c>
      <c r="CU71" s="200">
        <f t="shared" ref="CU71:CU85" si="1465">COUNTIF($P$70:$P$85,CT71)*$M$10</f>
        <v>0</v>
      </c>
      <c r="CV71" s="197" t="s">
        <v>108</v>
      </c>
      <c r="CW71" s="200">
        <f t="shared" ref="CW71:CW85" si="1466">COUNTIF($P$70:$P$85,CV71)*$M$10</f>
        <v>0</v>
      </c>
      <c r="CX71" s="197" t="s">
        <v>108</v>
      </c>
      <c r="CY71" s="200">
        <f t="shared" ref="CY71:CY85" si="1467">COUNTIF($P$70:$P$85,CX71)*$M$10</f>
        <v>0</v>
      </c>
      <c r="CZ71" s="197" t="s">
        <v>108</v>
      </c>
      <c r="DA71" s="200">
        <f t="shared" ref="DA71:DA85" si="1468">COUNTIF($P$70:$P$85,CZ71)*$M$10</f>
        <v>0</v>
      </c>
    </row>
    <row r="72" spans="15:105" x14ac:dyDescent="0.25">
      <c r="O72" s="10" t="s">
        <v>235</v>
      </c>
      <c r="P72" s="10"/>
      <c r="Q72" s="5"/>
      <c r="R72" s="97" t="s">
        <v>106</v>
      </c>
      <c r="S72" s="97">
        <f t="shared" si="1440"/>
        <v>0</v>
      </c>
      <c r="T72" s="97" t="s">
        <v>106</v>
      </c>
      <c r="U72" s="200">
        <f t="shared" si="1440"/>
        <v>0</v>
      </c>
      <c r="V72" s="97" t="s">
        <v>106</v>
      </c>
      <c r="W72" s="200">
        <f t="shared" si="1440"/>
        <v>0</v>
      </c>
      <c r="X72" s="97" t="s">
        <v>106</v>
      </c>
      <c r="Y72" s="200">
        <f t="shared" si="1440"/>
        <v>0</v>
      </c>
      <c r="Z72" s="97" t="s">
        <v>106</v>
      </c>
      <c r="AA72" s="200">
        <f t="shared" si="1440"/>
        <v>0</v>
      </c>
      <c r="AB72" s="97" t="s">
        <v>106</v>
      </c>
      <c r="AC72" s="200">
        <f t="shared" si="1440"/>
        <v>0</v>
      </c>
      <c r="AD72" t="s">
        <v>106</v>
      </c>
      <c r="AE72" s="200">
        <f t="shared" si="1440"/>
        <v>0</v>
      </c>
      <c r="AF72" t="s">
        <v>106</v>
      </c>
      <c r="AG72" s="200">
        <f t="shared" si="1440"/>
        <v>0</v>
      </c>
      <c r="AH72" t="s">
        <v>106</v>
      </c>
      <c r="AI72" s="200">
        <f t="shared" si="1440"/>
        <v>0</v>
      </c>
      <c r="AJ72" t="s">
        <v>106</v>
      </c>
      <c r="AK72" s="200">
        <f t="shared" si="1440"/>
        <v>0</v>
      </c>
      <c r="AL72" t="s">
        <v>106</v>
      </c>
      <c r="AM72" s="200">
        <f t="shared" si="1440"/>
        <v>0</v>
      </c>
      <c r="AN72" t="s">
        <v>114</v>
      </c>
      <c r="AO72" s="200">
        <f t="shared" si="1440"/>
        <v>0</v>
      </c>
      <c r="AP72" t="s">
        <v>106</v>
      </c>
      <c r="AQ72" s="200">
        <f t="shared" si="1440"/>
        <v>0</v>
      </c>
      <c r="AR72" t="s">
        <v>106</v>
      </c>
      <c r="AS72" s="200">
        <f t="shared" si="1440"/>
        <v>0</v>
      </c>
      <c r="AT72" t="s">
        <v>142</v>
      </c>
      <c r="AU72" s="200">
        <f t="shared" si="1440"/>
        <v>0</v>
      </c>
      <c r="AV72" t="s">
        <v>114</v>
      </c>
      <c r="AW72" s="200">
        <f t="shared" si="1440"/>
        <v>0</v>
      </c>
      <c r="AX72" t="s">
        <v>106</v>
      </c>
      <c r="AY72" s="200">
        <f t="shared" si="1441"/>
        <v>0</v>
      </c>
      <c r="AZ72" t="s">
        <v>114</v>
      </c>
      <c r="BA72" s="200">
        <f t="shared" si="1442"/>
        <v>0</v>
      </c>
      <c r="BB72" t="s">
        <v>114</v>
      </c>
      <c r="BC72" s="200">
        <f t="shared" si="1443"/>
        <v>0</v>
      </c>
      <c r="BD72" t="s">
        <v>106</v>
      </c>
      <c r="BE72" s="200">
        <f t="shared" si="1444"/>
        <v>0</v>
      </c>
      <c r="BF72" t="s">
        <v>106</v>
      </c>
      <c r="BG72" s="200">
        <f t="shared" si="1445"/>
        <v>0</v>
      </c>
      <c r="BH72" t="s">
        <v>114</v>
      </c>
      <c r="BI72" s="200">
        <f t="shared" si="1446"/>
        <v>0</v>
      </c>
      <c r="BJ72" t="s">
        <v>106</v>
      </c>
      <c r="BK72" s="200">
        <f t="shared" si="1447"/>
        <v>0</v>
      </c>
      <c r="BL72" t="s">
        <v>106</v>
      </c>
      <c r="BM72" s="200">
        <f t="shared" si="1448"/>
        <v>0</v>
      </c>
      <c r="BN72" t="s">
        <v>106</v>
      </c>
      <c r="BO72" s="200">
        <f t="shared" si="1449"/>
        <v>0</v>
      </c>
      <c r="BP72" t="s">
        <v>106</v>
      </c>
      <c r="BQ72" s="200">
        <f t="shared" si="1450"/>
        <v>0</v>
      </c>
      <c r="BR72" t="s">
        <v>106</v>
      </c>
      <c r="BS72" s="200">
        <f t="shared" si="1451"/>
        <v>0</v>
      </c>
      <c r="BT72" t="s">
        <v>106</v>
      </c>
      <c r="BU72" s="200">
        <f t="shared" si="1452"/>
        <v>0</v>
      </c>
      <c r="BV72" t="s">
        <v>106</v>
      </c>
      <c r="BW72" s="200">
        <f t="shared" si="1453"/>
        <v>0</v>
      </c>
      <c r="BX72" t="s">
        <v>106</v>
      </c>
      <c r="BY72" s="200">
        <f t="shared" si="1454"/>
        <v>0</v>
      </c>
      <c r="BZ72" t="s">
        <v>106</v>
      </c>
      <c r="CA72" s="200">
        <f t="shared" si="1455"/>
        <v>0</v>
      </c>
      <c r="CB72" t="s">
        <v>106</v>
      </c>
      <c r="CC72" s="200">
        <f t="shared" si="1456"/>
        <v>0</v>
      </c>
      <c r="CD72" t="s">
        <v>114</v>
      </c>
      <c r="CE72" s="200">
        <f t="shared" si="1457"/>
        <v>0</v>
      </c>
      <c r="CF72" s="197" t="s">
        <v>106</v>
      </c>
      <c r="CG72" s="200">
        <f t="shared" si="1458"/>
        <v>0</v>
      </c>
      <c r="CH72" t="s">
        <v>114</v>
      </c>
      <c r="CI72" s="200">
        <f t="shared" si="1459"/>
        <v>0</v>
      </c>
      <c r="CJ72" t="s">
        <v>106</v>
      </c>
      <c r="CK72" s="200">
        <f t="shared" si="1460"/>
        <v>0</v>
      </c>
      <c r="CL72" s="197" t="s">
        <v>106</v>
      </c>
      <c r="CM72" s="200">
        <f t="shared" si="1461"/>
        <v>0</v>
      </c>
      <c r="CN72" t="s">
        <v>106</v>
      </c>
      <c r="CO72" s="200">
        <f t="shared" si="1462"/>
        <v>0</v>
      </c>
      <c r="CP72" t="s">
        <v>106</v>
      </c>
      <c r="CQ72" s="200">
        <f t="shared" si="1463"/>
        <v>0</v>
      </c>
      <c r="CR72" t="s">
        <v>142</v>
      </c>
      <c r="CS72" s="200">
        <f t="shared" si="1464"/>
        <v>0</v>
      </c>
      <c r="CT72" s="197" t="s">
        <v>114</v>
      </c>
      <c r="CU72" s="200">
        <f t="shared" si="1465"/>
        <v>0</v>
      </c>
      <c r="CV72" s="197" t="s">
        <v>106</v>
      </c>
      <c r="CW72" s="200">
        <f t="shared" si="1466"/>
        <v>0</v>
      </c>
      <c r="CX72" s="197" t="s">
        <v>106</v>
      </c>
      <c r="CY72" s="200">
        <f t="shared" si="1467"/>
        <v>0</v>
      </c>
      <c r="CZ72" s="197" t="s">
        <v>106</v>
      </c>
      <c r="DA72" s="200">
        <f t="shared" si="1468"/>
        <v>0</v>
      </c>
    </row>
    <row r="73" spans="15:105" x14ac:dyDescent="0.25">
      <c r="O73" s="10" t="s">
        <v>235</v>
      </c>
      <c r="P73" s="10"/>
      <c r="Q73" s="5"/>
      <c r="R73" s="97" t="s">
        <v>104</v>
      </c>
      <c r="S73" s="97">
        <f t="shared" si="1440"/>
        <v>0</v>
      </c>
      <c r="T73" s="97" t="s">
        <v>104</v>
      </c>
      <c r="U73" s="200">
        <f t="shared" si="1440"/>
        <v>0</v>
      </c>
      <c r="V73" s="97" t="s">
        <v>104</v>
      </c>
      <c r="W73" s="200">
        <f t="shared" si="1440"/>
        <v>0</v>
      </c>
      <c r="X73" s="97" t="s">
        <v>104</v>
      </c>
      <c r="Y73" s="200">
        <f t="shared" si="1440"/>
        <v>0</v>
      </c>
      <c r="Z73" s="97" t="s">
        <v>104</v>
      </c>
      <c r="AA73" s="200">
        <f t="shared" si="1440"/>
        <v>0</v>
      </c>
      <c r="AB73" s="97" t="s">
        <v>104</v>
      </c>
      <c r="AC73" s="200">
        <f t="shared" si="1440"/>
        <v>0</v>
      </c>
      <c r="AD73" t="s">
        <v>104</v>
      </c>
      <c r="AE73" s="200">
        <f t="shared" si="1440"/>
        <v>0</v>
      </c>
      <c r="AF73" t="s">
        <v>104</v>
      </c>
      <c r="AG73" s="200">
        <f t="shared" si="1440"/>
        <v>0</v>
      </c>
      <c r="AH73" t="s">
        <v>104</v>
      </c>
      <c r="AI73" s="200">
        <f t="shared" si="1440"/>
        <v>0</v>
      </c>
      <c r="AJ73" t="s">
        <v>104</v>
      </c>
      <c r="AK73" s="200">
        <f t="shared" si="1440"/>
        <v>0</v>
      </c>
      <c r="AL73" t="s">
        <v>104</v>
      </c>
      <c r="AM73" s="200">
        <f t="shared" si="1440"/>
        <v>0</v>
      </c>
      <c r="AN73" t="s">
        <v>104</v>
      </c>
      <c r="AO73" s="200">
        <f t="shared" si="1440"/>
        <v>0</v>
      </c>
      <c r="AP73" t="s">
        <v>104</v>
      </c>
      <c r="AQ73" s="200">
        <f t="shared" si="1440"/>
        <v>0</v>
      </c>
      <c r="AR73" t="s">
        <v>104</v>
      </c>
      <c r="AS73" s="200">
        <f t="shared" si="1440"/>
        <v>0</v>
      </c>
      <c r="AT73" t="s">
        <v>104</v>
      </c>
      <c r="AU73" s="200">
        <f t="shared" si="1440"/>
        <v>0</v>
      </c>
      <c r="AV73" t="s">
        <v>104</v>
      </c>
      <c r="AW73" s="200">
        <f t="shared" si="1440"/>
        <v>0</v>
      </c>
      <c r="AX73" t="s">
        <v>104</v>
      </c>
      <c r="AY73" s="200">
        <f t="shared" si="1441"/>
        <v>0</v>
      </c>
      <c r="AZ73" t="s">
        <v>104</v>
      </c>
      <c r="BA73" s="200">
        <f t="shared" si="1442"/>
        <v>0</v>
      </c>
      <c r="BB73" t="s">
        <v>104</v>
      </c>
      <c r="BC73" s="200">
        <f t="shared" si="1443"/>
        <v>0</v>
      </c>
      <c r="BD73" t="s">
        <v>104</v>
      </c>
      <c r="BE73" s="200">
        <f t="shared" si="1444"/>
        <v>0</v>
      </c>
      <c r="BF73" t="s">
        <v>104</v>
      </c>
      <c r="BG73" s="200">
        <f t="shared" si="1445"/>
        <v>0</v>
      </c>
      <c r="BH73" t="s">
        <v>104</v>
      </c>
      <c r="BI73" s="200">
        <f t="shared" si="1446"/>
        <v>0</v>
      </c>
      <c r="BJ73" t="s">
        <v>104</v>
      </c>
      <c r="BK73" s="200">
        <f t="shared" si="1447"/>
        <v>0</v>
      </c>
      <c r="BL73" t="s">
        <v>104</v>
      </c>
      <c r="BM73" s="200">
        <f t="shared" si="1448"/>
        <v>0</v>
      </c>
      <c r="BN73" t="s">
        <v>104</v>
      </c>
      <c r="BO73" s="200">
        <f t="shared" si="1449"/>
        <v>0</v>
      </c>
      <c r="BP73" t="s">
        <v>104</v>
      </c>
      <c r="BQ73" s="200">
        <f t="shared" si="1450"/>
        <v>0</v>
      </c>
      <c r="BR73" t="s">
        <v>104</v>
      </c>
      <c r="BS73" s="200">
        <f t="shared" si="1451"/>
        <v>0</v>
      </c>
      <c r="BT73" t="s">
        <v>104</v>
      </c>
      <c r="BU73" s="200">
        <f t="shared" si="1452"/>
        <v>0</v>
      </c>
      <c r="BV73" t="s">
        <v>104</v>
      </c>
      <c r="BW73" s="200">
        <f t="shared" si="1453"/>
        <v>0</v>
      </c>
      <c r="BX73" t="s">
        <v>112</v>
      </c>
      <c r="BY73" s="200">
        <f t="shared" si="1454"/>
        <v>0</v>
      </c>
      <c r="BZ73" t="s">
        <v>104</v>
      </c>
      <c r="CA73" s="200">
        <f t="shared" si="1455"/>
        <v>0</v>
      </c>
      <c r="CB73" t="s">
        <v>104</v>
      </c>
      <c r="CC73" s="200">
        <f t="shared" si="1456"/>
        <v>0</v>
      </c>
      <c r="CD73" t="s">
        <v>104</v>
      </c>
      <c r="CE73" s="200">
        <f t="shared" si="1457"/>
        <v>0</v>
      </c>
      <c r="CF73" s="197" t="s">
        <v>104</v>
      </c>
      <c r="CG73" s="200">
        <f t="shared" si="1458"/>
        <v>0</v>
      </c>
      <c r="CH73" t="s">
        <v>104</v>
      </c>
      <c r="CI73" s="200">
        <f t="shared" si="1459"/>
        <v>0</v>
      </c>
      <c r="CJ73" t="s">
        <v>104</v>
      </c>
      <c r="CK73" s="200">
        <f t="shared" si="1460"/>
        <v>0</v>
      </c>
      <c r="CL73" s="197" t="s">
        <v>104</v>
      </c>
      <c r="CM73" s="200">
        <f t="shared" si="1461"/>
        <v>0</v>
      </c>
      <c r="CN73" t="s">
        <v>104</v>
      </c>
      <c r="CO73" s="200">
        <f t="shared" si="1462"/>
        <v>0</v>
      </c>
      <c r="CP73" t="s">
        <v>104</v>
      </c>
      <c r="CQ73" s="200">
        <f t="shared" si="1463"/>
        <v>0</v>
      </c>
      <c r="CR73" t="s">
        <v>104</v>
      </c>
      <c r="CS73" s="200">
        <f t="shared" si="1464"/>
        <v>0</v>
      </c>
      <c r="CT73" s="197" t="s">
        <v>104</v>
      </c>
      <c r="CU73" s="200">
        <f t="shared" si="1465"/>
        <v>0</v>
      </c>
      <c r="CV73" s="197" t="s">
        <v>104</v>
      </c>
      <c r="CW73" s="200">
        <f t="shared" si="1466"/>
        <v>0</v>
      </c>
      <c r="CX73" s="197" t="s">
        <v>104</v>
      </c>
      <c r="CY73" s="200">
        <f t="shared" si="1467"/>
        <v>0</v>
      </c>
      <c r="CZ73" s="197" t="s">
        <v>104</v>
      </c>
      <c r="DA73" s="200">
        <f t="shared" si="1468"/>
        <v>0</v>
      </c>
    </row>
    <row r="74" spans="15:105" x14ac:dyDescent="0.25">
      <c r="O74" s="10" t="s">
        <v>235</v>
      </c>
      <c r="P74" s="10"/>
      <c r="Q74" s="5"/>
      <c r="R74" s="97" t="s">
        <v>107</v>
      </c>
      <c r="S74" s="97">
        <f t="shared" si="1440"/>
        <v>0</v>
      </c>
      <c r="T74" s="97" t="s">
        <v>107</v>
      </c>
      <c r="U74" s="200">
        <f t="shared" si="1440"/>
        <v>0</v>
      </c>
      <c r="V74" s="97" t="s">
        <v>107</v>
      </c>
      <c r="W74" s="200">
        <f t="shared" si="1440"/>
        <v>0</v>
      </c>
      <c r="X74" s="97" t="s">
        <v>107</v>
      </c>
      <c r="Y74" s="200">
        <f t="shared" si="1440"/>
        <v>0</v>
      </c>
      <c r="Z74" s="97" t="s">
        <v>107</v>
      </c>
      <c r="AA74" s="200">
        <f t="shared" si="1440"/>
        <v>0</v>
      </c>
      <c r="AB74" s="97" t="s">
        <v>107</v>
      </c>
      <c r="AC74" s="200">
        <f t="shared" si="1440"/>
        <v>0</v>
      </c>
      <c r="AD74" t="s">
        <v>107</v>
      </c>
      <c r="AE74" s="200">
        <f t="shared" si="1440"/>
        <v>0</v>
      </c>
      <c r="AF74" t="s">
        <v>107</v>
      </c>
      <c r="AG74" s="200">
        <f t="shared" si="1440"/>
        <v>0</v>
      </c>
      <c r="AH74" t="s">
        <v>107</v>
      </c>
      <c r="AI74" s="200">
        <f t="shared" si="1440"/>
        <v>0</v>
      </c>
      <c r="AJ74" t="s">
        <v>107</v>
      </c>
      <c r="AK74" s="200">
        <f t="shared" si="1440"/>
        <v>0</v>
      </c>
      <c r="AL74" t="s">
        <v>107</v>
      </c>
      <c r="AM74" s="200">
        <f t="shared" si="1440"/>
        <v>0</v>
      </c>
      <c r="AN74" t="s">
        <v>107</v>
      </c>
      <c r="AO74" s="200">
        <f t="shared" si="1440"/>
        <v>0</v>
      </c>
      <c r="AP74" t="s">
        <v>107</v>
      </c>
      <c r="AQ74" s="200">
        <f t="shared" si="1440"/>
        <v>0</v>
      </c>
      <c r="AR74" t="s">
        <v>107</v>
      </c>
      <c r="AS74" s="200">
        <f t="shared" si="1440"/>
        <v>0</v>
      </c>
      <c r="AT74" t="s">
        <v>107</v>
      </c>
      <c r="AU74" s="200">
        <f t="shared" si="1440"/>
        <v>0</v>
      </c>
      <c r="AV74" t="s">
        <v>107</v>
      </c>
      <c r="AW74" s="200">
        <f t="shared" si="1440"/>
        <v>0</v>
      </c>
      <c r="AX74" t="s">
        <v>107</v>
      </c>
      <c r="AY74" s="200">
        <f t="shared" si="1441"/>
        <v>0</v>
      </c>
      <c r="AZ74" t="s">
        <v>107</v>
      </c>
      <c r="BA74" s="200">
        <f t="shared" si="1442"/>
        <v>0</v>
      </c>
      <c r="BB74" t="s">
        <v>107</v>
      </c>
      <c r="BC74" s="200">
        <f t="shared" si="1443"/>
        <v>0</v>
      </c>
      <c r="BD74" t="s">
        <v>107</v>
      </c>
      <c r="BE74" s="200">
        <f t="shared" si="1444"/>
        <v>0</v>
      </c>
      <c r="BF74" t="s">
        <v>107</v>
      </c>
      <c r="BG74" s="200">
        <f t="shared" si="1445"/>
        <v>0</v>
      </c>
      <c r="BH74" t="s">
        <v>107</v>
      </c>
      <c r="BI74" s="200">
        <f t="shared" si="1446"/>
        <v>0</v>
      </c>
      <c r="BJ74" t="s">
        <v>107</v>
      </c>
      <c r="BK74" s="200">
        <f t="shared" si="1447"/>
        <v>0</v>
      </c>
      <c r="BL74" t="s">
        <v>107</v>
      </c>
      <c r="BM74" s="200">
        <f t="shared" si="1448"/>
        <v>0</v>
      </c>
      <c r="BN74" t="s">
        <v>107</v>
      </c>
      <c r="BO74" s="200">
        <f t="shared" si="1449"/>
        <v>0</v>
      </c>
      <c r="BP74" t="s">
        <v>107</v>
      </c>
      <c r="BQ74" s="200">
        <f t="shared" si="1450"/>
        <v>0</v>
      </c>
      <c r="BR74" t="s">
        <v>107</v>
      </c>
      <c r="BS74" s="200">
        <f t="shared" si="1451"/>
        <v>0</v>
      </c>
      <c r="BT74" t="s">
        <v>107</v>
      </c>
      <c r="BU74" s="200">
        <f t="shared" si="1452"/>
        <v>0</v>
      </c>
      <c r="BV74" t="s">
        <v>107</v>
      </c>
      <c r="BW74" s="200">
        <f t="shared" si="1453"/>
        <v>0</v>
      </c>
      <c r="BX74" t="s">
        <v>107</v>
      </c>
      <c r="BY74" s="200">
        <f t="shared" si="1454"/>
        <v>0</v>
      </c>
      <c r="BZ74" t="s">
        <v>107</v>
      </c>
      <c r="CA74" s="200">
        <f t="shared" si="1455"/>
        <v>0</v>
      </c>
      <c r="CB74" t="s">
        <v>107</v>
      </c>
      <c r="CC74" s="200">
        <f t="shared" si="1456"/>
        <v>0</v>
      </c>
      <c r="CD74" t="s">
        <v>107</v>
      </c>
      <c r="CE74" s="200">
        <f t="shared" si="1457"/>
        <v>0</v>
      </c>
      <c r="CF74" s="197" t="s">
        <v>107</v>
      </c>
      <c r="CG74" s="200">
        <f t="shared" si="1458"/>
        <v>0</v>
      </c>
      <c r="CH74" t="s">
        <v>107</v>
      </c>
      <c r="CI74" s="200">
        <f t="shared" si="1459"/>
        <v>0</v>
      </c>
      <c r="CJ74" t="s">
        <v>107</v>
      </c>
      <c r="CK74" s="200">
        <f t="shared" si="1460"/>
        <v>0</v>
      </c>
      <c r="CL74" s="197" t="s">
        <v>107</v>
      </c>
      <c r="CM74" s="200">
        <f t="shared" si="1461"/>
        <v>0</v>
      </c>
      <c r="CN74" t="s">
        <v>117</v>
      </c>
      <c r="CO74" s="200">
        <f t="shared" si="1462"/>
        <v>0</v>
      </c>
      <c r="CP74" t="s">
        <v>107</v>
      </c>
      <c r="CQ74" s="200">
        <f t="shared" si="1463"/>
        <v>0</v>
      </c>
      <c r="CR74" t="s">
        <v>107</v>
      </c>
      <c r="CS74" s="200">
        <f t="shared" si="1464"/>
        <v>0</v>
      </c>
      <c r="CT74" s="197" t="s">
        <v>107</v>
      </c>
      <c r="CU74" s="200">
        <f t="shared" si="1465"/>
        <v>0</v>
      </c>
      <c r="CV74" s="197" t="s">
        <v>107</v>
      </c>
      <c r="CW74" s="200">
        <f t="shared" si="1466"/>
        <v>0</v>
      </c>
      <c r="CX74" s="197" t="s">
        <v>107</v>
      </c>
      <c r="CY74" s="200">
        <f t="shared" si="1467"/>
        <v>0</v>
      </c>
      <c r="CZ74" s="197" t="s">
        <v>107</v>
      </c>
      <c r="DA74" s="200">
        <f t="shared" si="1468"/>
        <v>0</v>
      </c>
    </row>
    <row r="75" spans="15:105" x14ac:dyDescent="0.25">
      <c r="O75" s="10" t="s">
        <v>235</v>
      </c>
      <c r="P75" s="10"/>
      <c r="Q75" s="5"/>
      <c r="R75" s="97" t="s">
        <v>109</v>
      </c>
      <c r="S75" s="97">
        <f t="shared" si="1440"/>
        <v>0</v>
      </c>
      <c r="T75" s="97" t="s">
        <v>109</v>
      </c>
      <c r="U75" s="200">
        <f t="shared" si="1440"/>
        <v>0</v>
      </c>
      <c r="V75" s="97" t="s">
        <v>109</v>
      </c>
      <c r="W75" s="200">
        <f t="shared" si="1440"/>
        <v>0</v>
      </c>
      <c r="X75" s="97" t="s">
        <v>109</v>
      </c>
      <c r="Y75" s="200">
        <f t="shared" si="1440"/>
        <v>0</v>
      </c>
      <c r="Z75" s="97" t="s">
        <v>109</v>
      </c>
      <c r="AA75" s="200">
        <f t="shared" si="1440"/>
        <v>0</v>
      </c>
      <c r="AB75" s="97" t="s">
        <v>109</v>
      </c>
      <c r="AC75" s="200">
        <f t="shared" si="1440"/>
        <v>0</v>
      </c>
      <c r="AD75" t="s">
        <v>109</v>
      </c>
      <c r="AE75" s="200">
        <f t="shared" si="1440"/>
        <v>0</v>
      </c>
      <c r="AF75" t="s">
        <v>109</v>
      </c>
      <c r="AG75" s="200">
        <f t="shared" si="1440"/>
        <v>0</v>
      </c>
      <c r="AH75" t="s">
        <v>109</v>
      </c>
      <c r="AI75" s="200">
        <f t="shared" si="1440"/>
        <v>0</v>
      </c>
      <c r="AJ75" t="s">
        <v>113</v>
      </c>
      <c r="AK75" s="200">
        <f t="shared" si="1440"/>
        <v>0</v>
      </c>
      <c r="AL75" t="s">
        <v>109</v>
      </c>
      <c r="AM75" s="200">
        <f t="shared" si="1440"/>
        <v>0</v>
      </c>
      <c r="AN75" t="s">
        <v>113</v>
      </c>
      <c r="AO75" s="200">
        <f t="shared" si="1440"/>
        <v>0</v>
      </c>
      <c r="AP75" t="s">
        <v>109</v>
      </c>
      <c r="AQ75" s="200">
        <f t="shared" si="1440"/>
        <v>0</v>
      </c>
      <c r="AR75" t="s">
        <v>109</v>
      </c>
      <c r="AS75" s="200">
        <f t="shared" si="1440"/>
        <v>0</v>
      </c>
      <c r="AT75" t="s">
        <v>109</v>
      </c>
      <c r="AU75" s="200">
        <f t="shared" si="1440"/>
        <v>0</v>
      </c>
      <c r="AV75" t="s">
        <v>109</v>
      </c>
      <c r="AW75" s="200">
        <f t="shared" si="1440"/>
        <v>0</v>
      </c>
      <c r="AX75" t="s">
        <v>109</v>
      </c>
      <c r="AY75" s="200">
        <f t="shared" si="1441"/>
        <v>0</v>
      </c>
      <c r="AZ75" t="s">
        <v>109</v>
      </c>
      <c r="BA75" s="200">
        <f t="shared" si="1442"/>
        <v>0</v>
      </c>
      <c r="BB75" t="s">
        <v>109</v>
      </c>
      <c r="BC75" s="200">
        <f t="shared" si="1443"/>
        <v>0</v>
      </c>
      <c r="BD75" t="s">
        <v>113</v>
      </c>
      <c r="BE75" s="200">
        <f t="shared" si="1444"/>
        <v>0</v>
      </c>
      <c r="BF75" t="s">
        <v>109</v>
      </c>
      <c r="BG75" s="200">
        <f t="shared" si="1445"/>
        <v>0</v>
      </c>
      <c r="BH75" t="s">
        <v>109</v>
      </c>
      <c r="BI75" s="200">
        <f t="shared" si="1446"/>
        <v>0</v>
      </c>
      <c r="BJ75" t="s">
        <v>109</v>
      </c>
      <c r="BK75" s="200">
        <f t="shared" si="1447"/>
        <v>0</v>
      </c>
      <c r="BL75" t="s">
        <v>109</v>
      </c>
      <c r="BM75" s="200">
        <f t="shared" si="1448"/>
        <v>0</v>
      </c>
      <c r="BN75" t="s">
        <v>109</v>
      </c>
      <c r="BO75" s="200">
        <f t="shared" si="1449"/>
        <v>0</v>
      </c>
      <c r="BP75" t="s">
        <v>113</v>
      </c>
      <c r="BQ75" s="200">
        <f t="shared" si="1450"/>
        <v>0</v>
      </c>
      <c r="BR75" t="s">
        <v>109</v>
      </c>
      <c r="BS75" s="200">
        <f t="shared" si="1451"/>
        <v>0</v>
      </c>
      <c r="BT75" t="s">
        <v>109</v>
      </c>
      <c r="BU75" s="200">
        <f t="shared" si="1452"/>
        <v>0</v>
      </c>
      <c r="BV75" t="s">
        <v>109</v>
      </c>
      <c r="BW75" s="200">
        <f t="shared" si="1453"/>
        <v>0</v>
      </c>
      <c r="BX75" t="s">
        <v>113</v>
      </c>
      <c r="BY75" s="200">
        <f t="shared" si="1454"/>
        <v>0</v>
      </c>
      <c r="BZ75" t="s">
        <v>109</v>
      </c>
      <c r="CA75" s="200">
        <f t="shared" si="1455"/>
        <v>0</v>
      </c>
      <c r="CB75" t="s">
        <v>109</v>
      </c>
      <c r="CC75" s="200">
        <f t="shared" si="1456"/>
        <v>0</v>
      </c>
      <c r="CD75" t="s">
        <v>109</v>
      </c>
      <c r="CE75" s="200">
        <f t="shared" si="1457"/>
        <v>0</v>
      </c>
      <c r="CF75" s="197" t="s">
        <v>109</v>
      </c>
      <c r="CG75" s="200">
        <f t="shared" si="1458"/>
        <v>0</v>
      </c>
      <c r="CH75" t="s">
        <v>109</v>
      </c>
      <c r="CI75" s="200">
        <f t="shared" si="1459"/>
        <v>0</v>
      </c>
      <c r="CJ75" t="s">
        <v>109</v>
      </c>
      <c r="CK75" s="200">
        <f t="shared" si="1460"/>
        <v>0</v>
      </c>
      <c r="CL75" s="197" t="s">
        <v>109</v>
      </c>
      <c r="CM75" s="200">
        <f t="shared" si="1461"/>
        <v>0</v>
      </c>
      <c r="CN75" t="s">
        <v>109</v>
      </c>
      <c r="CO75" s="200">
        <f t="shared" si="1462"/>
        <v>0</v>
      </c>
      <c r="CP75" t="s">
        <v>109</v>
      </c>
      <c r="CQ75" s="200">
        <f t="shared" si="1463"/>
        <v>0</v>
      </c>
      <c r="CR75" t="s">
        <v>109</v>
      </c>
      <c r="CS75" s="200">
        <f t="shared" si="1464"/>
        <v>0</v>
      </c>
      <c r="CT75" s="197" t="s">
        <v>120</v>
      </c>
      <c r="CU75" s="200">
        <f t="shared" si="1465"/>
        <v>0</v>
      </c>
      <c r="CV75" s="197" t="s">
        <v>113</v>
      </c>
      <c r="CW75" s="200">
        <f t="shared" si="1466"/>
        <v>0</v>
      </c>
      <c r="CX75" s="197" t="s">
        <v>109</v>
      </c>
      <c r="CY75" s="200">
        <f t="shared" si="1467"/>
        <v>0</v>
      </c>
      <c r="CZ75" s="197" t="s">
        <v>109</v>
      </c>
      <c r="DA75" s="200">
        <f t="shared" si="1468"/>
        <v>0</v>
      </c>
    </row>
    <row r="76" spans="15:105" x14ac:dyDescent="0.25">
      <c r="O76" s="10" t="s">
        <v>235</v>
      </c>
      <c r="P76" s="10"/>
      <c r="Q76" s="5"/>
      <c r="R76" s="97" t="s">
        <v>110</v>
      </c>
      <c r="S76" s="97">
        <f t="shared" si="1440"/>
        <v>0</v>
      </c>
      <c r="T76" s="97" t="s">
        <v>110</v>
      </c>
      <c r="U76" s="200">
        <f t="shared" si="1440"/>
        <v>0</v>
      </c>
      <c r="V76" s="97" t="s">
        <v>110</v>
      </c>
      <c r="W76" s="200">
        <f t="shared" si="1440"/>
        <v>0</v>
      </c>
      <c r="X76" s="97" t="s">
        <v>110</v>
      </c>
      <c r="Y76" s="200">
        <f t="shared" si="1440"/>
        <v>0</v>
      </c>
      <c r="Z76" s="97" t="s">
        <v>110</v>
      </c>
      <c r="AA76" s="200">
        <f t="shared" si="1440"/>
        <v>0</v>
      </c>
      <c r="AB76" s="97" t="s">
        <v>105</v>
      </c>
      <c r="AC76" s="200">
        <f t="shared" si="1440"/>
        <v>0</v>
      </c>
      <c r="AD76" t="s">
        <v>105</v>
      </c>
      <c r="AE76" s="200">
        <f t="shared" si="1440"/>
        <v>0</v>
      </c>
      <c r="AF76" t="s">
        <v>105</v>
      </c>
      <c r="AG76" s="200">
        <f t="shared" si="1440"/>
        <v>0</v>
      </c>
      <c r="AH76" t="s">
        <v>105</v>
      </c>
      <c r="AI76" s="200">
        <f t="shared" si="1440"/>
        <v>0</v>
      </c>
      <c r="AJ76" t="s">
        <v>105</v>
      </c>
      <c r="AK76" s="200">
        <f t="shared" si="1440"/>
        <v>0</v>
      </c>
      <c r="AL76" t="s">
        <v>110</v>
      </c>
      <c r="AM76" s="200">
        <f t="shared" si="1440"/>
        <v>0</v>
      </c>
      <c r="AN76" t="s">
        <v>105</v>
      </c>
      <c r="AO76" s="200">
        <f t="shared" si="1440"/>
        <v>0</v>
      </c>
      <c r="AP76" t="s">
        <v>110</v>
      </c>
      <c r="AQ76" s="200">
        <f t="shared" si="1440"/>
        <v>0</v>
      </c>
      <c r="AR76" t="s">
        <v>105</v>
      </c>
      <c r="AS76" s="200">
        <f t="shared" si="1440"/>
        <v>0</v>
      </c>
      <c r="AT76" t="s">
        <v>110</v>
      </c>
      <c r="AU76" s="200">
        <f t="shared" si="1440"/>
        <v>0</v>
      </c>
      <c r="AV76" t="s">
        <v>110</v>
      </c>
      <c r="AW76" s="200">
        <f t="shared" si="1440"/>
        <v>0</v>
      </c>
      <c r="AX76" t="s">
        <v>105</v>
      </c>
      <c r="AY76" s="200">
        <f t="shared" si="1441"/>
        <v>0</v>
      </c>
      <c r="AZ76" t="s">
        <v>105</v>
      </c>
      <c r="BA76" s="200">
        <f t="shared" si="1442"/>
        <v>0</v>
      </c>
      <c r="BB76" t="s">
        <v>105</v>
      </c>
      <c r="BC76" s="200">
        <f t="shared" si="1443"/>
        <v>0</v>
      </c>
      <c r="BD76" t="s">
        <v>105</v>
      </c>
      <c r="BE76" s="200">
        <f t="shared" si="1444"/>
        <v>0</v>
      </c>
      <c r="BF76" t="s">
        <v>105</v>
      </c>
      <c r="BG76" s="200">
        <f t="shared" si="1445"/>
        <v>0</v>
      </c>
      <c r="BH76" t="s">
        <v>110</v>
      </c>
      <c r="BI76" s="200">
        <f t="shared" si="1446"/>
        <v>0</v>
      </c>
      <c r="BJ76" t="s">
        <v>105</v>
      </c>
      <c r="BK76" s="200">
        <f t="shared" si="1447"/>
        <v>0</v>
      </c>
      <c r="BL76" t="s">
        <v>110</v>
      </c>
      <c r="BM76" s="200">
        <f t="shared" si="1448"/>
        <v>0</v>
      </c>
      <c r="BN76" t="s">
        <v>110</v>
      </c>
      <c r="BO76" s="200">
        <f t="shared" si="1449"/>
        <v>0</v>
      </c>
      <c r="BP76" t="s">
        <v>110</v>
      </c>
      <c r="BQ76" s="200">
        <f t="shared" si="1450"/>
        <v>0</v>
      </c>
      <c r="BR76" t="s">
        <v>105</v>
      </c>
      <c r="BS76" s="200">
        <f t="shared" si="1451"/>
        <v>0</v>
      </c>
      <c r="BT76" t="s">
        <v>105</v>
      </c>
      <c r="BU76" s="200">
        <f t="shared" si="1452"/>
        <v>0</v>
      </c>
      <c r="BV76" t="s">
        <v>105</v>
      </c>
      <c r="BW76" s="200">
        <f t="shared" si="1453"/>
        <v>0</v>
      </c>
      <c r="BX76" t="s">
        <v>110</v>
      </c>
      <c r="BY76" s="200">
        <f t="shared" si="1454"/>
        <v>0</v>
      </c>
      <c r="BZ76" t="s">
        <v>105</v>
      </c>
      <c r="CA76" s="200">
        <f t="shared" si="1455"/>
        <v>0</v>
      </c>
      <c r="CB76" t="s">
        <v>105</v>
      </c>
      <c r="CC76" s="200">
        <f t="shared" si="1456"/>
        <v>0</v>
      </c>
      <c r="CD76" t="s">
        <v>116</v>
      </c>
      <c r="CE76" s="200">
        <f t="shared" si="1457"/>
        <v>0</v>
      </c>
      <c r="CF76" s="197" t="s">
        <v>110</v>
      </c>
      <c r="CG76" s="200">
        <f t="shared" si="1458"/>
        <v>0</v>
      </c>
      <c r="CH76" t="s">
        <v>105</v>
      </c>
      <c r="CI76" s="200">
        <f t="shared" si="1459"/>
        <v>0</v>
      </c>
      <c r="CJ76" t="s">
        <v>105</v>
      </c>
      <c r="CK76" s="200">
        <f t="shared" si="1460"/>
        <v>0</v>
      </c>
      <c r="CL76" s="197" t="s">
        <v>105</v>
      </c>
      <c r="CM76" s="200">
        <f t="shared" si="1461"/>
        <v>0</v>
      </c>
      <c r="CN76" t="s">
        <v>105</v>
      </c>
      <c r="CO76" s="200">
        <f t="shared" si="1462"/>
        <v>0</v>
      </c>
      <c r="CP76" t="s">
        <v>105</v>
      </c>
      <c r="CQ76" s="200">
        <f t="shared" si="1463"/>
        <v>0</v>
      </c>
      <c r="CR76" t="s">
        <v>110</v>
      </c>
      <c r="CS76" s="200">
        <f t="shared" si="1464"/>
        <v>0</v>
      </c>
      <c r="CT76" s="197" t="s">
        <v>105</v>
      </c>
      <c r="CU76" s="200">
        <f t="shared" si="1465"/>
        <v>0</v>
      </c>
      <c r="CV76" s="197" t="s">
        <v>105</v>
      </c>
      <c r="CW76" s="200">
        <f t="shared" si="1466"/>
        <v>0</v>
      </c>
      <c r="CX76" s="197" t="s">
        <v>105</v>
      </c>
      <c r="CY76" s="200">
        <f t="shared" si="1467"/>
        <v>0</v>
      </c>
      <c r="CZ76" s="197" t="s">
        <v>110</v>
      </c>
      <c r="DA76" s="200">
        <f t="shared" si="1468"/>
        <v>0</v>
      </c>
    </row>
    <row r="77" spans="15:105" x14ac:dyDescent="0.25">
      <c r="O77" s="10" t="s">
        <v>235</v>
      </c>
      <c r="P77" s="10"/>
      <c r="Q77" s="5"/>
      <c r="R77" s="97" t="s">
        <v>124</v>
      </c>
      <c r="S77" s="97">
        <f t="shared" si="1440"/>
        <v>0</v>
      </c>
      <c r="T77" s="97" t="s">
        <v>111</v>
      </c>
      <c r="U77" s="200">
        <f t="shared" si="1440"/>
        <v>0</v>
      </c>
      <c r="V77" s="97" t="s">
        <v>111</v>
      </c>
      <c r="W77" s="200">
        <f t="shared" si="1440"/>
        <v>0</v>
      </c>
      <c r="X77" s="97" t="s">
        <v>108</v>
      </c>
      <c r="Y77" s="200">
        <f t="shared" si="1440"/>
        <v>0</v>
      </c>
      <c r="Z77" s="97" t="s">
        <v>108</v>
      </c>
      <c r="AA77" s="200">
        <f t="shared" si="1440"/>
        <v>0</v>
      </c>
      <c r="AB77" s="97" t="s">
        <v>111</v>
      </c>
      <c r="AC77" s="200">
        <f t="shared" si="1440"/>
        <v>0</v>
      </c>
      <c r="AD77" t="s">
        <v>111</v>
      </c>
      <c r="AE77" s="200">
        <f t="shared" si="1440"/>
        <v>0</v>
      </c>
      <c r="AF77" t="s">
        <v>111</v>
      </c>
      <c r="AG77" s="200">
        <f t="shared" si="1440"/>
        <v>0</v>
      </c>
      <c r="AH77" t="s">
        <v>124</v>
      </c>
      <c r="AI77" s="200">
        <f t="shared" si="1440"/>
        <v>0</v>
      </c>
      <c r="AJ77" t="s">
        <v>119</v>
      </c>
      <c r="AK77" s="200">
        <f t="shared" si="1440"/>
        <v>0</v>
      </c>
      <c r="AL77" t="s">
        <v>111</v>
      </c>
      <c r="AM77" s="200">
        <f t="shared" si="1440"/>
        <v>0</v>
      </c>
      <c r="AN77" t="s">
        <v>124</v>
      </c>
      <c r="AO77" s="200">
        <f t="shared" si="1440"/>
        <v>0</v>
      </c>
      <c r="AP77" t="s">
        <v>119</v>
      </c>
      <c r="AQ77" s="200">
        <f t="shared" si="1440"/>
        <v>0</v>
      </c>
      <c r="AR77" t="s">
        <v>124</v>
      </c>
      <c r="AS77" s="200">
        <f t="shared" si="1440"/>
        <v>0</v>
      </c>
      <c r="AT77" t="s">
        <v>124</v>
      </c>
      <c r="AU77" s="200">
        <f t="shared" si="1440"/>
        <v>0</v>
      </c>
      <c r="AV77" t="s">
        <v>124</v>
      </c>
      <c r="AW77" s="200">
        <f t="shared" si="1440"/>
        <v>0</v>
      </c>
      <c r="AX77" t="s">
        <v>124</v>
      </c>
      <c r="AY77" s="200">
        <f t="shared" si="1441"/>
        <v>0</v>
      </c>
      <c r="AZ77" t="s">
        <v>111</v>
      </c>
      <c r="BA77" s="200">
        <f t="shared" si="1442"/>
        <v>0</v>
      </c>
      <c r="BB77" t="s">
        <v>111</v>
      </c>
      <c r="BC77" s="200">
        <f t="shared" si="1443"/>
        <v>0</v>
      </c>
      <c r="BD77" t="s">
        <v>108</v>
      </c>
      <c r="BE77" s="200">
        <f t="shared" si="1444"/>
        <v>0</v>
      </c>
      <c r="BF77" t="s">
        <v>111</v>
      </c>
      <c r="BG77" s="200">
        <f t="shared" si="1445"/>
        <v>0</v>
      </c>
      <c r="BH77" t="s">
        <v>111</v>
      </c>
      <c r="BI77" s="200">
        <f t="shared" si="1446"/>
        <v>0</v>
      </c>
      <c r="BJ77" t="s">
        <v>111</v>
      </c>
      <c r="BK77" s="200">
        <f t="shared" si="1447"/>
        <v>0</v>
      </c>
      <c r="BL77" t="s">
        <v>111</v>
      </c>
      <c r="BM77" s="200">
        <f t="shared" si="1448"/>
        <v>0</v>
      </c>
      <c r="BN77" t="s">
        <v>119</v>
      </c>
      <c r="BO77" s="200">
        <f t="shared" si="1449"/>
        <v>0</v>
      </c>
      <c r="BP77" t="s">
        <v>111</v>
      </c>
      <c r="BQ77" s="200">
        <f t="shared" si="1450"/>
        <v>0</v>
      </c>
      <c r="BR77" t="s">
        <v>111</v>
      </c>
      <c r="BS77" s="200">
        <f t="shared" si="1451"/>
        <v>0</v>
      </c>
      <c r="BT77" t="s">
        <v>124</v>
      </c>
      <c r="BU77" s="200">
        <f t="shared" si="1452"/>
        <v>0</v>
      </c>
      <c r="BV77" t="s">
        <v>111</v>
      </c>
      <c r="BW77" s="200">
        <f t="shared" si="1453"/>
        <v>0</v>
      </c>
      <c r="BX77" t="s">
        <v>124</v>
      </c>
      <c r="BY77" s="200">
        <f t="shared" si="1454"/>
        <v>0</v>
      </c>
      <c r="BZ77" t="s">
        <v>111</v>
      </c>
      <c r="CA77" s="200">
        <f t="shared" si="1455"/>
        <v>0</v>
      </c>
      <c r="CB77" t="s">
        <v>124</v>
      </c>
      <c r="CC77" s="200">
        <f t="shared" si="1456"/>
        <v>0</v>
      </c>
      <c r="CD77" t="s">
        <v>111</v>
      </c>
      <c r="CE77" s="200">
        <f t="shared" si="1457"/>
        <v>0</v>
      </c>
      <c r="CF77" s="197" t="s">
        <v>111</v>
      </c>
      <c r="CG77" s="200">
        <f t="shared" si="1458"/>
        <v>0</v>
      </c>
      <c r="CH77" t="s">
        <v>119</v>
      </c>
      <c r="CI77" s="200">
        <f t="shared" si="1459"/>
        <v>0</v>
      </c>
      <c r="CJ77" t="s">
        <v>111</v>
      </c>
      <c r="CK77" s="200">
        <f t="shared" si="1460"/>
        <v>0</v>
      </c>
      <c r="CL77" s="197" t="s">
        <v>111</v>
      </c>
      <c r="CM77" s="200">
        <f t="shared" si="1461"/>
        <v>0</v>
      </c>
      <c r="CN77" t="s">
        <v>111</v>
      </c>
      <c r="CO77" s="200">
        <f t="shared" si="1462"/>
        <v>0</v>
      </c>
      <c r="CP77" t="s">
        <v>111</v>
      </c>
      <c r="CQ77" s="200">
        <f t="shared" si="1463"/>
        <v>0</v>
      </c>
      <c r="CR77" t="s">
        <v>111</v>
      </c>
      <c r="CS77" s="200">
        <f t="shared" si="1464"/>
        <v>0</v>
      </c>
      <c r="CT77" s="197" t="s">
        <v>119</v>
      </c>
      <c r="CU77" s="200">
        <f t="shared" si="1465"/>
        <v>0</v>
      </c>
      <c r="CV77" s="197" t="s">
        <v>111</v>
      </c>
      <c r="CW77" s="200">
        <f t="shared" si="1466"/>
        <v>0</v>
      </c>
      <c r="CX77" s="197" t="s">
        <v>124</v>
      </c>
      <c r="CY77" s="200">
        <f t="shared" si="1467"/>
        <v>0</v>
      </c>
      <c r="CZ77" s="197" t="s">
        <v>111</v>
      </c>
      <c r="DA77" s="200">
        <f t="shared" si="1468"/>
        <v>0</v>
      </c>
    </row>
    <row r="78" spans="15:105" x14ac:dyDescent="0.25">
      <c r="O78" s="10" t="s">
        <v>235</v>
      </c>
      <c r="P78" s="10"/>
      <c r="Q78" s="5"/>
      <c r="R78" s="97" t="s">
        <v>117</v>
      </c>
      <c r="S78" s="97">
        <f t="shared" si="1440"/>
        <v>0</v>
      </c>
      <c r="T78" s="97" t="s">
        <v>117</v>
      </c>
      <c r="U78" s="200">
        <f t="shared" si="1440"/>
        <v>0</v>
      </c>
      <c r="V78" s="97" t="s">
        <v>117</v>
      </c>
      <c r="W78" s="200">
        <f t="shared" si="1440"/>
        <v>0</v>
      </c>
      <c r="X78" s="97" t="s">
        <v>117</v>
      </c>
      <c r="Y78" s="200">
        <f t="shared" si="1440"/>
        <v>0</v>
      </c>
      <c r="Z78" s="97" t="s">
        <v>117</v>
      </c>
      <c r="AA78" s="200">
        <f t="shared" si="1440"/>
        <v>0</v>
      </c>
      <c r="AB78" s="97" t="s">
        <v>117</v>
      </c>
      <c r="AC78" s="200">
        <f t="shared" si="1440"/>
        <v>0</v>
      </c>
      <c r="AD78" t="s">
        <v>117</v>
      </c>
      <c r="AE78" s="200">
        <f t="shared" si="1440"/>
        <v>0</v>
      </c>
      <c r="AF78" t="s">
        <v>117</v>
      </c>
      <c r="AG78" s="200">
        <f t="shared" si="1440"/>
        <v>0</v>
      </c>
      <c r="AH78" t="s">
        <v>117</v>
      </c>
      <c r="AI78" s="200">
        <f t="shared" si="1440"/>
        <v>0</v>
      </c>
      <c r="AJ78" t="s">
        <v>117</v>
      </c>
      <c r="AK78" s="200">
        <f t="shared" si="1440"/>
        <v>0</v>
      </c>
      <c r="AL78" t="s">
        <v>117</v>
      </c>
      <c r="AM78" s="200">
        <f t="shared" si="1440"/>
        <v>0</v>
      </c>
      <c r="AN78" t="s">
        <v>117</v>
      </c>
      <c r="AO78" s="200">
        <f t="shared" si="1440"/>
        <v>0</v>
      </c>
      <c r="AP78" t="s">
        <v>115</v>
      </c>
      <c r="AQ78" s="200">
        <f t="shared" si="1440"/>
        <v>0</v>
      </c>
      <c r="AR78" t="s">
        <v>117</v>
      </c>
      <c r="AS78" s="200">
        <f t="shared" si="1440"/>
        <v>0</v>
      </c>
      <c r="AT78" t="s">
        <v>126</v>
      </c>
      <c r="AU78" s="200">
        <f t="shared" si="1440"/>
        <v>0</v>
      </c>
      <c r="AV78" t="s">
        <v>117</v>
      </c>
      <c r="AW78" s="200">
        <f t="shared" si="1440"/>
        <v>0</v>
      </c>
      <c r="AX78" t="s">
        <v>115</v>
      </c>
      <c r="AY78" s="200">
        <f t="shared" si="1441"/>
        <v>0</v>
      </c>
      <c r="AZ78" t="s">
        <v>115</v>
      </c>
      <c r="BA78" s="200">
        <f t="shared" si="1442"/>
        <v>0</v>
      </c>
      <c r="BB78" t="s">
        <v>115</v>
      </c>
      <c r="BC78" s="200">
        <f t="shared" si="1443"/>
        <v>0</v>
      </c>
      <c r="BD78" t="s">
        <v>115</v>
      </c>
      <c r="BE78" s="200">
        <f t="shared" si="1444"/>
        <v>0</v>
      </c>
      <c r="BF78" t="s">
        <v>117</v>
      </c>
      <c r="BG78" s="200">
        <f t="shared" si="1445"/>
        <v>0</v>
      </c>
      <c r="BH78" t="s">
        <v>126</v>
      </c>
      <c r="BI78" s="200">
        <f t="shared" si="1446"/>
        <v>0</v>
      </c>
      <c r="BJ78" t="s">
        <v>117</v>
      </c>
      <c r="BK78" s="200">
        <f t="shared" si="1447"/>
        <v>0</v>
      </c>
      <c r="BL78" t="s">
        <v>115</v>
      </c>
      <c r="BM78" s="200">
        <f t="shared" si="1448"/>
        <v>0</v>
      </c>
      <c r="BN78" t="s">
        <v>115</v>
      </c>
      <c r="BO78" s="200">
        <f t="shared" si="1449"/>
        <v>0</v>
      </c>
      <c r="BP78" t="s">
        <v>117</v>
      </c>
      <c r="BQ78" s="200">
        <f t="shared" si="1450"/>
        <v>0</v>
      </c>
      <c r="BR78" t="s">
        <v>117</v>
      </c>
      <c r="BS78" s="200">
        <f t="shared" si="1451"/>
        <v>0</v>
      </c>
      <c r="BT78" t="s">
        <v>117</v>
      </c>
      <c r="BU78" s="200">
        <f t="shared" si="1452"/>
        <v>0</v>
      </c>
      <c r="BV78" t="s">
        <v>117</v>
      </c>
      <c r="BW78" s="200">
        <f t="shared" si="1453"/>
        <v>0</v>
      </c>
      <c r="BX78" t="s">
        <v>126</v>
      </c>
      <c r="BY78" s="200">
        <f t="shared" si="1454"/>
        <v>0</v>
      </c>
      <c r="BZ78" t="s">
        <v>126</v>
      </c>
      <c r="CA78" s="200">
        <f t="shared" si="1455"/>
        <v>0</v>
      </c>
      <c r="CB78" t="s">
        <v>117</v>
      </c>
      <c r="CC78" s="200">
        <f t="shared" si="1456"/>
        <v>0</v>
      </c>
      <c r="CD78" t="s">
        <v>115</v>
      </c>
      <c r="CE78" s="200">
        <f t="shared" si="1457"/>
        <v>0</v>
      </c>
      <c r="CF78" s="197" t="s">
        <v>117</v>
      </c>
      <c r="CG78" s="200">
        <f t="shared" si="1458"/>
        <v>0</v>
      </c>
      <c r="CH78" t="s">
        <v>115</v>
      </c>
      <c r="CI78" s="200">
        <f t="shared" si="1459"/>
        <v>0</v>
      </c>
      <c r="CJ78" t="s">
        <v>117</v>
      </c>
      <c r="CK78" s="200">
        <f t="shared" si="1460"/>
        <v>0</v>
      </c>
      <c r="CL78" s="197" t="s">
        <v>117</v>
      </c>
      <c r="CM78" s="200">
        <f t="shared" si="1461"/>
        <v>0</v>
      </c>
      <c r="CN78" t="s">
        <v>115</v>
      </c>
      <c r="CO78" s="200">
        <f t="shared" si="1462"/>
        <v>0</v>
      </c>
      <c r="CP78" t="s">
        <v>117</v>
      </c>
      <c r="CQ78" s="200">
        <f t="shared" si="1463"/>
        <v>0</v>
      </c>
      <c r="CR78" t="s">
        <v>117</v>
      </c>
      <c r="CS78" s="200">
        <f t="shared" si="1464"/>
        <v>0</v>
      </c>
      <c r="CT78" s="197" t="s">
        <v>115</v>
      </c>
      <c r="CU78" s="200">
        <f t="shared" si="1465"/>
        <v>0</v>
      </c>
      <c r="CV78" s="197" t="s">
        <v>117</v>
      </c>
      <c r="CW78" s="200">
        <f t="shared" si="1466"/>
        <v>0</v>
      </c>
      <c r="CX78" s="197" t="s">
        <v>117</v>
      </c>
      <c r="CY78" s="200">
        <f t="shared" si="1467"/>
        <v>0</v>
      </c>
      <c r="CZ78" s="197" t="s">
        <v>115</v>
      </c>
      <c r="DA78" s="200">
        <f t="shared" si="1468"/>
        <v>0</v>
      </c>
    </row>
    <row r="79" spans="15:105" x14ac:dyDescent="0.25">
      <c r="O79" s="10" t="s">
        <v>235</v>
      </c>
      <c r="P79" s="10"/>
      <c r="Q79" s="5"/>
      <c r="R79" s="97" t="s">
        <v>118</v>
      </c>
      <c r="S79" s="97">
        <f t="shared" si="1440"/>
        <v>0</v>
      </c>
      <c r="T79" s="97" t="s">
        <v>114</v>
      </c>
      <c r="U79" s="200">
        <f t="shared" si="1440"/>
        <v>0</v>
      </c>
      <c r="V79" s="97" t="s">
        <v>114</v>
      </c>
      <c r="W79" s="200">
        <f t="shared" si="1440"/>
        <v>0</v>
      </c>
      <c r="X79" s="97" t="s">
        <v>142</v>
      </c>
      <c r="Y79" s="200">
        <f t="shared" si="1440"/>
        <v>0</v>
      </c>
      <c r="Z79" s="97" t="s">
        <v>118</v>
      </c>
      <c r="AA79" s="200">
        <f t="shared" si="1440"/>
        <v>0</v>
      </c>
      <c r="AB79" s="97" t="s">
        <v>142</v>
      </c>
      <c r="AC79" s="200">
        <f t="shared" si="1440"/>
        <v>0</v>
      </c>
      <c r="AD79" t="s">
        <v>118</v>
      </c>
      <c r="AE79" s="200">
        <f t="shared" si="1440"/>
        <v>0</v>
      </c>
      <c r="AF79" t="s">
        <v>125</v>
      </c>
      <c r="AG79" s="200">
        <f t="shared" si="1440"/>
        <v>0</v>
      </c>
      <c r="AH79" t="s">
        <v>142</v>
      </c>
      <c r="AI79" s="200">
        <f t="shared" si="1440"/>
        <v>0</v>
      </c>
      <c r="AJ79" t="s">
        <v>118</v>
      </c>
      <c r="AK79" s="200">
        <f t="shared" si="1440"/>
        <v>0</v>
      </c>
      <c r="AL79" t="s">
        <v>142</v>
      </c>
      <c r="AM79" s="200">
        <f t="shared" si="1440"/>
        <v>0</v>
      </c>
      <c r="AN79" t="s">
        <v>121</v>
      </c>
      <c r="AO79" s="200">
        <f t="shared" si="1440"/>
        <v>0</v>
      </c>
      <c r="AP79" t="s">
        <v>118</v>
      </c>
      <c r="AQ79" s="200">
        <f t="shared" si="1440"/>
        <v>0</v>
      </c>
      <c r="AR79" t="s">
        <v>115</v>
      </c>
      <c r="AS79" s="200">
        <f t="shared" si="1440"/>
        <v>0</v>
      </c>
      <c r="AT79" t="s">
        <v>114</v>
      </c>
      <c r="AU79" s="200">
        <f t="shared" si="1440"/>
        <v>0</v>
      </c>
      <c r="AV79" t="s">
        <v>142</v>
      </c>
      <c r="AW79" s="200">
        <f t="shared" si="1440"/>
        <v>0</v>
      </c>
      <c r="AX79" t="s">
        <v>142</v>
      </c>
      <c r="AY79" s="200">
        <f t="shared" si="1441"/>
        <v>0</v>
      </c>
      <c r="AZ79" t="s">
        <v>118</v>
      </c>
      <c r="BA79" s="200">
        <f t="shared" si="1442"/>
        <v>0</v>
      </c>
      <c r="BB79" t="s">
        <v>118</v>
      </c>
      <c r="BC79" s="200">
        <f t="shared" si="1443"/>
        <v>0</v>
      </c>
      <c r="BD79" t="s">
        <v>112</v>
      </c>
      <c r="BE79" s="200">
        <f t="shared" si="1444"/>
        <v>0</v>
      </c>
      <c r="BF79" t="s">
        <v>115</v>
      </c>
      <c r="BG79" s="200">
        <f t="shared" si="1445"/>
        <v>0</v>
      </c>
      <c r="BH79" t="s">
        <v>125</v>
      </c>
      <c r="BI79" s="200">
        <f t="shared" si="1446"/>
        <v>0</v>
      </c>
      <c r="BJ79" t="s">
        <v>121</v>
      </c>
      <c r="BK79" s="200">
        <f t="shared" si="1447"/>
        <v>0</v>
      </c>
      <c r="BL79" t="s">
        <v>142</v>
      </c>
      <c r="BM79" s="200">
        <f t="shared" si="1448"/>
        <v>0</v>
      </c>
      <c r="BN79" t="s">
        <v>118</v>
      </c>
      <c r="BO79" s="200">
        <f t="shared" si="1449"/>
        <v>0</v>
      </c>
      <c r="BP79" t="s">
        <v>118</v>
      </c>
      <c r="BQ79" s="200">
        <f t="shared" si="1450"/>
        <v>0</v>
      </c>
      <c r="BR79" t="s">
        <v>118</v>
      </c>
      <c r="BS79" s="200">
        <f t="shared" si="1451"/>
        <v>0</v>
      </c>
      <c r="BT79" t="s">
        <v>118</v>
      </c>
      <c r="BU79" s="200">
        <f t="shared" si="1452"/>
        <v>0</v>
      </c>
      <c r="BV79" t="s">
        <v>121</v>
      </c>
      <c r="BW79" s="200">
        <f t="shared" si="1453"/>
        <v>0</v>
      </c>
      <c r="BX79" t="s">
        <v>142</v>
      </c>
      <c r="BY79" s="200">
        <f t="shared" si="1454"/>
        <v>0</v>
      </c>
      <c r="BZ79" t="s">
        <v>112</v>
      </c>
      <c r="CA79" s="200">
        <f t="shared" si="1455"/>
        <v>0</v>
      </c>
      <c r="CB79" t="s">
        <v>112</v>
      </c>
      <c r="CC79" s="200">
        <f t="shared" si="1456"/>
        <v>0</v>
      </c>
      <c r="CD79" t="s">
        <v>118</v>
      </c>
      <c r="CE79" s="200">
        <f t="shared" si="1457"/>
        <v>0</v>
      </c>
      <c r="CF79" s="197" t="s">
        <v>121</v>
      </c>
      <c r="CG79" s="200">
        <f t="shared" si="1458"/>
        <v>0</v>
      </c>
      <c r="CH79" t="s">
        <v>125</v>
      </c>
      <c r="CI79" s="200">
        <f t="shared" si="1459"/>
        <v>0</v>
      </c>
      <c r="CJ79" t="s">
        <v>121</v>
      </c>
      <c r="CK79" s="200">
        <f t="shared" si="1460"/>
        <v>0</v>
      </c>
      <c r="CL79" s="197" t="s">
        <v>142</v>
      </c>
      <c r="CM79" s="200">
        <f t="shared" si="1461"/>
        <v>0</v>
      </c>
      <c r="CN79" t="s">
        <v>107</v>
      </c>
      <c r="CO79" s="200">
        <f t="shared" si="1462"/>
        <v>0</v>
      </c>
      <c r="CP79" t="s">
        <v>121</v>
      </c>
      <c r="CQ79" s="200">
        <f t="shared" si="1463"/>
        <v>0</v>
      </c>
      <c r="CR79" t="s">
        <v>121</v>
      </c>
      <c r="CS79" s="200">
        <f t="shared" si="1464"/>
        <v>0</v>
      </c>
      <c r="CT79" s="197" t="s">
        <v>142</v>
      </c>
      <c r="CU79" s="200">
        <f t="shared" si="1465"/>
        <v>0</v>
      </c>
      <c r="CV79" s="197" t="s">
        <v>114</v>
      </c>
      <c r="CW79" s="200">
        <f t="shared" si="1466"/>
        <v>0</v>
      </c>
      <c r="CX79" s="197" t="s">
        <v>115</v>
      </c>
      <c r="CY79" s="200">
        <f t="shared" si="1467"/>
        <v>0</v>
      </c>
      <c r="CZ79" s="197" t="s">
        <v>118</v>
      </c>
      <c r="DA79" s="200">
        <f t="shared" si="1468"/>
        <v>0</v>
      </c>
    </row>
    <row r="80" spans="15:105" x14ac:dyDescent="0.25">
      <c r="O80" s="10" t="s">
        <v>235</v>
      </c>
      <c r="P80" s="10"/>
      <c r="Q80" s="5"/>
      <c r="R80" s="97" t="s">
        <v>120</v>
      </c>
      <c r="S80" s="97">
        <f t="shared" si="1440"/>
        <v>0</v>
      </c>
      <c r="T80" s="97" t="s">
        <v>120</v>
      </c>
      <c r="U80" s="200">
        <f t="shared" si="1440"/>
        <v>0</v>
      </c>
      <c r="V80" s="97" t="s">
        <v>124</v>
      </c>
      <c r="W80" s="200">
        <f t="shared" si="1440"/>
        <v>0</v>
      </c>
      <c r="X80" s="97" t="s">
        <v>105</v>
      </c>
      <c r="Y80" s="200">
        <f t="shared" si="1440"/>
        <v>0</v>
      </c>
      <c r="Z80" s="97" t="s">
        <v>113</v>
      </c>
      <c r="AA80" s="200">
        <f t="shared" si="1440"/>
        <v>0</v>
      </c>
      <c r="AB80" s="97" t="s">
        <v>116</v>
      </c>
      <c r="AC80" s="200">
        <f t="shared" si="1440"/>
        <v>0</v>
      </c>
      <c r="AD80" t="s">
        <v>116</v>
      </c>
      <c r="AE80" s="200">
        <f t="shared" si="1440"/>
        <v>0</v>
      </c>
      <c r="AF80" t="s">
        <v>120</v>
      </c>
      <c r="AG80" s="200">
        <f t="shared" si="1440"/>
        <v>0</v>
      </c>
      <c r="AH80" t="s">
        <v>111</v>
      </c>
      <c r="AI80" s="200">
        <f t="shared" si="1440"/>
        <v>0</v>
      </c>
      <c r="AJ80" t="s">
        <v>110</v>
      </c>
      <c r="AK80" s="200">
        <f t="shared" si="1440"/>
        <v>0</v>
      </c>
      <c r="AL80" t="s">
        <v>113</v>
      </c>
      <c r="AM80" s="200">
        <f t="shared" si="1440"/>
        <v>0</v>
      </c>
      <c r="AN80" t="s">
        <v>109</v>
      </c>
      <c r="AO80" s="200">
        <f t="shared" si="1440"/>
        <v>0</v>
      </c>
      <c r="AP80" t="s">
        <v>122</v>
      </c>
      <c r="AQ80" s="200">
        <f t="shared" si="1440"/>
        <v>0</v>
      </c>
      <c r="AR80" t="s">
        <v>120</v>
      </c>
      <c r="AS80" s="200">
        <f t="shared" si="1440"/>
        <v>0</v>
      </c>
      <c r="AT80" t="s">
        <v>113</v>
      </c>
      <c r="AU80" s="200">
        <f t="shared" si="1440"/>
        <v>0</v>
      </c>
      <c r="AV80" t="s">
        <v>116</v>
      </c>
      <c r="AW80" s="200">
        <f t="shared" si="1440"/>
        <v>0</v>
      </c>
      <c r="AX80" t="s">
        <v>113</v>
      </c>
      <c r="AY80" s="200">
        <f t="shared" si="1441"/>
        <v>0</v>
      </c>
      <c r="AZ80" t="s">
        <v>110</v>
      </c>
      <c r="BA80" s="200">
        <f t="shared" si="1442"/>
        <v>0</v>
      </c>
      <c r="BB80" t="s">
        <v>116</v>
      </c>
      <c r="BC80" s="200">
        <f t="shared" si="1443"/>
        <v>0</v>
      </c>
      <c r="BD80" t="s">
        <v>120</v>
      </c>
      <c r="BE80" s="200">
        <f t="shared" si="1444"/>
        <v>0</v>
      </c>
      <c r="BF80" t="s">
        <v>120</v>
      </c>
      <c r="BG80" s="200">
        <f t="shared" si="1445"/>
        <v>0</v>
      </c>
      <c r="BH80" t="s">
        <v>120</v>
      </c>
      <c r="BI80" s="200">
        <f t="shared" si="1446"/>
        <v>0</v>
      </c>
      <c r="BJ80" t="s">
        <v>116</v>
      </c>
      <c r="BK80" s="200">
        <f t="shared" si="1447"/>
        <v>0</v>
      </c>
      <c r="BL80" t="s">
        <v>116</v>
      </c>
      <c r="BM80" s="200">
        <f t="shared" si="1448"/>
        <v>0</v>
      </c>
      <c r="BN80" t="s">
        <v>122</v>
      </c>
      <c r="BO80" s="200">
        <f t="shared" si="1449"/>
        <v>0</v>
      </c>
      <c r="BP80" t="s">
        <v>120</v>
      </c>
      <c r="BQ80" s="200">
        <f t="shared" si="1450"/>
        <v>0</v>
      </c>
      <c r="BR80" t="s">
        <v>116</v>
      </c>
      <c r="BS80" s="200">
        <f t="shared" si="1451"/>
        <v>0</v>
      </c>
      <c r="BT80" t="s">
        <v>110</v>
      </c>
      <c r="BU80" s="200">
        <f t="shared" si="1452"/>
        <v>0</v>
      </c>
      <c r="BV80" t="s">
        <v>124</v>
      </c>
      <c r="BW80" s="200">
        <f t="shared" si="1453"/>
        <v>0</v>
      </c>
      <c r="BX80" t="s">
        <v>120</v>
      </c>
      <c r="BY80" s="200">
        <f t="shared" si="1454"/>
        <v>0</v>
      </c>
      <c r="BZ80" t="s">
        <v>116</v>
      </c>
      <c r="CA80" s="200">
        <f t="shared" si="1455"/>
        <v>0</v>
      </c>
      <c r="CB80" t="s">
        <v>116</v>
      </c>
      <c r="CC80" s="200">
        <f t="shared" si="1456"/>
        <v>0</v>
      </c>
      <c r="CD80" t="s">
        <v>105</v>
      </c>
      <c r="CE80" s="200">
        <f t="shared" si="1457"/>
        <v>0</v>
      </c>
      <c r="CF80" s="197" t="s">
        <v>120</v>
      </c>
      <c r="CG80" s="200">
        <f t="shared" si="1458"/>
        <v>0</v>
      </c>
      <c r="CH80" t="s">
        <v>122</v>
      </c>
      <c r="CI80" s="200">
        <f t="shared" si="1459"/>
        <v>0</v>
      </c>
      <c r="CJ80" t="s">
        <v>116</v>
      </c>
      <c r="CK80" s="200">
        <f t="shared" si="1460"/>
        <v>0</v>
      </c>
      <c r="CL80" s="197" t="s">
        <v>116</v>
      </c>
      <c r="CM80" s="200">
        <f t="shared" si="1461"/>
        <v>0</v>
      </c>
      <c r="CN80" t="s">
        <v>120</v>
      </c>
      <c r="CO80" s="200">
        <f t="shared" si="1462"/>
        <v>0</v>
      </c>
      <c r="CP80" t="s">
        <v>116</v>
      </c>
      <c r="CQ80" s="200">
        <f t="shared" si="1463"/>
        <v>0</v>
      </c>
      <c r="CR80" t="s">
        <v>116</v>
      </c>
      <c r="CS80" s="200">
        <f t="shared" si="1464"/>
        <v>0</v>
      </c>
      <c r="CT80" s="197" t="s">
        <v>110</v>
      </c>
      <c r="CU80" s="200">
        <f t="shared" si="1465"/>
        <v>0</v>
      </c>
      <c r="CV80" s="197" t="s">
        <v>124</v>
      </c>
      <c r="CW80" s="200">
        <f t="shared" si="1466"/>
        <v>0</v>
      </c>
      <c r="CX80" s="197" t="s">
        <v>123</v>
      </c>
      <c r="CY80" s="200">
        <f t="shared" si="1467"/>
        <v>0</v>
      </c>
      <c r="CZ80" s="197" t="s">
        <v>116</v>
      </c>
      <c r="DA80" s="200">
        <f t="shared" si="1468"/>
        <v>0</v>
      </c>
    </row>
    <row r="81" spans="15:105" x14ac:dyDescent="0.25">
      <c r="O81" s="10" t="s">
        <v>235</v>
      </c>
      <c r="P81" s="10"/>
      <c r="Q81" s="5"/>
      <c r="R81" s="97" t="s">
        <v>142</v>
      </c>
      <c r="S81" s="97">
        <f t="shared" si="1440"/>
        <v>0</v>
      </c>
      <c r="T81" s="97" t="s">
        <v>115</v>
      </c>
      <c r="U81" s="200">
        <f t="shared" si="1440"/>
        <v>0</v>
      </c>
      <c r="V81" s="97" t="s">
        <v>126</v>
      </c>
      <c r="W81" s="200">
        <f t="shared" si="1440"/>
        <v>0</v>
      </c>
      <c r="X81" s="97" t="s">
        <v>115</v>
      </c>
      <c r="Y81" s="200">
        <f t="shared" si="1440"/>
        <v>0</v>
      </c>
      <c r="Z81" s="97" t="s">
        <v>116</v>
      </c>
      <c r="AA81" s="200">
        <f t="shared" si="1440"/>
        <v>0</v>
      </c>
      <c r="AB81" s="97" t="s">
        <v>115</v>
      </c>
      <c r="AC81" s="200">
        <f t="shared" si="1440"/>
        <v>0</v>
      </c>
      <c r="AD81" t="s">
        <v>142</v>
      </c>
      <c r="AE81" s="200">
        <f t="shared" si="1440"/>
        <v>0</v>
      </c>
      <c r="AF81" t="s">
        <v>114</v>
      </c>
      <c r="AG81" s="200">
        <f t="shared" si="1440"/>
        <v>0</v>
      </c>
      <c r="AH81" t="s">
        <v>115</v>
      </c>
      <c r="AI81" s="200">
        <f t="shared" si="1440"/>
        <v>0</v>
      </c>
      <c r="AJ81" t="s">
        <v>115</v>
      </c>
      <c r="AK81" s="200">
        <f t="shared" si="1440"/>
        <v>0</v>
      </c>
      <c r="AL81" t="s">
        <v>115</v>
      </c>
      <c r="AM81" s="200">
        <f t="shared" si="1440"/>
        <v>0</v>
      </c>
      <c r="AN81" t="s">
        <v>126</v>
      </c>
      <c r="AO81" s="200">
        <f t="shared" si="1440"/>
        <v>0</v>
      </c>
      <c r="AP81" t="s">
        <v>121</v>
      </c>
      <c r="AQ81" s="200">
        <f t="shared" si="1440"/>
        <v>0</v>
      </c>
      <c r="AR81" t="s">
        <v>110</v>
      </c>
      <c r="AS81" s="200">
        <f t="shared" si="1440"/>
        <v>0</v>
      </c>
      <c r="AT81" t="s">
        <v>116</v>
      </c>
      <c r="AU81" s="200">
        <f t="shared" si="1440"/>
        <v>0</v>
      </c>
      <c r="AV81" t="s">
        <v>115</v>
      </c>
      <c r="AW81" s="200">
        <f t="shared" si="1440"/>
        <v>0</v>
      </c>
      <c r="AX81" t="s">
        <v>116</v>
      </c>
      <c r="AY81" s="200">
        <f t="shared" si="1441"/>
        <v>0</v>
      </c>
      <c r="AZ81" t="s">
        <v>142</v>
      </c>
      <c r="BA81" s="200">
        <f t="shared" si="1442"/>
        <v>0</v>
      </c>
      <c r="BB81" t="s">
        <v>117</v>
      </c>
      <c r="BC81" s="200">
        <f t="shared" si="1443"/>
        <v>0</v>
      </c>
      <c r="BD81" t="s">
        <v>116</v>
      </c>
      <c r="BE81" s="200">
        <f t="shared" si="1444"/>
        <v>0</v>
      </c>
      <c r="BF81" t="s">
        <v>116</v>
      </c>
      <c r="BG81" s="200">
        <f t="shared" si="1445"/>
        <v>0</v>
      </c>
      <c r="BH81" t="s">
        <v>116</v>
      </c>
      <c r="BI81" s="200">
        <f t="shared" si="1446"/>
        <v>0</v>
      </c>
      <c r="BJ81" t="s">
        <v>115</v>
      </c>
      <c r="BK81" s="200">
        <f t="shared" si="1447"/>
        <v>0</v>
      </c>
      <c r="BL81" t="s">
        <v>117</v>
      </c>
      <c r="BM81" s="200">
        <f t="shared" si="1448"/>
        <v>0</v>
      </c>
      <c r="BN81" t="s">
        <v>121</v>
      </c>
      <c r="BO81" s="200">
        <f t="shared" si="1449"/>
        <v>0</v>
      </c>
      <c r="BP81" t="s">
        <v>116</v>
      </c>
      <c r="BQ81" s="200">
        <f t="shared" si="1450"/>
        <v>0</v>
      </c>
      <c r="BR81" t="s">
        <v>114</v>
      </c>
      <c r="BS81" s="200">
        <f t="shared" si="1451"/>
        <v>0</v>
      </c>
      <c r="BT81" t="s">
        <v>115</v>
      </c>
      <c r="BU81" s="200">
        <f t="shared" si="1452"/>
        <v>0</v>
      </c>
      <c r="BV81" t="s">
        <v>115</v>
      </c>
      <c r="BW81" s="200">
        <f t="shared" si="1453"/>
        <v>0</v>
      </c>
      <c r="BX81" t="s">
        <v>116</v>
      </c>
      <c r="BY81" s="200">
        <f t="shared" si="1454"/>
        <v>0</v>
      </c>
      <c r="BZ81" t="s">
        <v>114</v>
      </c>
      <c r="CA81" s="200">
        <f t="shared" si="1455"/>
        <v>0</v>
      </c>
      <c r="CB81" t="s">
        <v>115</v>
      </c>
      <c r="CC81" s="200">
        <f t="shared" si="1456"/>
        <v>0</v>
      </c>
      <c r="CD81" t="s">
        <v>121</v>
      </c>
      <c r="CE81" s="200">
        <f t="shared" si="1457"/>
        <v>0</v>
      </c>
      <c r="CF81" s="197" t="s">
        <v>115</v>
      </c>
      <c r="CG81" s="200">
        <f t="shared" si="1458"/>
        <v>0</v>
      </c>
      <c r="CH81" t="s">
        <v>121</v>
      </c>
      <c r="CI81" s="200">
        <f t="shared" si="1459"/>
        <v>0</v>
      </c>
      <c r="CJ81" t="s">
        <v>115</v>
      </c>
      <c r="CK81" s="200">
        <f t="shared" si="1460"/>
        <v>0</v>
      </c>
      <c r="CL81" s="197" t="s">
        <v>115</v>
      </c>
      <c r="CM81" s="200">
        <f t="shared" si="1461"/>
        <v>0</v>
      </c>
      <c r="CN81" t="s">
        <v>116</v>
      </c>
      <c r="CO81" s="200">
        <f t="shared" si="1462"/>
        <v>0</v>
      </c>
      <c r="CP81" t="s">
        <v>115</v>
      </c>
      <c r="CQ81" s="200">
        <f t="shared" si="1463"/>
        <v>0</v>
      </c>
      <c r="CR81" t="s">
        <v>115</v>
      </c>
      <c r="CS81" s="200">
        <f t="shared" si="1464"/>
        <v>0</v>
      </c>
      <c r="CT81" s="197" t="s">
        <v>117</v>
      </c>
      <c r="CU81" s="200">
        <f t="shared" si="1465"/>
        <v>0</v>
      </c>
      <c r="CV81" s="197" t="s">
        <v>115</v>
      </c>
      <c r="CW81" s="200">
        <f t="shared" si="1466"/>
        <v>0</v>
      </c>
      <c r="CX81" s="197" t="s">
        <v>116</v>
      </c>
      <c r="CY81" s="200">
        <f t="shared" si="1467"/>
        <v>0</v>
      </c>
      <c r="CZ81" s="197" t="s">
        <v>117</v>
      </c>
      <c r="DA81" s="200">
        <f t="shared" si="1468"/>
        <v>0</v>
      </c>
    </row>
    <row r="82" spans="15:105" x14ac:dyDescent="0.25">
      <c r="O82" s="10" t="s">
        <v>235</v>
      </c>
      <c r="P82" s="10"/>
      <c r="Q82" s="5"/>
      <c r="R82" s="97" t="s">
        <v>111</v>
      </c>
      <c r="S82" s="97">
        <f t="shared" si="1440"/>
        <v>0</v>
      </c>
      <c r="T82" s="97" t="s">
        <v>119</v>
      </c>
      <c r="U82" s="200">
        <f t="shared" si="1440"/>
        <v>0</v>
      </c>
      <c r="V82" s="97" t="s">
        <v>118</v>
      </c>
      <c r="W82" s="200">
        <f t="shared" si="1440"/>
        <v>0</v>
      </c>
      <c r="X82" s="97" t="s">
        <v>113</v>
      </c>
      <c r="Y82" s="200">
        <f t="shared" si="1440"/>
        <v>0</v>
      </c>
      <c r="Z82" s="97" t="s">
        <v>119</v>
      </c>
      <c r="AA82" s="200">
        <f t="shared" si="1440"/>
        <v>0</v>
      </c>
      <c r="AB82" s="97" t="s">
        <v>118</v>
      </c>
      <c r="AC82" s="200">
        <f t="shared" si="1440"/>
        <v>0</v>
      </c>
      <c r="AD82" t="s">
        <v>124</v>
      </c>
      <c r="AE82" s="200">
        <f t="shared" si="1440"/>
        <v>0</v>
      </c>
      <c r="AF82" t="s">
        <v>124</v>
      </c>
      <c r="AG82" s="200">
        <f t="shared" si="1440"/>
        <v>0</v>
      </c>
      <c r="AH82" t="s">
        <v>118</v>
      </c>
      <c r="AI82" s="200">
        <f t="shared" si="1440"/>
        <v>0</v>
      </c>
      <c r="AJ82" t="s">
        <v>111</v>
      </c>
      <c r="AK82" s="200">
        <f t="shared" si="1440"/>
        <v>0</v>
      </c>
      <c r="AL82" t="s">
        <v>124</v>
      </c>
      <c r="AM82" s="200">
        <f t="shared" si="1440"/>
        <v>0</v>
      </c>
      <c r="AN82" t="s">
        <v>118</v>
      </c>
      <c r="AO82" s="200">
        <f t="shared" si="1440"/>
        <v>0</v>
      </c>
      <c r="AP82" t="s">
        <v>111</v>
      </c>
      <c r="AQ82" s="200">
        <f t="shared" si="1440"/>
        <v>0</v>
      </c>
      <c r="AR82" t="s">
        <v>111</v>
      </c>
      <c r="AS82" s="200">
        <f t="shared" si="1440"/>
        <v>0</v>
      </c>
      <c r="AT82" t="s">
        <v>111</v>
      </c>
      <c r="AU82" s="200">
        <f t="shared" si="1440"/>
        <v>0</v>
      </c>
      <c r="AV82" t="s">
        <v>125</v>
      </c>
      <c r="AW82" s="200">
        <f t="shared" si="1440"/>
        <v>0</v>
      </c>
      <c r="AX82" t="s">
        <v>119</v>
      </c>
      <c r="AY82" s="200">
        <f t="shared" si="1441"/>
        <v>0</v>
      </c>
      <c r="AZ82" t="s">
        <v>120</v>
      </c>
      <c r="BA82" s="200">
        <f t="shared" si="1442"/>
        <v>0</v>
      </c>
      <c r="BB82" t="s">
        <v>123</v>
      </c>
      <c r="BC82" s="200">
        <f t="shared" si="1443"/>
        <v>0</v>
      </c>
      <c r="BD82" t="s">
        <v>111</v>
      </c>
      <c r="BE82" s="200">
        <f t="shared" si="1444"/>
        <v>0</v>
      </c>
      <c r="BF82" t="s">
        <v>124</v>
      </c>
      <c r="BG82" s="200">
        <f t="shared" si="1445"/>
        <v>0</v>
      </c>
      <c r="BH82" t="s">
        <v>124</v>
      </c>
      <c r="BI82" s="200">
        <f t="shared" si="1446"/>
        <v>0</v>
      </c>
      <c r="BJ82" t="s">
        <v>124</v>
      </c>
      <c r="BK82" s="200">
        <f t="shared" si="1447"/>
        <v>0</v>
      </c>
      <c r="BL82" t="s">
        <v>119</v>
      </c>
      <c r="BM82" s="200">
        <f t="shared" si="1448"/>
        <v>0</v>
      </c>
      <c r="BN82" t="s">
        <v>111</v>
      </c>
      <c r="BO82" s="200">
        <f t="shared" si="1449"/>
        <v>0</v>
      </c>
      <c r="BP82" t="s">
        <v>124</v>
      </c>
      <c r="BQ82" s="200">
        <f t="shared" si="1450"/>
        <v>0</v>
      </c>
      <c r="BR82" t="s">
        <v>124</v>
      </c>
      <c r="BS82" s="200">
        <f t="shared" si="1451"/>
        <v>0</v>
      </c>
      <c r="BT82" t="s">
        <v>120</v>
      </c>
      <c r="BU82" s="200">
        <f t="shared" si="1452"/>
        <v>0</v>
      </c>
      <c r="BV82" t="s">
        <v>118</v>
      </c>
      <c r="BW82" s="200">
        <f t="shared" si="1453"/>
        <v>0</v>
      </c>
      <c r="BX82" t="s">
        <v>111</v>
      </c>
      <c r="BY82" s="200">
        <f t="shared" si="1454"/>
        <v>0</v>
      </c>
      <c r="BZ82" t="s">
        <v>113</v>
      </c>
      <c r="CA82" s="200">
        <f t="shared" si="1455"/>
        <v>0</v>
      </c>
      <c r="CB82" t="s">
        <v>111</v>
      </c>
      <c r="CC82" s="200">
        <f t="shared" si="1456"/>
        <v>0</v>
      </c>
      <c r="CD82" t="s">
        <v>119</v>
      </c>
      <c r="CE82" s="200">
        <f t="shared" si="1457"/>
        <v>0</v>
      </c>
      <c r="CF82" s="197" t="s">
        <v>118</v>
      </c>
      <c r="CG82" s="200">
        <f t="shared" si="1458"/>
        <v>0</v>
      </c>
      <c r="CH82" t="s">
        <v>123</v>
      </c>
      <c r="CI82" s="200">
        <f t="shared" si="1459"/>
        <v>0</v>
      </c>
      <c r="CJ82" t="s">
        <v>124</v>
      </c>
      <c r="CK82" s="200">
        <f t="shared" si="1460"/>
        <v>0</v>
      </c>
      <c r="CL82" s="197" t="s">
        <v>118</v>
      </c>
      <c r="CM82" s="200">
        <f t="shared" si="1461"/>
        <v>0</v>
      </c>
      <c r="CN82" t="s">
        <v>119</v>
      </c>
      <c r="CO82" s="200">
        <f t="shared" si="1462"/>
        <v>0</v>
      </c>
      <c r="CP82" t="s">
        <v>112</v>
      </c>
      <c r="CQ82" s="200">
        <f t="shared" si="1463"/>
        <v>0</v>
      </c>
      <c r="CR82" t="s">
        <v>123</v>
      </c>
      <c r="CS82" s="200">
        <f t="shared" si="1464"/>
        <v>0</v>
      </c>
      <c r="CT82" s="197" t="s">
        <v>108</v>
      </c>
      <c r="CU82" s="200">
        <f t="shared" si="1465"/>
        <v>0</v>
      </c>
      <c r="CV82" s="197" t="s">
        <v>112</v>
      </c>
      <c r="CW82" s="200">
        <f t="shared" si="1466"/>
        <v>0</v>
      </c>
      <c r="CX82" s="197" t="s">
        <v>111</v>
      </c>
      <c r="CY82" s="200">
        <f t="shared" si="1467"/>
        <v>0</v>
      </c>
      <c r="CZ82" s="197" t="s">
        <v>119</v>
      </c>
      <c r="DA82" s="200">
        <f t="shared" si="1468"/>
        <v>0</v>
      </c>
    </row>
    <row r="83" spans="15:105" x14ac:dyDescent="0.25">
      <c r="O83" s="10" t="s">
        <v>235</v>
      </c>
      <c r="P83" s="10"/>
      <c r="Q83" s="5"/>
      <c r="R83" s="97" t="s">
        <v>105</v>
      </c>
      <c r="S83" s="97">
        <f t="shared" si="1440"/>
        <v>0</v>
      </c>
      <c r="T83" s="97" t="s">
        <v>105</v>
      </c>
      <c r="U83" s="200">
        <f t="shared" si="1440"/>
        <v>0</v>
      </c>
      <c r="V83" s="97" t="s">
        <v>116</v>
      </c>
      <c r="W83" s="200">
        <f t="shared" si="1440"/>
        <v>0</v>
      </c>
      <c r="X83" s="97" t="s">
        <v>116</v>
      </c>
      <c r="Y83" s="200">
        <f t="shared" si="1440"/>
        <v>0</v>
      </c>
      <c r="Z83" s="97" t="s">
        <v>105</v>
      </c>
      <c r="AA83" s="200">
        <f t="shared" si="1440"/>
        <v>0</v>
      </c>
      <c r="AB83" s="97" t="s">
        <v>110</v>
      </c>
      <c r="AC83" s="200">
        <f t="shared" si="1440"/>
        <v>0</v>
      </c>
      <c r="AD83" t="s">
        <v>110</v>
      </c>
      <c r="AE83" s="200">
        <f t="shared" si="1440"/>
        <v>0</v>
      </c>
      <c r="AF83" t="s">
        <v>110</v>
      </c>
      <c r="AG83" s="200">
        <f t="shared" si="1440"/>
        <v>0</v>
      </c>
      <c r="AH83" t="s">
        <v>110</v>
      </c>
      <c r="AI83" s="200">
        <f t="shared" si="1440"/>
        <v>0</v>
      </c>
      <c r="AJ83" t="s">
        <v>116</v>
      </c>
      <c r="AK83" s="200">
        <f t="shared" si="1440"/>
        <v>0</v>
      </c>
      <c r="AL83" t="s">
        <v>116</v>
      </c>
      <c r="AM83" s="200">
        <f t="shared" si="1440"/>
        <v>0</v>
      </c>
      <c r="AN83" t="s">
        <v>110</v>
      </c>
      <c r="AO83" s="200">
        <f t="shared" si="1440"/>
        <v>0</v>
      </c>
      <c r="AP83" t="s">
        <v>105</v>
      </c>
      <c r="AQ83" s="200">
        <f t="shared" si="1440"/>
        <v>0</v>
      </c>
      <c r="AR83" t="s">
        <v>116</v>
      </c>
      <c r="AS83" s="200">
        <f t="shared" si="1440"/>
        <v>0</v>
      </c>
      <c r="AT83" t="s">
        <v>122</v>
      </c>
      <c r="AU83" s="200">
        <f t="shared" si="1440"/>
        <v>0</v>
      </c>
      <c r="AV83" t="s">
        <v>105</v>
      </c>
      <c r="AW83" s="200">
        <f t="shared" si="1440"/>
        <v>0</v>
      </c>
      <c r="AX83" t="s">
        <v>110</v>
      </c>
      <c r="AY83" s="200">
        <f t="shared" si="1441"/>
        <v>0</v>
      </c>
      <c r="AZ83" t="s">
        <v>116</v>
      </c>
      <c r="BA83" s="200">
        <f t="shared" si="1442"/>
        <v>0</v>
      </c>
      <c r="BB83" t="s">
        <v>110</v>
      </c>
      <c r="BC83" s="200">
        <f t="shared" si="1443"/>
        <v>0</v>
      </c>
      <c r="BD83" t="s">
        <v>110</v>
      </c>
      <c r="BE83" s="200">
        <f t="shared" si="1444"/>
        <v>0</v>
      </c>
      <c r="BF83" t="s">
        <v>110</v>
      </c>
      <c r="BG83" s="200">
        <f t="shared" si="1445"/>
        <v>0</v>
      </c>
      <c r="BH83" t="s">
        <v>105</v>
      </c>
      <c r="BI83" s="200">
        <f t="shared" si="1446"/>
        <v>0</v>
      </c>
      <c r="BJ83" t="s">
        <v>110</v>
      </c>
      <c r="BK83" s="200">
        <f t="shared" si="1447"/>
        <v>0</v>
      </c>
      <c r="BL83" t="s">
        <v>105</v>
      </c>
      <c r="BM83" s="200">
        <f t="shared" si="1448"/>
        <v>0</v>
      </c>
      <c r="BN83" t="s">
        <v>105</v>
      </c>
      <c r="BO83" s="200">
        <f t="shared" si="1449"/>
        <v>0</v>
      </c>
      <c r="BP83" t="s">
        <v>105</v>
      </c>
      <c r="BQ83" s="200">
        <f t="shared" si="1450"/>
        <v>0</v>
      </c>
      <c r="BR83" t="s">
        <v>110</v>
      </c>
      <c r="BS83" s="200">
        <f t="shared" si="1451"/>
        <v>0</v>
      </c>
      <c r="BT83" t="s">
        <v>116</v>
      </c>
      <c r="BU83" s="200">
        <f t="shared" si="1452"/>
        <v>0</v>
      </c>
      <c r="BV83" t="s">
        <v>110</v>
      </c>
      <c r="BW83" s="200">
        <f t="shared" si="1453"/>
        <v>0</v>
      </c>
      <c r="BX83" t="s">
        <v>105</v>
      </c>
      <c r="BY83" s="200">
        <f t="shared" si="1454"/>
        <v>0</v>
      </c>
      <c r="BZ83" t="s">
        <v>110</v>
      </c>
      <c r="CA83" s="200">
        <f t="shared" si="1455"/>
        <v>0</v>
      </c>
      <c r="CB83" t="s">
        <v>110</v>
      </c>
      <c r="CC83" s="200">
        <f t="shared" si="1456"/>
        <v>0</v>
      </c>
      <c r="CD83" t="s">
        <v>110</v>
      </c>
      <c r="CE83" s="200">
        <f t="shared" si="1457"/>
        <v>0</v>
      </c>
      <c r="CF83" s="197" t="s">
        <v>105</v>
      </c>
      <c r="CG83" s="200">
        <f t="shared" si="1458"/>
        <v>0</v>
      </c>
      <c r="CH83" t="s">
        <v>110</v>
      </c>
      <c r="CI83" s="200">
        <f t="shared" si="1459"/>
        <v>0</v>
      </c>
      <c r="CJ83" t="s">
        <v>110</v>
      </c>
      <c r="CK83" s="200">
        <f t="shared" si="1460"/>
        <v>0</v>
      </c>
      <c r="CL83" s="197" t="s">
        <v>110</v>
      </c>
      <c r="CM83" s="200">
        <f t="shared" si="1461"/>
        <v>0</v>
      </c>
      <c r="CN83" t="s">
        <v>110</v>
      </c>
      <c r="CO83" s="200">
        <f t="shared" si="1462"/>
        <v>0</v>
      </c>
      <c r="CP83" t="s">
        <v>110</v>
      </c>
      <c r="CQ83" s="200">
        <f t="shared" si="1463"/>
        <v>0</v>
      </c>
      <c r="CR83" t="s">
        <v>105</v>
      </c>
      <c r="CS83" s="200">
        <f t="shared" si="1464"/>
        <v>0</v>
      </c>
      <c r="CT83" s="197" t="s">
        <v>116</v>
      </c>
      <c r="CU83" s="200">
        <f t="shared" si="1465"/>
        <v>0</v>
      </c>
      <c r="CV83" s="197" t="s">
        <v>110</v>
      </c>
      <c r="CW83" s="200">
        <f t="shared" si="1466"/>
        <v>0</v>
      </c>
      <c r="CX83" s="197" t="s">
        <v>110</v>
      </c>
      <c r="CY83" s="200">
        <f t="shared" si="1467"/>
        <v>0</v>
      </c>
      <c r="CZ83" s="197" t="s">
        <v>105</v>
      </c>
      <c r="DA83" s="200">
        <f t="shared" si="1468"/>
        <v>0</v>
      </c>
    </row>
    <row r="84" spans="15:105" x14ac:dyDescent="0.25">
      <c r="O84" s="10" t="s">
        <v>235</v>
      </c>
      <c r="P84" s="10"/>
      <c r="Q84" s="5"/>
      <c r="R84" s="97" t="s">
        <v>114</v>
      </c>
      <c r="S84" s="97">
        <f t="shared" si="1440"/>
        <v>0</v>
      </c>
      <c r="T84" s="97" t="s">
        <v>142</v>
      </c>
      <c r="U84" s="200">
        <f t="shared" si="1440"/>
        <v>0</v>
      </c>
      <c r="V84" s="97" t="s">
        <v>121</v>
      </c>
      <c r="W84" s="200">
        <f t="shared" si="1440"/>
        <v>0</v>
      </c>
      <c r="X84" s="97" t="s">
        <v>114</v>
      </c>
      <c r="Y84" s="200">
        <f t="shared" si="1440"/>
        <v>0</v>
      </c>
      <c r="Z84" s="97" t="s">
        <v>114</v>
      </c>
      <c r="AA84" s="200">
        <f t="shared" si="1440"/>
        <v>0</v>
      </c>
      <c r="AB84" s="97" t="s">
        <v>114</v>
      </c>
      <c r="AC84" s="200">
        <f t="shared" si="1440"/>
        <v>0</v>
      </c>
      <c r="AD84" t="s">
        <v>114</v>
      </c>
      <c r="AE84" s="200">
        <f t="shared" si="1440"/>
        <v>0</v>
      </c>
      <c r="AF84" t="s">
        <v>142</v>
      </c>
      <c r="AG84" s="200">
        <f t="shared" si="1440"/>
        <v>0</v>
      </c>
      <c r="AH84" t="s">
        <v>114</v>
      </c>
      <c r="AI84" s="200">
        <f t="shared" si="1440"/>
        <v>0</v>
      </c>
      <c r="AJ84" t="s">
        <v>114</v>
      </c>
      <c r="AK84" s="200">
        <f t="shared" si="1440"/>
        <v>0</v>
      </c>
      <c r="AL84" t="s">
        <v>114</v>
      </c>
      <c r="AM84" s="200">
        <f t="shared" si="1440"/>
        <v>0</v>
      </c>
      <c r="AN84" t="s">
        <v>106</v>
      </c>
      <c r="AO84" s="200">
        <f t="shared" si="1440"/>
        <v>0</v>
      </c>
      <c r="AP84" t="s">
        <v>114</v>
      </c>
      <c r="AQ84" s="200">
        <f t="shared" si="1440"/>
        <v>0</v>
      </c>
      <c r="AR84" t="s">
        <v>121</v>
      </c>
      <c r="AS84" s="200">
        <f t="shared" si="1440"/>
        <v>0</v>
      </c>
      <c r="AT84" t="s">
        <v>106</v>
      </c>
      <c r="AU84" s="200">
        <f t="shared" si="1440"/>
        <v>0</v>
      </c>
      <c r="AV84" t="s">
        <v>106</v>
      </c>
      <c r="AW84" s="200">
        <f t="shared" si="1440"/>
        <v>0</v>
      </c>
      <c r="AX84" t="s">
        <v>114</v>
      </c>
      <c r="AY84" s="200">
        <f t="shared" si="1441"/>
        <v>0</v>
      </c>
      <c r="AZ84" t="s">
        <v>106</v>
      </c>
      <c r="BA84" s="200">
        <f t="shared" si="1442"/>
        <v>0</v>
      </c>
      <c r="BB84" t="s">
        <v>106</v>
      </c>
      <c r="BC84" s="200">
        <f t="shared" si="1443"/>
        <v>0</v>
      </c>
      <c r="BD84" t="s">
        <v>121</v>
      </c>
      <c r="BE84" s="200">
        <f t="shared" si="1444"/>
        <v>0</v>
      </c>
      <c r="BF84" t="s">
        <v>114</v>
      </c>
      <c r="BG84" s="200">
        <f t="shared" si="1445"/>
        <v>0</v>
      </c>
      <c r="BH84" t="s">
        <v>106</v>
      </c>
      <c r="BI84" s="200">
        <f t="shared" si="1446"/>
        <v>0</v>
      </c>
      <c r="BJ84" t="s">
        <v>114</v>
      </c>
      <c r="BK84" s="200">
        <f t="shared" si="1447"/>
        <v>0</v>
      </c>
      <c r="BL84" t="s">
        <v>114</v>
      </c>
      <c r="BM84" s="200">
        <f t="shared" si="1448"/>
        <v>0</v>
      </c>
      <c r="BN84" t="s">
        <v>114</v>
      </c>
      <c r="BO84" s="200">
        <f t="shared" si="1449"/>
        <v>0</v>
      </c>
      <c r="BP84" t="s">
        <v>114</v>
      </c>
      <c r="BQ84" s="200">
        <f t="shared" si="1450"/>
        <v>0</v>
      </c>
      <c r="BR84" t="s">
        <v>142</v>
      </c>
      <c r="BS84" s="200">
        <f t="shared" si="1451"/>
        <v>0</v>
      </c>
      <c r="BT84" t="s">
        <v>114</v>
      </c>
      <c r="BU84" s="200">
        <f t="shared" si="1452"/>
        <v>0</v>
      </c>
      <c r="BV84" t="s">
        <v>114</v>
      </c>
      <c r="BW84" s="200">
        <f t="shared" si="1453"/>
        <v>0</v>
      </c>
      <c r="BX84" t="s">
        <v>114</v>
      </c>
      <c r="BY84" s="200">
        <f t="shared" si="1454"/>
        <v>0</v>
      </c>
      <c r="BZ84" t="s">
        <v>121</v>
      </c>
      <c r="CA84" s="200">
        <f t="shared" si="1455"/>
        <v>0</v>
      </c>
      <c r="CB84" t="s">
        <v>114</v>
      </c>
      <c r="CC84" s="200">
        <f t="shared" si="1456"/>
        <v>0</v>
      </c>
      <c r="CD84" t="s">
        <v>106</v>
      </c>
      <c r="CE84" s="200">
        <f t="shared" si="1457"/>
        <v>0</v>
      </c>
      <c r="CF84" s="197" t="s">
        <v>114</v>
      </c>
      <c r="CG84" s="200">
        <f t="shared" si="1458"/>
        <v>0</v>
      </c>
      <c r="CH84" t="s">
        <v>106</v>
      </c>
      <c r="CI84" s="200">
        <f t="shared" si="1459"/>
        <v>0</v>
      </c>
      <c r="CJ84" t="s">
        <v>114</v>
      </c>
      <c r="CK84" s="200">
        <f t="shared" si="1460"/>
        <v>0</v>
      </c>
      <c r="CL84" s="197" t="s">
        <v>114</v>
      </c>
      <c r="CM84" s="200">
        <f t="shared" si="1461"/>
        <v>0</v>
      </c>
      <c r="CN84" t="s">
        <v>114</v>
      </c>
      <c r="CO84" s="200">
        <f t="shared" si="1462"/>
        <v>0</v>
      </c>
      <c r="CP84" t="s">
        <v>114</v>
      </c>
      <c r="CQ84" s="200">
        <f t="shared" si="1463"/>
        <v>0</v>
      </c>
      <c r="CR84" t="s">
        <v>106</v>
      </c>
      <c r="CS84" s="200">
        <f t="shared" si="1464"/>
        <v>0</v>
      </c>
      <c r="CT84" s="197" t="s">
        <v>106</v>
      </c>
      <c r="CU84" s="200">
        <f t="shared" si="1465"/>
        <v>0</v>
      </c>
      <c r="CV84" s="197" t="s">
        <v>121</v>
      </c>
      <c r="CW84" s="200">
        <f t="shared" si="1466"/>
        <v>0</v>
      </c>
      <c r="CX84" s="197" t="s">
        <v>114</v>
      </c>
      <c r="CY84" s="200">
        <f t="shared" si="1467"/>
        <v>0</v>
      </c>
      <c r="CZ84" s="197" t="s">
        <v>121</v>
      </c>
      <c r="DA84" s="200">
        <f t="shared" si="1468"/>
        <v>0</v>
      </c>
    </row>
    <row r="85" spans="15:105" x14ac:dyDescent="0.25">
      <c r="O85" s="10" t="s">
        <v>235</v>
      </c>
      <c r="P85" s="10"/>
      <c r="Q85" s="5"/>
      <c r="R85" s="97" t="s">
        <v>113</v>
      </c>
      <c r="S85" s="97">
        <f t="shared" si="1440"/>
        <v>0</v>
      </c>
      <c r="T85" s="97" t="s">
        <v>113</v>
      </c>
      <c r="U85" s="200">
        <f t="shared" si="1440"/>
        <v>0</v>
      </c>
      <c r="V85" s="97" t="s">
        <v>113</v>
      </c>
      <c r="W85" s="200">
        <f t="shared" si="1440"/>
        <v>0</v>
      </c>
      <c r="X85" s="97" t="s">
        <v>120</v>
      </c>
      <c r="Y85" s="200">
        <f t="shared" si="1440"/>
        <v>0</v>
      </c>
      <c r="Z85" s="97" t="s">
        <v>123</v>
      </c>
      <c r="AA85" s="200">
        <f t="shared" si="1440"/>
        <v>0</v>
      </c>
      <c r="AB85" s="97" t="s">
        <v>113</v>
      </c>
      <c r="AC85" s="200">
        <f t="shared" si="1440"/>
        <v>0</v>
      </c>
      <c r="AD85" t="s">
        <v>113</v>
      </c>
      <c r="AE85" s="200">
        <f t="shared" si="1440"/>
        <v>0</v>
      </c>
      <c r="AF85" t="s">
        <v>123</v>
      </c>
      <c r="AG85" s="200">
        <f t="shared" si="1440"/>
        <v>0</v>
      </c>
      <c r="AH85" t="s">
        <v>113</v>
      </c>
      <c r="AI85" s="200">
        <f t="shared" si="1440"/>
        <v>0</v>
      </c>
      <c r="AJ85" t="s">
        <v>109</v>
      </c>
      <c r="AK85" s="200">
        <f t="shared" si="1440"/>
        <v>0</v>
      </c>
      <c r="AL85" t="s">
        <v>120</v>
      </c>
      <c r="AM85" s="200">
        <f t="shared" si="1440"/>
        <v>0</v>
      </c>
      <c r="AN85" t="s">
        <v>123</v>
      </c>
      <c r="AO85" s="200">
        <f t="shared" si="1440"/>
        <v>0</v>
      </c>
      <c r="AP85" t="s">
        <v>113</v>
      </c>
      <c r="AQ85" s="200">
        <f t="shared" si="1440"/>
        <v>0</v>
      </c>
      <c r="AR85" t="s">
        <v>113</v>
      </c>
      <c r="AS85" s="200">
        <f t="shared" si="1440"/>
        <v>0</v>
      </c>
      <c r="AT85" t="s">
        <v>120</v>
      </c>
      <c r="AU85" s="200">
        <f t="shared" si="1440"/>
        <v>0</v>
      </c>
      <c r="AV85" t="s">
        <v>113</v>
      </c>
      <c r="AW85" s="200">
        <f t="shared" si="1440"/>
        <v>0</v>
      </c>
      <c r="AX85" t="s">
        <v>123</v>
      </c>
      <c r="AY85" s="200">
        <f t="shared" si="1441"/>
        <v>0</v>
      </c>
      <c r="AZ85" t="s">
        <v>113</v>
      </c>
      <c r="BA85" s="200">
        <f t="shared" si="1442"/>
        <v>0</v>
      </c>
      <c r="BB85" t="s">
        <v>113</v>
      </c>
      <c r="BC85" s="200">
        <f t="shared" si="1443"/>
        <v>0</v>
      </c>
      <c r="BD85" t="s">
        <v>109</v>
      </c>
      <c r="BE85" s="200">
        <f t="shared" si="1444"/>
        <v>0</v>
      </c>
      <c r="BF85" t="s">
        <v>113</v>
      </c>
      <c r="BG85" s="200">
        <f t="shared" si="1445"/>
        <v>0</v>
      </c>
      <c r="BH85" t="s">
        <v>113</v>
      </c>
      <c r="BI85" s="200">
        <f t="shared" si="1446"/>
        <v>0</v>
      </c>
      <c r="BJ85" t="s">
        <v>113</v>
      </c>
      <c r="BK85" s="200">
        <f t="shared" si="1447"/>
        <v>0</v>
      </c>
      <c r="BL85" t="s">
        <v>113</v>
      </c>
      <c r="BM85" s="200">
        <f t="shared" si="1448"/>
        <v>0</v>
      </c>
      <c r="BN85" t="s">
        <v>113</v>
      </c>
      <c r="BO85" s="200">
        <f t="shared" si="1449"/>
        <v>0</v>
      </c>
      <c r="BP85" t="s">
        <v>109</v>
      </c>
      <c r="BQ85" s="200">
        <f t="shared" si="1450"/>
        <v>0</v>
      </c>
      <c r="BR85" t="s">
        <v>113</v>
      </c>
      <c r="BS85" s="200">
        <f t="shared" si="1451"/>
        <v>0</v>
      </c>
      <c r="BT85" t="s">
        <v>113</v>
      </c>
      <c r="BU85" s="200">
        <f t="shared" si="1452"/>
        <v>0</v>
      </c>
      <c r="BV85" t="s">
        <v>113</v>
      </c>
      <c r="BW85" s="200">
        <f t="shared" si="1453"/>
        <v>0</v>
      </c>
      <c r="BX85" t="s">
        <v>109</v>
      </c>
      <c r="BY85" s="200">
        <f t="shared" si="1454"/>
        <v>0</v>
      </c>
      <c r="BZ85" t="s">
        <v>123</v>
      </c>
      <c r="CA85" s="200">
        <f t="shared" si="1455"/>
        <v>0</v>
      </c>
      <c r="CB85" t="s">
        <v>113</v>
      </c>
      <c r="CC85" s="200">
        <f t="shared" si="1456"/>
        <v>0</v>
      </c>
      <c r="CD85" t="s">
        <v>113</v>
      </c>
      <c r="CE85" s="200">
        <f t="shared" si="1457"/>
        <v>0</v>
      </c>
      <c r="CF85" s="197" t="s">
        <v>113</v>
      </c>
      <c r="CG85" s="200">
        <f t="shared" si="1458"/>
        <v>0</v>
      </c>
      <c r="CH85" t="s">
        <v>113</v>
      </c>
      <c r="CI85" s="200">
        <f t="shared" si="1459"/>
        <v>0</v>
      </c>
      <c r="CJ85" t="s">
        <v>113</v>
      </c>
      <c r="CK85" s="200">
        <f t="shared" si="1460"/>
        <v>0</v>
      </c>
      <c r="CL85" s="197" t="s">
        <v>113</v>
      </c>
      <c r="CM85" s="200">
        <f t="shared" si="1461"/>
        <v>0</v>
      </c>
      <c r="CN85" t="s">
        <v>113</v>
      </c>
      <c r="CO85" s="200">
        <f t="shared" si="1462"/>
        <v>0</v>
      </c>
      <c r="CP85" t="s">
        <v>113</v>
      </c>
      <c r="CQ85" s="200">
        <f t="shared" si="1463"/>
        <v>0</v>
      </c>
      <c r="CR85" t="s">
        <v>113</v>
      </c>
      <c r="CS85" s="200">
        <f t="shared" si="1464"/>
        <v>0</v>
      </c>
      <c r="CT85" s="197" t="s">
        <v>109</v>
      </c>
      <c r="CU85" s="200">
        <f t="shared" si="1465"/>
        <v>0</v>
      </c>
      <c r="CV85" s="197" t="s">
        <v>109</v>
      </c>
      <c r="CW85" s="200">
        <f t="shared" si="1466"/>
        <v>0</v>
      </c>
      <c r="CX85" s="197" t="s">
        <v>113</v>
      </c>
      <c r="CY85" s="200">
        <f t="shared" si="1467"/>
        <v>0</v>
      </c>
      <c r="CZ85" s="197" t="s">
        <v>113</v>
      </c>
      <c r="DA85" s="200">
        <f t="shared" si="1468"/>
        <v>0</v>
      </c>
    </row>
    <row r="86" spans="15:105" x14ac:dyDescent="0.25">
      <c r="U86" s="200"/>
      <c r="W86" s="200"/>
      <c r="Y86" s="200"/>
      <c r="AA86" s="200"/>
      <c r="AC86" s="200"/>
      <c r="AE86" s="200"/>
      <c r="AG86" s="200"/>
      <c r="AI86" s="200"/>
      <c r="AK86" s="200"/>
      <c r="AM86" s="200"/>
      <c r="AO86" s="200"/>
      <c r="AQ86" s="200"/>
      <c r="AS86" s="200"/>
      <c r="AU86" s="200"/>
      <c r="AW86" s="200"/>
      <c r="AY86" s="200"/>
      <c r="BA86" s="200"/>
      <c r="BC86" s="200"/>
      <c r="BE86" s="200"/>
      <c r="BG86" s="200"/>
      <c r="BI86" s="200"/>
      <c r="BK86" s="200"/>
      <c r="BM86" s="200"/>
      <c r="BO86" s="200"/>
      <c r="BQ86" s="200"/>
      <c r="BS86" s="200"/>
      <c r="BU86" s="200"/>
      <c r="BW86" s="200"/>
      <c r="BY86" s="200"/>
      <c r="CA86" s="200"/>
      <c r="CC86" s="200"/>
      <c r="CE86" s="200"/>
      <c r="CF86" s="197"/>
      <c r="CL86" s="197"/>
      <c r="CT86" s="197"/>
      <c r="CV86" s="197"/>
      <c r="CX86" s="197"/>
      <c r="CZ86" s="197"/>
    </row>
    <row r="87" spans="15:105" ht="21" x14ac:dyDescent="0.35">
      <c r="O87" s="96" t="s">
        <v>236</v>
      </c>
      <c r="U87" s="200"/>
      <c r="W87" s="200"/>
      <c r="Y87" s="200"/>
      <c r="AA87" s="200"/>
      <c r="AC87" s="200"/>
      <c r="AE87" s="200"/>
      <c r="AG87" s="200"/>
      <c r="AI87" s="200"/>
      <c r="AK87" s="200"/>
      <c r="AM87" s="200"/>
      <c r="AO87" s="200"/>
      <c r="AQ87" s="200"/>
      <c r="AS87" s="200"/>
      <c r="AU87" s="200"/>
      <c r="AW87" s="200"/>
      <c r="AY87" s="200"/>
      <c r="BA87" s="200"/>
      <c r="BC87" s="200"/>
      <c r="BE87" s="200"/>
      <c r="BG87" s="200"/>
      <c r="BI87" s="200"/>
      <c r="BK87" s="200"/>
      <c r="BM87" s="200"/>
      <c r="BO87" s="200"/>
      <c r="BQ87" s="200"/>
      <c r="BS87" s="200"/>
      <c r="BU87" s="200"/>
      <c r="BW87" s="200"/>
      <c r="BY87" s="200"/>
      <c r="CA87" s="200"/>
      <c r="CC87" s="200"/>
      <c r="CE87" s="200"/>
      <c r="CF87" s="197"/>
      <c r="CL87" s="197"/>
      <c r="CT87" s="197"/>
      <c r="CV87" s="197"/>
      <c r="CX87" s="197"/>
      <c r="CZ87" s="197"/>
    </row>
    <row r="88" spans="15:105" x14ac:dyDescent="0.25">
      <c r="O88" s="10" t="s">
        <v>238</v>
      </c>
      <c r="P88" s="10"/>
      <c r="Q88" s="5"/>
      <c r="R88" s="97" t="s">
        <v>112</v>
      </c>
      <c r="S88" s="97">
        <f>COUNTIF($P$88:$P$95,R88)*$M$11</f>
        <v>0</v>
      </c>
      <c r="T88" s="97" t="s">
        <v>117</v>
      </c>
      <c r="U88" s="200">
        <f>COUNTIF($P$88:$P$95,T88)*$M$11</f>
        <v>0</v>
      </c>
      <c r="V88" s="97" t="s">
        <v>112</v>
      </c>
      <c r="W88" s="200">
        <f>COUNTIF($P$88:$P$95,V88)*$M$11</f>
        <v>0</v>
      </c>
      <c r="X88" s="97" t="s">
        <v>117</v>
      </c>
      <c r="Y88" s="200">
        <f>COUNTIF($P$88:$P$95,X88)*$M$11</f>
        <v>0</v>
      </c>
      <c r="Z88" s="97" t="s">
        <v>117</v>
      </c>
      <c r="AA88" s="200">
        <f>COUNTIF($P$88:$P$95,Z88)*$M$11</f>
        <v>0</v>
      </c>
      <c r="AB88" s="97" t="s">
        <v>112</v>
      </c>
      <c r="AC88" s="200">
        <f>COUNTIF($P$88:$P$95,AB88)*$M$11</f>
        <v>0</v>
      </c>
      <c r="AD88" t="s">
        <v>112</v>
      </c>
      <c r="AE88" s="200">
        <f>COUNTIF($P$88:$P$95,AD88)*$M$11</f>
        <v>0</v>
      </c>
      <c r="AF88" t="s">
        <v>117</v>
      </c>
      <c r="AG88" s="200">
        <f>COUNTIF($P$88:$P$95,AF88)*$M$11</f>
        <v>0</v>
      </c>
      <c r="AH88" t="s">
        <v>112</v>
      </c>
      <c r="AI88" s="200">
        <f>COUNTIF($P$88:$P$95,AH88)*$M$11</f>
        <v>0</v>
      </c>
      <c r="AJ88" t="s">
        <v>112</v>
      </c>
      <c r="AK88" s="200">
        <f>COUNTIF($P$88:$P$95,AJ88)*$M$11</f>
        <v>0</v>
      </c>
      <c r="AL88" t="s">
        <v>117</v>
      </c>
      <c r="AM88" s="200">
        <f>COUNTIF($P$88:$P$95,AL88)*$M$11</f>
        <v>0</v>
      </c>
      <c r="AN88" t="s">
        <v>112</v>
      </c>
      <c r="AO88" s="200">
        <f>COUNTIF($P$88:$P$95,AN88)*$M$11</f>
        <v>0</v>
      </c>
      <c r="AP88" t="s">
        <v>115</v>
      </c>
      <c r="AQ88" s="200">
        <f>COUNTIF($P$88:$P$95,AP88)*$M$11</f>
        <v>0</v>
      </c>
      <c r="AR88" t="s">
        <v>117</v>
      </c>
      <c r="AS88" s="200">
        <f>COUNTIF($P$88:$P$95,AR88)*$M$11</f>
        <v>0</v>
      </c>
      <c r="AT88" t="s">
        <v>126</v>
      </c>
      <c r="AU88" s="200">
        <f>COUNTIF($P$88:$P$95,AT88)*$M$11</f>
        <v>0</v>
      </c>
      <c r="AV88" t="s">
        <v>117</v>
      </c>
      <c r="AW88" s="200">
        <f>COUNTIF($P$88:$P$95,AV88)*$M$11</f>
        <v>0</v>
      </c>
      <c r="AX88" t="s">
        <v>115</v>
      </c>
      <c r="AY88" s="200">
        <f>COUNTIF($P$88:$P$95,AX88)*$M$11</f>
        <v>0</v>
      </c>
      <c r="AZ88" t="s">
        <v>112</v>
      </c>
      <c r="BA88" s="200">
        <f>COUNTIF($P$88:$P$95,AZ88)*$M$11</f>
        <v>0</v>
      </c>
      <c r="BB88" t="s">
        <v>112</v>
      </c>
      <c r="BC88" s="200">
        <f>COUNTIF($P$88:$P$95,BB88)*$M$11</f>
        <v>0</v>
      </c>
      <c r="BD88" t="s">
        <v>115</v>
      </c>
      <c r="BE88" s="200">
        <f>COUNTIF($P$88:$P$95,BD88)*$M$11</f>
        <v>0</v>
      </c>
      <c r="BF88" t="s">
        <v>117</v>
      </c>
      <c r="BG88" s="200">
        <f>COUNTIF($P$88:$P$95,BF88)*$M$11</f>
        <v>0</v>
      </c>
      <c r="BH88" t="s">
        <v>112</v>
      </c>
      <c r="BI88" s="200">
        <f>COUNTIF($P$88:$P$95,BH88)*$M$11</f>
        <v>0</v>
      </c>
      <c r="BJ88" t="s">
        <v>117</v>
      </c>
      <c r="BK88" s="200">
        <f>COUNTIF($P$88:$P$95,BJ88)*$M$11</f>
        <v>0</v>
      </c>
      <c r="BL88" t="s">
        <v>112</v>
      </c>
      <c r="BM88" s="200">
        <f>COUNTIF($P$88:$P$95,BL88)*$M$11</f>
        <v>0</v>
      </c>
      <c r="BN88" t="s">
        <v>115</v>
      </c>
      <c r="BO88" s="200">
        <f>COUNTIF($P$88:$P$95,BN88)*$M$11</f>
        <v>0</v>
      </c>
      <c r="BP88" t="s">
        <v>117</v>
      </c>
      <c r="BQ88" s="200">
        <f>COUNTIF($P$88:$P$95,BP88)*$M$11</f>
        <v>0</v>
      </c>
      <c r="BR88" t="s">
        <v>117</v>
      </c>
      <c r="BS88" s="200">
        <f>COUNTIF($P$88:$P$95,BR88)*$M$11</f>
        <v>0</v>
      </c>
      <c r="BT88" t="s">
        <v>117</v>
      </c>
      <c r="BU88" s="200">
        <f>COUNTIF($P$88:$P$95,BT88)*$M$11</f>
        <v>0</v>
      </c>
      <c r="BV88" t="s">
        <v>117</v>
      </c>
      <c r="BW88" s="200">
        <f>COUNTIF($P$88:$P$95,BV88)*$M$11</f>
        <v>0</v>
      </c>
      <c r="BX88" t="s">
        <v>104</v>
      </c>
      <c r="BY88" s="200">
        <f>COUNTIF($P$88:$P$95,BX88)*$M$11</f>
        <v>0</v>
      </c>
      <c r="BZ88" t="s">
        <v>118</v>
      </c>
      <c r="CA88" s="200">
        <f>COUNTIF($P$88:$P$95,BZ88)*$M$11</f>
        <v>0</v>
      </c>
      <c r="CB88" t="s">
        <v>117</v>
      </c>
      <c r="CC88" s="200">
        <f>COUNTIF($P$88:$P$95,CB88)*$M$11</f>
        <v>0</v>
      </c>
      <c r="CD88" t="s">
        <v>115</v>
      </c>
      <c r="CE88" s="200">
        <f>COUNTIF($P$88:$P$95,CD88)*$M$11</f>
        <v>0</v>
      </c>
      <c r="CF88" s="197" t="s">
        <v>112</v>
      </c>
      <c r="CG88" s="200">
        <f>COUNTIF($P$88:$P$95,CF88)*$M$11</f>
        <v>0</v>
      </c>
      <c r="CH88" t="s">
        <v>112</v>
      </c>
      <c r="CI88" s="200">
        <f>COUNTIF($P$88:$P$95,CH88)*$M$11</f>
        <v>0</v>
      </c>
      <c r="CJ88" t="s">
        <v>117</v>
      </c>
      <c r="CK88" s="200">
        <f>COUNTIF($P$88:$P$95,CJ88)*$M$11</f>
        <v>0</v>
      </c>
      <c r="CL88" s="197" t="s">
        <v>117</v>
      </c>
      <c r="CM88" s="200">
        <f>COUNTIF($P$88:$P$95,CL88)*$M$11</f>
        <v>0</v>
      </c>
      <c r="CN88" t="s">
        <v>112</v>
      </c>
      <c r="CO88" s="200">
        <f>COUNTIF($P$88:$P$95,CN88)*$M$11</f>
        <v>0</v>
      </c>
      <c r="CP88" t="s">
        <v>117</v>
      </c>
      <c r="CQ88" s="200">
        <f>COUNTIF($P$88:$P$95,CP88)*$M$11</f>
        <v>0</v>
      </c>
      <c r="CR88" t="s">
        <v>118</v>
      </c>
      <c r="CS88" s="200">
        <f>COUNTIF($P$88:$P$95,CR88)*$M$11</f>
        <v>0</v>
      </c>
      <c r="CT88" s="197" t="s">
        <v>115</v>
      </c>
      <c r="CU88" s="200">
        <f>COUNTIF($P$88:$P$95,CT88)*$M$11</f>
        <v>0</v>
      </c>
      <c r="CV88" s="197" t="s">
        <v>117</v>
      </c>
      <c r="CW88" s="200">
        <f>COUNTIF($P$88:$P$95,CV88)*$M$11</f>
        <v>0</v>
      </c>
      <c r="CX88" s="197" t="s">
        <v>117</v>
      </c>
      <c r="CY88" s="200">
        <f>COUNTIF($P$88:$P$95,CX88)*$M$11</f>
        <v>0</v>
      </c>
      <c r="CZ88" s="197" t="s">
        <v>112</v>
      </c>
      <c r="DA88" s="200">
        <f>COUNTIF($P$88:$P$95,CZ88)*$M$11</f>
        <v>0</v>
      </c>
    </row>
    <row r="89" spans="15:105" x14ac:dyDescent="0.25">
      <c r="O89" s="10" t="s">
        <v>238</v>
      </c>
      <c r="P89" s="10"/>
      <c r="Q89" s="5"/>
      <c r="R89" s="97" t="s">
        <v>108</v>
      </c>
      <c r="S89" s="97">
        <f t="shared" ref="S89:CK95" si="1469">COUNTIF($P$88:$P$95,R89)*$M$11</f>
        <v>0</v>
      </c>
      <c r="T89" s="97" t="s">
        <v>108</v>
      </c>
      <c r="U89" s="200">
        <f t="shared" si="1469"/>
        <v>0</v>
      </c>
      <c r="V89" s="97" t="s">
        <v>108</v>
      </c>
      <c r="W89" s="200">
        <f t="shared" si="1469"/>
        <v>0</v>
      </c>
      <c r="X89" s="97" t="s">
        <v>111</v>
      </c>
      <c r="Y89" s="200">
        <f t="shared" si="1469"/>
        <v>0</v>
      </c>
      <c r="Z89" s="97" t="s">
        <v>118</v>
      </c>
      <c r="AA89" s="200">
        <f t="shared" si="1469"/>
        <v>0</v>
      </c>
      <c r="AB89" s="97" t="s">
        <v>108</v>
      </c>
      <c r="AC89" s="200">
        <f t="shared" si="1469"/>
        <v>0</v>
      </c>
      <c r="AD89" t="s">
        <v>108</v>
      </c>
      <c r="AE89" s="200">
        <f t="shared" si="1469"/>
        <v>0</v>
      </c>
      <c r="AF89" t="s">
        <v>108</v>
      </c>
      <c r="AG89" s="200">
        <f t="shared" si="1469"/>
        <v>0</v>
      </c>
      <c r="AH89" t="s">
        <v>108</v>
      </c>
      <c r="AI89" s="200">
        <f t="shared" si="1469"/>
        <v>0</v>
      </c>
      <c r="AJ89" t="s">
        <v>108</v>
      </c>
      <c r="AK89" s="200">
        <f t="shared" si="1469"/>
        <v>0</v>
      </c>
      <c r="AL89" t="s">
        <v>108</v>
      </c>
      <c r="AM89" s="200">
        <f t="shared" si="1469"/>
        <v>0</v>
      </c>
      <c r="AN89" t="s">
        <v>108</v>
      </c>
      <c r="AO89" s="200">
        <f t="shared" si="1469"/>
        <v>0</v>
      </c>
      <c r="AP89" t="s">
        <v>108</v>
      </c>
      <c r="AQ89" s="200">
        <f t="shared" si="1469"/>
        <v>0</v>
      </c>
      <c r="AR89" t="s">
        <v>108</v>
      </c>
      <c r="AS89" s="200">
        <f t="shared" si="1469"/>
        <v>0</v>
      </c>
      <c r="AT89" t="s">
        <v>108</v>
      </c>
      <c r="AU89" s="200">
        <f t="shared" si="1469"/>
        <v>0</v>
      </c>
      <c r="AV89" t="s">
        <v>108</v>
      </c>
      <c r="AW89" s="200">
        <f t="shared" si="1469"/>
        <v>0</v>
      </c>
      <c r="AX89" t="s">
        <v>108</v>
      </c>
      <c r="AY89" s="200">
        <f t="shared" si="1469"/>
        <v>0</v>
      </c>
      <c r="AZ89" t="s">
        <v>108</v>
      </c>
      <c r="BA89" s="200">
        <f t="shared" si="1469"/>
        <v>0</v>
      </c>
      <c r="BB89" t="s">
        <v>108</v>
      </c>
      <c r="BC89" s="200">
        <f t="shared" si="1469"/>
        <v>0</v>
      </c>
      <c r="BD89" t="s">
        <v>124</v>
      </c>
      <c r="BE89" s="200">
        <f t="shared" si="1469"/>
        <v>0</v>
      </c>
      <c r="BF89" t="s">
        <v>108</v>
      </c>
      <c r="BG89" s="200">
        <f t="shared" si="1469"/>
        <v>0</v>
      </c>
      <c r="BH89" t="s">
        <v>108</v>
      </c>
      <c r="BI89" s="200">
        <f t="shared" si="1469"/>
        <v>0</v>
      </c>
      <c r="BJ89" t="s">
        <v>108</v>
      </c>
      <c r="BK89" s="200">
        <f t="shared" si="1469"/>
        <v>0</v>
      </c>
      <c r="BL89" t="s">
        <v>108</v>
      </c>
      <c r="BM89" s="200">
        <f t="shared" si="1469"/>
        <v>0</v>
      </c>
      <c r="BN89" t="s">
        <v>108</v>
      </c>
      <c r="BO89" s="200">
        <f t="shared" si="1469"/>
        <v>0</v>
      </c>
      <c r="BP89" t="s">
        <v>108</v>
      </c>
      <c r="BQ89" s="200">
        <f t="shared" si="1469"/>
        <v>0</v>
      </c>
      <c r="BR89" t="s">
        <v>108</v>
      </c>
      <c r="BS89" s="200">
        <f t="shared" si="1469"/>
        <v>0</v>
      </c>
      <c r="BT89" t="s">
        <v>108</v>
      </c>
      <c r="BU89" s="200">
        <f t="shared" si="1469"/>
        <v>0</v>
      </c>
      <c r="BV89" t="s">
        <v>108</v>
      </c>
      <c r="BW89" s="200">
        <f t="shared" si="1469"/>
        <v>0</v>
      </c>
      <c r="BX89" t="s">
        <v>108</v>
      </c>
      <c r="BY89" s="200">
        <f t="shared" si="1469"/>
        <v>0</v>
      </c>
      <c r="BZ89" t="s">
        <v>108</v>
      </c>
      <c r="CA89" s="200">
        <f t="shared" si="1469"/>
        <v>0</v>
      </c>
      <c r="CB89" t="s">
        <v>108</v>
      </c>
      <c r="CC89" s="200">
        <f t="shared" si="1469"/>
        <v>0</v>
      </c>
      <c r="CD89" t="s">
        <v>118</v>
      </c>
      <c r="CE89" s="200">
        <f t="shared" si="1469"/>
        <v>0</v>
      </c>
      <c r="CF89" s="197" t="s">
        <v>108</v>
      </c>
      <c r="CG89" s="200">
        <f t="shared" si="1469"/>
        <v>0</v>
      </c>
      <c r="CH89" t="s">
        <v>108</v>
      </c>
      <c r="CI89" s="200">
        <f t="shared" si="1469"/>
        <v>0</v>
      </c>
      <c r="CJ89" t="s">
        <v>108</v>
      </c>
      <c r="CK89" s="200">
        <f t="shared" si="1469"/>
        <v>0</v>
      </c>
      <c r="CL89" s="197" t="s">
        <v>108</v>
      </c>
      <c r="CM89" s="200">
        <f t="shared" ref="CM89:CM95" si="1470">COUNTIF($P$88:$P$95,CL89)*$M$11</f>
        <v>0</v>
      </c>
      <c r="CN89" t="s">
        <v>107</v>
      </c>
      <c r="CO89" s="200">
        <f t="shared" ref="CO89:CO95" si="1471">COUNTIF($P$88:$P$95,CN89)*$M$11</f>
        <v>0</v>
      </c>
      <c r="CP89" t="s">
        <v>108</v>
      </c>
      <c r="CQ89" s="200">
        <f t="shared" ref="CQ89:CQ95" si="1472">COUNTIF($P$88:$P$95,CP89)*$M$11</f>
        <v>0</v>
      </c>
      <c r="CR89" t="s">
        <v>108</v>
      </c>
      <c r="CS89" s="200">
        <f t="shared" ref="CS89:CS95" si="1473">COUNTIF($P$88:$P$95,CR89)*$M$11</f>
        <v>0</v>
      </c>
      <c r="CT89" s="197" t="s">
        <v>111</v>
      </c>
      <c r="CU89" s="200">
        <f t="shared" ref="CU89:CU95" si="1474">COUNTIF($P$88:$P$95,CT89)*$M$11</f>
        <v>0</v>
      </c>
      <c r="CV89" s="197" t="s">
        <v>108</v>
      </c>
      <c r="CW89" s="200">
        <f t="shared" ref="CW89:CW95" si="1475">COUNTIF($P$88:$P$95,CV89)*$M$11</f>
        <v>0</v>
      </c>
      <c r="CX89" s="197" t="s">
        <v>108</v>
      </c>
      <c r="CY89" s="200">
        <f t="shared" ref="CY89:CY95" si="1476">COUNTIF($P$88:$P$95,CX89)*$M$11</f>
        <v>0</v>
      </c>
      <c r="CZ89" s="197" t="s">
        <v>108</v>
      </c>
      <c r="DA89" s="200">
        <f t="shared" ref="DA89:DA95" si="1477">COUNTIF($P$88:$P$95,CZ89)*$M$11</f>
        <v>0</v>
      </c>
    </row>
    <row r="90" spans="15:105" x14ac:dyDescent="0.25">
      <c r="O90" s="10" t="s">
        <v>238</v>
      </c>
      <c r="P90" s="10"/>
      <c r="Q90" s="5"/>
      <c r="R90" s="97" t="s">
        <v>107</v>
      </c>
      <c r="S90" s="97">
        <f t="shared" si="1469"/>
        <v>0</v>
      </c>
      <c r="T90" s="97" t="s">
        <v>107</v>
      </c>
      <c r="U90" s="200">
        <f t="shared" si="1469"/>
        <v>0</v>
      </c>
      <c r="V90" s="97" t="s">
        <v>107</v>
      </c>
      <c r="W90" s="200">
        <f t="shared" si="1469"/>
        <v>0</v>
      </c>
      <c r="X90" s="97" t="s">
        <v>107</v>
      </c>
      <c r="Y90" s="200">
        <f t="shared" si="1469"/>
        <v>0</v>
      </c>
      <c r="Z90" s="97" t="s">
        <v>107</v>
      </c>
      <c r="AA90" s="200">
        <f t="shared" si="1469"/>
        <v>0</v>
      </c>
      <c r="AB90" s="97" t="s">
        <v>107</v>
      </c>
      <c r="AC90" s="200">
        <f t="shared" si="1469"/>
        <v>0</v>
      </c>
      <c r="AD90" t="s">
        <v>107</v>
      </c>
      <c r="AE90" s="200">
        <f t="shared" si="1469"/>
        <v>0</v>
      </c>
      <c r="AF90" t="s">
        <v>107</v>
      </c>
      <c r="AG90" s="200">
        <f t="shared" si="1469"/>
        <v>0</v>
      </c>
      <c r="AH90" t="s">
        <v>107</v>
      </c>
      <c r="AI90" s="200">
        <f t="shared" si="1469"/>
        <v>0</v>
      </c>
      <c r="AJ90" t="s">
        <v>107</v>
      </c>
      <c r="AK90" s="200">
        <f t="shared" si="1469"/>
        <v>0</v>
      </c>
      <c r="AL90" t="s">
        <v>107</v>
      </c>
      <c r="AM90" s="200">
        <f t="shared" si="1469"/>
        <v>0</v>
      </c>
      <c r="AN90" t="s">
        <v>107</v>
      </c>
      <c r="AO90" s="200">
        <f t="shared" si="1469"/>
        <v>0</v>
      </c>
      <c r="AP90" t="s">
        <v>107</v>
      </c>
      <c r="AQ90" s="200">
        <f t="shared" si="1469"/>
        <v>0</v>
      </c>
      <c r="AR90" t="s">
        <v>107</v>
      </c>
      <c r="AS90" s="200">
        <f t="shared" si="1469"/>
        <v>0</v>
      </c>
      <c r="AT90" t="s">
        <v>107</v>
      </c>
      <c r="AU90" s="200">
        <f t="shared" si="1469"/>
        <v>0</v>
      </c>
      <c r="AV90" t="s">
        <v>107</v>
      </c>
      <c r="AW90" s="200">
        <f t="shared" si="1469"/>
        <v>0</v>
      </c>
      <c r="AX90" t="s">
        <v>107</v>
      </c>
      <c r="AY90" s="200">
        <f t="shared" si="1469"/>
        <v>0</v>
      </c>
      <c r="AZ90" t="s">
        <v>107</v>
      </c>
      <c r="BA90" s="200">
        <f t="shared" si="1469"/>
        <v>0</v>
      </c>
      <c r="BB90" t="s">
        <v>107</v>
      </c>
      <c r="BC90" s="200">
        <f t="shared" si="1469"/>
        <v>0</v>
      </c>
      <c r="BD90" t="s">
        <v>107</v>
      </c>
      <c r="BE90" s="200">
        <f t="shared" si="1469"/>
        <v>0</v>
      </c>
      <c r="BF90" t="s">
        <v>107</v>
      </c>
      <c r="BG90" s="200">
        <f t="shared" si="1469"/>
        <v>0</v>
      </c>
      <c r="BH90" t="s">
        <v>107</v>
      </c>
      <c r="BI90" s="200">
        <f t="shared" si="1469"/>
        <v>0</v>
      </c>
      <c r="BJ90" t="s">
        <v>107</v>
      </c>
      <c r="BK90" s="200">
        <f t="shared" si="1469"/>
        <v>0</v>
      </c>
      <c r="BL90" t="s">
        <v>107</v>
      </c>
      <c r="BM90" s="200">
        <f t="shared" si="1469"/>
        <v>0</v>
      </c>
      <c r="BN90" t="s">
        <v>107</v>
      </c>
      <c r="BO90" s="200">
        <f t="shared" si="1469"/>
        <v>0</v>
      </c>
      <c r="BP90" t="s">
        <v>107</v>
      </c>
      <c r="BQ90" s="200">
        <f t="shared" si="1469"/>
        <v>0</v>
      </c>
      <c r="BR90" t="s">
        <v>107</v>
      </c>
      <c r="BS90" s="200">
        <f t="shared" si="1469"/>
        <v>0</v>
      </c>
      <c r="BT90" t="s">
        <v>107</v>
      </c>
      <c r="BU90" s="200">
        <f t="shared" si="1469"/>
        <v>0</v>
      </c>
      <c r="BV90" t="s">
        <v>107</v>
      </c>
      <c r="BW90" s="200">
        <f t="shared" si="1469"/>
        <v>0</v>
      </c>
      <c r="BX90" t="s">
        <v>107</v>
      </c>
      <c r="BY90" s="200">
        <f t="shared" si="1469"/>
        <v>0</v>
      </c>
      <c r="BZ90" t="s">
        <v>107</v>
      </c>
      <c r="CA90" s="200">
        <f t="shared" si="1469"/>
        <v>0</v>
      </c>
      <c r="CB90" t="s">
        <v>107</v>
      </c>
      <c r="CC90" s="200">
        <f t="shared" si="1469"/>
        <v>0</v>
      </c>
      <c r="CD90" t="s">
        <v>107</v>
      </c>
      <c r="CE90" s="200">
        <f t="shared" si="1469"/>
        <v>0</v>
      </c>
      <c r="CF90" s="197" t="s">
        <v>107</v>
      </c>
      <c r="CG90" s="200">
        <f t="shared" si="1469"/>
        <v>0</v>
      </c>
      <c r="CH90" t="s">
        <v>107</v>
      </c>
      <c r="CI90" s="200">
        <f t="shared" si="1469"/>
        <v>0</v>
      </c>
      <c r="CJ90" t="s">
        <v>107</v>
      </c>
      <c r="CK90" s="200">
        <f t="shared" si="1469"/>
        <v>0</v>
      </c>
      <c r="CL90" s="197" t="s">
        <v>107</v>
      </c>
      <c r="CM90" s="200">
        <f t="shared" si="1470"/>
        <v>0</v>
      </c>
      <c r="CN90" t="s">
        <v>117</v>
      </c>
      <c r="CO90" s="200">
        <f t="shared" si="1471"/>
        <v>0</v>
      </c>
      <c r="CP90" t="s">
        <v>107</v>
      </c>
      <c r="CQ90" s="200">
        <f t="shared" si="1472"/>
        <v>0</v>
      </c>
      <c r="CR90" t="s">
        <v>107</v>
      </c>
      <c r="CS90" s="200">
        <f t="shared" si="1473"/>
        <v>0</v>
      </c>
      <c r="CT90" s="197" t="s">
        <v>107</v>
      </c>
      <c r="CU90" s="200">
        <f t="shared" si="1474"/>
        <v>0</v>
      </c>
      <c r="CV90" s="197" t="s">
        <v>107</v>
      </c>
      <c r="CW90" s="200">
        <f t="shared" si="1475"/>
        <v>0</v>
      </c>
      <c r="CX90" s="197" t="s">
        <v>107</v>
      </c>
      <c r="CY90" s="200">
        <f t="shared" si="1476"/>
        <v>0</v>
      </c>
      <c r="CZ90" s="197" t="s">
        <v>107</v>
      </c>
      <c r="DA90" s="200">
        <f t="shared" si="1477"/>
        <v>0</v>
      </c>
    </row>
    <row r="91" spans="15:105" x14ac:dyDescent="0.25">
      <c r="O91" s="10" t="s">
        <v>238</v>
      </c>
      <c r="P91" s="10"/>
      <c r="Q91" s="5"/>
      <c r="R91" s="97" t="s">
        <v>104</v>
      </c>
      <c r="S91" s="97">
        <f t="shared" si="1469"/>
        <v>0</v>
      </c>
      <c r="T91" s="97" t="s">
        <v>104</v>
      </c>
      <c r="U91" s="200">
        <f t="shared" si="1469"/>
        <v>0</v>
      </c>
      <c r="V91" s="97" t="s">
        <v>104</v>
      </c>
      <c r="W91" s="200">
        <f t="shared" si="1469"/>
        <v>0</v>
      </c>
      <c r="X91" s="97" t="s">
        <v>104</v>
      </c>
      <c r="Y91" s="200">
        <f t="shared" si="1469"/>
        <v>0</v>
      </c>
      <c r="Z91" s="97" t="s">
        <v>104</v>
      </c>
      <c r="AA91" s="200">
        <f t="shared" si="1469"/>
        <v>0</v>
      </c>
      <c r="AB91" s="97" t="s">
        <v>104</v>
      </c>
      <c r="AC91" s="200">
        <f t="shared" si="1469"/>
        <v>0</v>
      </c>
      <c r="AD91" t="s">
        <v>104</v>
      </c>
      <c r="AE91" s="200">
        <f t="shared" si="1469"/>
        <v>0</v>
      </c>
      <c r="AF91" t="s">
        <v>104</v>
      </c>
      <c r="AG91" s="200">
        <f t="shared" si="1469"/>
        <v>0</v>
      </c>
      <c r="AH91" t="s">
        <v>104</v>
      </c>
      <c r="AI91" s="200">
        <f t="shared" si="1469"/>
        <v>0</v>
      </c>
      <c r="AJ91" t="s">
        <v>104</v>
      </c>
      <c r="AK91" s="200">
        <f t="shared" si="1469"/>
        <v>0</v>
      </c>
      <c r="AL91" t="s">
        <v>104</v>
      </c>
      <c r="AM91" s="200">
        <f t="shared" si="1469"/>
        <v>0</v>
      </c>
      <c r="AN91" t="s">
        <v>104</v>
      </c>
      <c r="AO91" s="200">
        <f t="shared" si="1469"/>
        <v>0</v>
      </c>
      <c r="AP91" t="s">
        <v>104</v>
      </c>
      <c r="AQ91" s="200">
        <f t="shared" si="1469"/>
        <v>0</v>
      </c>
      <c r="AR91" t="s">
        <v>104</v>
      </c>
      <c r="AS91" s="200">
        <f t="shared" si="1469"/>
        <v>0</v>
      </c>
      <c r="AT91" t="s">
        <v>104</v>
      </c>
      <c r="AU91" s="200">
        <f t="shared" si="1469"/>
        <v>0</v>
      </c>
      <c r="AV91" t="s">
        <v>104</v>
      </c>
      <c r="AW91" s="200">
        <f t="shared" si="1469"/>
        <v>0</v>
      </c>
      <c r="AX91" t="s">
        <v>104</v>
      </c>
      <c r="AY91" s="200">
        <f t="shared" si="1469"/>
        <v>0</v>
      </c>
      <c r="AZ91" t="s">
        <v>104</v>
      </c>
      <c r="BA91" s="200">
        <f t="shared" si="1469"/>
        <v>0</v>
      </c>
      <c r="BB91" t="s">
        <v>104</v>
      </c>
      <c r="BC91" s="200">
        <f t="shared" si="1469"/>
        <v>0</v>
      </c>
      <c r="BD91" t="s">
        <v>104</v>
      </c>
      <c r="BE91" s="200">
        <f t="shared" si="1469"/>
        <v>0</v>
      </c>
      <c r="BF91" t="s">
        <v>104</v>
      </c>
      <c r="BG91" s="200">
        <f t="shared" si="1469"/>
        <v>0</v>
      </c>
      <c r="BH91" t="s">
        <v>104</v>
      </c>
      <c r="BI91" s="200">
        <f t="shared" si="1469"/>
        <v>0</v>
      </c>
      <c r="BJ91" t="s">
        <v>104</v>
      </c>
      <c r="BK91" s="200">
        <f t="shared" si="1469"/>
        <v>0</v>
      </c>
      <c r="BL91" t="s">
        <v>104</v>
      </c>
      <c r="BM91" s="200">
        <f t="shared" si="1469"/>
        <v>0</v>
      </c>
      <c r="BN91" t="s">
        <v>104</v>
      </c>
      <c r="BO91" s="200">
        <f t="shared" si="1469"/>
        <v>0</v>
      </c>
      <c r="BP91" t="s">
        <v>104</v>
      </c>
      <c r="BQ91" s="200">
        <f t="shared" si="1469"/>
        <v>0</v>
      </c>
      <c r="BR91" t="s">
        <v>104</v>
      </c>
      <c r="BS91" s="200">
        <f t="shared" si="1469"/>
        <v>0</v>
      </c>
      <c r="BT91" t="s">
        <v>104</v>
      </c>
      <c r="BU91" s="200">
        <f t="shared" si="1469"/>
        <v>0</v>
      </c>
      <c r="BV91" t="s">
        <v>104</v>
      </c>
      <c r="BW91" s="200">
        <f t="shared" si="1469"/>
        <v>0</v>
      </c>
      <c r="BX91" t="s">
        <v>112</v>
      </c>
      <c r="BY91" s="200">
        <f t="shared" si="1469"/>
        <v>0</v>
      </c>
      <c r="BZ91" t="s">
        <v>104</v>
      </c>
      <c r="CA91" s="200">
        <f t="shared" si="1469"/>
        <v>0</v>
      </c>
      <c r="CB91" t="s">
        <v>104</v>
      </c>
      <c r="CC91" s="200">
        <f t="shared" si="1469"/>
        <v>0</v>
      </c>
      <c r="CD91" t="s">
        <v>104</v>
      </c>
      <c r="CE91" s="200">
        <f t="shared" si="1469"/>
        <v>0</v>
      </c>
      <c r="CF91" s="197" t="s">
        <v>104</v>
      </c>
      <c r="CG91" s="200">
        <f t="shared" si="1469"/>
        <v>0</v>
      </c>
      <c r="CH91" t="s">
        <v>104</v>
      </c>
      <c r="CI91" s="200">
        <f t="shared" si="1469"/>
        <v>0</v>
      </c>
      <c r="CJ91" t="s">
        <v>104</v>
      </c>
      <c r="CK91" s="200">
        <f t="shared" si="1469"/>
        <v>0</v>
      </c>
      <c r="CL91" s="197" t="s">
        <v>104</v>
      </c>
      <c r="CM91" s="200">
        <f t="shared" si="1470"/>
        <v>0</v>
      </c>
      <c r="CN91" t="s">
        <v>104</v>
      </c>
      <c r="CO91" s="200">
        <f t="shared" si="1471"/>
        <v>0</v>
      </c>
      <c r="CP91" t="s">
        <v>104</v>
      </c>
      <c r="CQ91" s="200">
        <f t="shared" si="1472"/>
        <v>0</v>
      </c>
      <c r="CR91" t="s">
        <v>104</v>
      </c>
      <c r="CS91" s="200">
        <f t="shared" si="1473"/>
        <v>0</v>
      </c>
      <c r="CT91" s="197" t="s">
        <v>104</v>
      </c>
      <c r="CU91" s="200">
        <f t="shared" si="1474"/>
        <v>0</v>
      </c>
      <c r="CV91" s="197" t="s">
        <v>104</v>
      </c>
      <c r="CW91" s="200">
        <f t="shared" si="1475"/>
        <v>0</v>
      </c>
      <c r="CX91" s="197" t="s">
        <v>104</v>
      </c>
      <c r="CY91" s="200">
        <f t="shared" si="1476"/>
        <v>0</v>
      </c>
      <c r="CZ91" s="197" t="s">
        <v>104</v>
      </c>
      <c r="DA91" s="200">
        <f t="shared" si="1477"/>
        <v>0</v>
      </c>
    </row>
    <row r="92" spans="15:105" x14ac:dyDescent="0.25">
      <c r="O92" s="10" t="s">
        <v>238</v>
      </c>
      <c r="P92" s="10"/>
      <c r="Q92" s="5"/>
      <c r="R92" s="97" t="s">
        <v>106</v>
      </c>
      <c r="S92" s="97">
        <f t="shared" si="1469"/>
        <v>0</v>
      </c>
      <c r="T92" s="97" t="s">
        <v>106</v>
      </c>
      <c r="U92" s="200">
        <f t="shared" si="1469"/>
        <v>0</v>
      </c>
      <c r="V92" s="97" t="s">
        <v>106</v>
      </c>
      <c r="W92" s="200">
        <f t="shared" si="1469"/>
        <v>0</v>
      </c>
      <c r="X92" s="97" t="s">
        <v>106</v>
      </c>
      <c r="Y92" s="200">
        <f t="shared" si="1469"/>
        <v>0</v>
      </c>
      <c r="Z92" s="97" t="s">
        <v>106</v>
      </c>
      <c r="AA92" s="200">
        <f t="shared" si="1469"/>
        <v>0</v>
      </c>
      <c r="AB92" s="97" t="s">
        <v>106</v>
      </c>
      <c r="AC92" s="200">
        <f t="shared" si="1469"/>
        <v>0</v>
      </c>
      <c r="AD92" t="s">
        <v>106</v>
      </c>
      <c r="AE92" s="200">
        <f t="shared" si="1469"/>
        <v>0</v>
      </c>
      <c r="AF92" t="s">
        <v>106</v>
      </c>
      <c r="AG92" s="200">
        <f t="shared" si="1469"/>
        <v>0</v>
      </c>
      <c r="AH92" t="s">
        <v>106</v>
      </c>
      <c r="AI92" s="200">
        <f t="shared" si="1469"/>
        <v>0</v>
      </c>
      <c r="AJ92" t="s">
        <v>106</v>
      </c>
      <c r="AK92" s="200">
        <f t="shared" si="1469"/>
        <v>0</v>
      </c>
      <c r="AL92" t="s">
        <v>106</v>
      </c>
      <c r="AM92" s="200">
        <f t="shared" si="1469"/>
        <v>0</v>
      </c>
      <c r="AN92" t="s">
        <v>114</v>
      </c>
      <c r="AO92" s="200">
        <f t="shared" si="1469"/>
        <v>0</v>
      </c>
      <c r="AP92" t="s">
        <v>106</v>
      </c>
      <c r="AQ92" s="200">
        <f t="shared" si="1469"/>
        <v>0</v>
      </c>
      <c r="AR92" t="s">
        <v>106</v>
      </c>
      <c r="AS92" s="200">
        <f t="shared" si="1469"/>
        <v>0</v>
      </c>
      <c r="AT92" t="s">
        <v>113</v>
      </c>
      <c r="AU92" s="200">
        <f t="shared" si="1469"/>
        <v>0</v>
      </c>
      <c r="AV92" t="s">
        <v>114</v>
      </c>
      <c r="AW92" s="200">
        <f t="shared" si="1469"/>
        <v>0</v>
      </c>
      <c r="AX92" t="s">
        <v>106</v>
      </c>
      <c r="AY92" s="200">
        <f t="shared" si="1469"/>
        <v>0</v>
      </c>
      <c r="AZ92" t="s">
        <v>114</v>
      </c>
      <c r="BA92" s="200">
        <f t="shared" si="1469"/>
        <v>0</v>
      </c>
      <c r="BB92" t="s">
        <v>114</v>
      </c>
      <c r="BC92" s="200">
        <f t="shared" si="1469"/>
        <v>0</v>
      </c>
      <c r="BD92" t="s">
        <v>106</v>
      </c>
      <c r="BE92" s="200">
        <f t="shared" si="1469"/>
        <v>0</v>
      </c>
      <c r="BF92" t="s">
        <v>106</v>
      </c>
      <c r="BG92" s="200">
        <f t="shared" si="1469"/>
        <v>0</v>
      </c>
      <c r="BH92" t="s">
        <v>114</v>
      </c>
      <c r="BI92" s="200">
        <f t="shared" si="1469"/>
        <v>0</v>
      </c>
      <c r="BJ92" t="s">
        <v>106</v>
      </c>
      <c r="BK92" s="200">
        <f t="shared" si="1469"/>
        <v>0</v>
      </c>
      <c r="BL92" t="s">
        <v>106</v>
      </c>
      <c r="BM92" s="200">
        <f t="shared" si="1469"/>
        <v>0</v>
      </c>
      <c r="BN92" t="s">
        <v>106</v>
      </c>
      <c r="BO92" s="200">
        <f t="shared" si="1469"/>
        <v>0</v>
      </c>
      <c r="BP92" t="s">
        <v>106</v>
      </c>
      <c r="BQ92" s="200">
        <f t="shared" si="1469"/>
        <v>0</v>
      </c>
      <c r="BR92" t="s">
        <v>106</v>
      </c>
      <c r="BS92" s="200">
        <f t="shared" si="1469"/>
        <v>0</v>
      </c>
      <c r="BT92" t="s">
        <v>106</v>
      </c>
      <c r="BU92" s="200">
        <f t="shared" si="1469"/>
        <v>0</v>
      </c>
      <c r="BV92" t="s">
        <v>106</v>
      </c>
      <c r="BW92" s="200">
        <f t="shared" si="1469"/>
        <v>0</v>
      </c>
      <c r="BX92" t="s">
        <v>106</v>
      </c>
      <c r="BY92" s="200">
        <f t="shared" si="1469"/>
        <v>0</v>
      </c>
      <c r="BZ92" t="s">
        <v>106</v>
      </c>
      <c r="CA92" s="200">
        <f t="shared" si="1469"/>
        <v>0</v>
      </c>
      <c r="CB92" t="s">
        <v>106</v>
      </c>
      <c r="CC92" s="200">
        <f t="shared" si="1469"/>
        <v>0</v>
      </c>
      <c r="CD92" t="s">
        <v>105</v>
      </c>
      <c r="CE92" s="200">
        <f t="shared" si="1469"/>
        <v>0</v>
      </c>
      <c r="CF92" s="197" t="s">
        <v>106</v>
      </c>
      <c r="CG92" s="200">
        <f t="shared" si="1469"/>
        <v>0</v>
      </c>
      <c r="CH92" t="s">
        <v>114</v>
      </c>
      <c r="CI92" s="200">
        <f t="shared" si="1469"/>
        <v>0</v>
      </c>
      <c r="CJ92" t="s">
        <v>106</v>
      </c>
      <c r="CK92" s="200">
        <f t="shared" ref="CK92:CK95" si="1478">COUNTIF($P$88:$P$95,CJ92)*$M$11</f>
        <v>0</v>
      </c>
      <c r="CL92" s="197" t="s">
        <v>106</v>
      </c>
      <c r="CM92" s="200">
        <f t="shared" si="1470"/>
        <v>0</v>
      </c>
      <c r="CN92" t="s">
        <v>106</v>
      </c>
      <c r="CO92" s="200">
        <f t="shared" si="1471"/>
        <v>0</v>
      </c>
      <c r="CP92" t="s">
        <v>106</v>
      </c>
      <c r="CQ92" s="200">
        <f t="shared" si="1472"/>
        <v>0</v>
      </c>
      <c r="CR92" t="s">
        <v>116</v>
      </c>
      <c r="CS92" s="200">
        <f t="shared" si="1473"/>
        <v>0</v>
      </c>
      <c r="CT92" s="197" t="s">
        <v>110</v>
      </c>
      <c r="CU92" s="200">
        <f t="shared" si="1474"/>
        <v>0</v>
      </c>
      <c r="CV92" s="197" t="s">
        <v>106</v>
      </c>
      <c r="CW92" s="200">
        <f t="shared" si="1475"/>
        <v>0</v>
      </c>
      <c r="CX92" s="197" t="s">
        <v>106</v>
      </c>
      <c r="CY92" s="200">
        <f t="shared" si="1476"/>
        <v>0</v>
      </c>
      <c r="CZ92" s="197" t="s">
        <v>106</v>
      </c>
      <c r="DA92" s="200">
        <f t="shared" si="1477"/>
        <v>0</v>
      </c>
    </row>
    <row r="93" spans="15:105" x14ac:dyDescent="0.25">
      <c r="O93" s="10" t="s">
        <v>238</v>
      </c>
      <c r="P93" s="10"/>
      <c r="Q93" s="5"/>
      <c r="R93" s="97" t="s">
        <v>109</v>
      </c>
      <c r="S93" s="97">
        <f t="shared" si="1469"/>
        <v>0</v>
      </c>
      <c r="T93" s="97" t="s">
        <v>109</v>
      </c>
      <c r="U93" s="200">
        <f t="shared" si="1469"/>
        <v>0</v>
      </c>
      <c r="V93" s="97" t="s">
        <v>109</v>
      </c>
      <c r="W93" s="200">
        <f t="shared" si="1469"/>
        <v>0</v>
      </c>
      <c r="X93" s="97" t="s">
        <v>109</v>
      </c>
      <c r="Y93" s="200">
        <f t="shared" si="1469"/>
        <v>0</v>
      </c>
      <c r="Z93" s="97" t="s">
        <v>109</v>
      </c>
      <c r="AA93" s="200">
        <f t="shared" si="1469"/>
        <v>0</v>
      </c>
      <c r="AB93" s="97" t="s">
        <v>110</v>
      </c>
      <c r="AC93" s="200">
        <f t="shared" si="1469"/>
        <v>0</v>
      </c>
      <c r="AD93" t="s">
        <v>109</v>
      </c>
      <c r="AE93" s="200">
        <f t="shared" si="1469"/>
        <v>0</v>
      </c>
      <c r="AF93" t="s">
        <v>110</v>
      </c>
      <c r="AG93" s="200">
        <f t="shared" si="1469"/>
        <v>0</v>
      </c>
      <c r="AH93" t="s">
        <v>109</v>
      </c>
      <c r="AI93" s="200">
        <f t="shared" si="1469"/>
        <v>0</v>
      </c>
      <c r="AJ93" t="s">
        <v>116</v>
      </c>
      <c r="AK93" s="200">
        <f t="shared" si="1469"/>
        <v>0</v>
      </c>
      <c r="AL93" t="s">
        <v>116</v>
      </c>
      <c r="AM93" s="200">
        <f t="shared" si="1469"/>
        <v>0</v>
      </c>
      <c r="AN93" t="s">
        <v>110</v>
      </c>
      <c r="AO93" s="200">
        <f t="shared" si="1469"/>
        <v>0</v>
      </c>
      <c r="AP93" t="s">
        <v>105</v>
      </c>
      <c r="AQ93" s="200">
        <f t="shared" si="1469"/>
        <v>0</v>
      </c>
      <c r="AR93" t="s">
        <v>109</v>
      </c>
      <c r="AS93" s="200">
        <f t="shared" si="1469"/>
        <v>0</v>
      </c>
      <c r="AT93" t="s">
        <v>109</v>
      </c>
      <c r="AU93" s="200">
        <f t="shared" si="1469"/>
        <v>0</v>
      </c>
      <c r="AV93" t="s">
        <v>105</v>
      </c>
      <c r="AW93" s="200">
        <f t="shared" si="1469"/>
        <v>0</v>
      </c>
      <c r="AX93" t="s">
        <v>110</v>
      </c>
      <c r="AY93" s="200">
        <f t="shared" si="1469"/>
        <v>0</v>
      </c>
      <c r="AZ93" t="s">
        <v>116</v>
      </c>
      <c r="BA93" s="200">
        <f t="shared" si="1469"/>
        <v>0</v>
      </c>
      <c r="BB93" t="s">
        <v>110</v>
      </c>
      <c r="BC93" s="200">
        <f t="shared" si="1469"/>
        <v>0</v>
      </c>
      <c r="BD93" t="s">
        <v>110</v>
      </c>
      <c r="BE93" s="200">
        <f t="shared" si="1469"/>
        <v>0</v>
      </c>
      <c r="BF93" t="s">
        <v>110</v>
      </c>
      <c r="BG93" s="200">
        <f t="shared" si="1469"/>
        <v>0</v>
      </c>
      <c r="BH93" t="s">
        <v>105</v>
      </c>
      <c r="BI93" s="200">
        <f t="shared" si="1469"/>
        <v>0</v>
      </c>
      <c r="BJ93" t="s">
        <v>110</v>
      </c>
      <c r="BK93" s="200">
        <f t="shared" si="1469"/>
        <v>0</v>
      </c>
      <c r="BL93" t="s">
        <v>105</v>
      </c>
      <c r="BM93" s="200">
        <f t="shared" si="1469"/>
        <v>0</v>
      </c>
      <c r="BN93" t="s">
        <v>105</v>
      </c>
      <c r="BO93" s="200">
        <f t="shared" si="1469"/>
        <v>0</v>
      </c>
      <c r="BP93" t="s">
        <v>105</v>
      </c>
      <c r="BQ93" s="200">
        <f t="shared" si="1469"/>
        <v>0</v>
      </c>
      <c r="BR93" t="s">
        <v>110</v>
      </c>
      <c r="BS93" s="200">
        <f t="shared" si="1469"/>
        <v>0</v>
      </c>
      <c r="BT93" t="s">
        <v>109</v>
      </c>
      <c r="BU93" s="200">
        <f t="shared" si="1469"/>
        <v>0</v>
      </c>
      <c r="BV93" t="s">
        <v>110</v>
      </c>
      <c r="BW93" s="200">
        <f t="shared" si="1469"/>
        <v>0</v>
      </c>
      <c r="BX93" t="s">
        <v>105</v>
      </c>
      <c r="BY93" s="200">
        <f t="shared" si="1469"/>
        <v>0</v>
      </c>
      <c r="BZ93" t="s">
        <v>110</v>
      </c>
      <c r="CA93" s="200">
        <f t="shared" si="1469"/>
        <v>0</v>
      </c>
      <c r="CB93" t="s">
        <v>110</v>
      </c>
      <c r="CC93" s="200">
        <f t="shared" si="1469"/>
        <v>0</v>
      </c>
      <c r="CD93" t="s">
        <v>110</v>
      </c>
      <c r="CE93" s="200">
        <f t="shared" si="1469"/>
        <v>0</v>
      </c>
      <c r="CF93" s="197" t="s">
        <v>105</v>
      </c>
      <c r="CG93" s="200">
        <f t="shared" si="1469"/>
        <v>0</v>
      </c>
      <c r="CH93" t="s">
        <v>109</v>
      </c>
      <c r="CI93" s="200">
        <f t="shared" si="1469"/>
        <v>0</v>
      </c>
      <c r="CJ93" t="s">
        <v>109</v>
      </c>
      <c r="CK93" s="200">
        <f t="shared" si="1478"/>
        <v>0</v>
      </c>
      <c r="CL93" s="197" t="s">
        <v>109</v>
      </c>
      <c r="CM93" s="200">
        <f t="shared" si="1470"/>
        <v>0</v>
      </c>
      <c r="CN93" t="s">
        <v>110</v>
      </c>
      <c r="CO93" s="200">
        <f t="shared" si="1471"/>
        <v>0</v>
      </c>
      <c r="CP93" t="s">
        <v>110</v>
      </c>
      <c r="CQ93" s="200">
        <f t="shared" si="1472"/>
        <v>0</v>
      </c>
      <c r="CR93" t="s">
        <v>109</v>
      </c>
      <c r="CS93" s="200">
        <f t="shared" si="1473"/>
        <v>0</v>
      </c>
      <c r="CT93" s="197" t="s">
        <v>120</v>
      </c>
      <c r="CU93" s="200">
        <f t="shared" si="1474"/>
        <v>0</v>
      </c>
      <c r="CV93" s="197" t="s">
        <v>110</v>
      </c>
      <c r="CW93" s="200">
        <f t="shared" si="1475"/>
        <v>0</v>
      </c>
      <c r="CX93" s="197" t="s">
        <v>109</v>
      </c>
      <c r="CY93" s="200">
        <f t="shared" si="1476"/>
        <v>0</v>
      </c>
      <c r="CZ93" s="197" t="s">
        <v>109</v>
      </c>
      <c r="DA93" s="200">
        <f t="shared" si="1477"/>
        <v>0</v>
      </c>
    </row>
    <row r="94" spans="15:105" x14ac:dyDescent="0.25">
      <c r="O94" s="10" t="s">
        <v>238</v>
      </c>
      <c r="P94" s="10"/>
      <c r="Q94" s="5"/>
      <c r="R94" s="97" t="s">
        <v>110</v>
      </c>
      <c r="S94" s="97">
        <f t="shared" si="1469"/>
        <v>0</v>
      </c>
      <c r="T94" s="97" t="s">
        <v>110</v>
      </c>
      <c r="U94" s="200">
        <f t="shared" si="1469"/>
        <v>0</v>
      </c>
      <c r="V94" s="97" t="s">
        <v>110</v>
      </c>
      <c r="W94" s="200">
        <f t="shared" si="1469"/>
        <v>0</v>
      </c>
      <c r="X94" s="97" t="s">
        <v>114</v>
      </c>
      <c r="Y94" s="200">
        <f t="shared" si="1469"/>
        <v>0</v>
      </c>
      <c r="Z94" s="97" t="s">
        <v>110</v>
      </c>
      <c r="AA94" s="200">
        <f t="shared" si="1469"/>
        <v>0</v>
      </c>
      <c r="AB94" s="97" t="s">
        <v>114</v>
      </c>
      <c r="AC94" s="200">
        <f t="shared" si="1469"/>
        <v>0</v>
      </c>
      <c r="AD94" t="s">
        <v>105</v>
      </c>
      <c r="AE94" s="200">
        <f t="shared" si="1469"/>
        <v>0</v>
      </c>
      <c r="AF94" t="s">
        <v>142</v>
      </c>
      <c r="AG94" s="200">
        <f t="shared" si="1469"/>
        <v>0</v>
      </c>
      <c r="AH94" t="s">
        <v>105</v>
      </c>
      <c r="AI94" s="200">
        <f t="shared" si="1469"/>
        <v>0</v>
      </c>
      <c r="AJ94" t="s">
        <v>105</v>
      </c>
      <c r="AK94" s="200">
        <f t="shared" si="1469"/>
        <v>0</v>
      </c>
      <c r="AL94" t="s">
        <v>110</v>
      </c>
      <c r="AM94" s="200">
        <f t="shared" si="1469"/>
        <v>0</v>
      </c>
      <c r="AN94" t="s">
        <v>106</v>
      </c>
      <c r="AO94" s="200">
        <f t="shared" si="1469"/>
        <v>0</v>
      </c>
      <c r="AP94" t="s">
        <v>110</v>
      </c>
      <c r="AQ94" s="200">
        <f t="shared" si="1469"/>
        <v>0</v>
      </c>
      <c r="AR94" t="s">
        <v>105</v>
      </c>
      <c r="AS94" s="200">
        <f t="shared" si="1469"/>
        <v>0</v>
      </c>
      <c r="AT94" t="s">
        <v>106</v>
      </c>
      <c r="AU94" s="200">
        <f t="shared" si="1469"/>
        <v>0</v>
      </c>
      <c r="AV94" t="s">
        <v>110</v>
      </c>
      <c r="AW94" s="200">
        <f t="shared" si="1469"/>
        <v>0</v>
      </c>
      <c r="AX94" t="s">
        <v>105</v>
      </c>
      <c r="AY94" s="200">
        <f t="shared" si="1469"/>
        <v>0</v>
      </c>
      <c r="AZ94" t="s">
        <v>105</v>
      </c>
      <c r="BA94" s="200">
        <f t="shared" si="1469"/>
        <v>0</v>
      </c>
      <c r="BB94" t="s">
        <v>105</v>
      </c>
      <c r="BC94" s="200">
        <f t="shared" si="1469"/>
        <v>0</v>
      </c>
      <c r="BD94" t="s">
        <v>105</v>
      </c>
      <c r="BE94" s="200">
        <f t="shared" si="1469"/>
        <v>0</v>
      </c>
      <c r="BF94" t="s">
        <v>105</v>
      </c>
      <c r="BG94" s="200">
        <f t="shared" si="1469"/>
        <v>0</v>
      </c>
      <c r="BH94" t="s">
        <v>110</v>
      </c>
      <c r="BI94" s="200">
        <f t="shared" si="1469"/>
        <v>0</v>
      </c>
      <c r="BJ94" t="s">
        <v>105</v>
      </c>
      <c r="BK94" s="200">
        <f t="shared" si="1469"/>
        <v>0</v>
      </c>
      <c r="BL94" t="s">
        <v>110</v>
      </c>
      <c r="BM94" s="200">
        <f t="shared" si="1469"/>
        <v>0</v>
      </c>
      <c r="BN94" t="s">
        <v>110</v>
      </c>
      <c r="BO94" s="200">
        <f t="shared" si="1469"/>
        <v>0</v>
      </c>
      <c r="BP94" t="s">
        <v>114</v>
      </c>
      <c r="BQ94" s="200">
        <f t="shared" si="1469"/>
        <v>0</v>
      </c>
      <c r="BR94" t="s">
        <v>105</v>
      </c>
      <c r="BS94" s="200">
        <f t="shared" si="1469"/>
        <v>0</v>
      </c>
      <c r="BT94" t="s">
        <v>105</v>
      </c>
      <c r="BU94" s="200">
        <f t="shared" si="1469"/>
        <v>0</v>
      </c>
      <c r="BV94" t="s">
        <v>105</v>
      </c>
      <c r="BW94" s="200">
        <f t="shared" si="1469"/>
        <v>0</v>
      </c>
      <c r="BX94" t="s">
        <v>110</v>
      </c>
      <c r="BY94" s="200">
        <f t="shared" si="1469"/>
        <v>0</v>
      </c>
      <c r="BZ94" t="s">
        <v>105</v>
      </c>
      <c r="CA94" s="200">
        <f t="shared" si="1469"/>
        <v>0</v>
      </c>
      <c r="CB94" t="s">
        <v>105</v>
      </c>
      <c r="CC94" s="200">
        <f t="shared" si="1469"/>
        <v>0</v>
      </c>
      <c r="CD94" t="s">
        <v>106</v>
      </c>
      <c r="CE94" s="200">
        <f t="shared" si="1469"/>
        <v>0</v>
      </c>
      <c r="CF94" s="197" t="s">
        <v>110</v>
      </c>
      <c r="CG94" s="200">
        <f t="shared" si="1469"/>
        <v>0</v>
      </c>
      <c r="CH94" t="s">
        <v>106</v>
      </c>
      <c r="CI94" s="200">
        <f t="shared" si="1469"/>
        <v>0</v>
      </c>
      <c r="CJ94" t="s">
        <v>105</v>
      </c>
      <c r="CK94" s="200">
        <f t="shared" si="1478"/>
        <v>0</v>
      </c>
      <c r="CL94" s="197" t="s">
        <v>105</v>
      </c>
      <c r="CM94" s="200">
        <f t="shared" si="1470"/>
        <v>0</v>
      </c>
      <c r="CN94" t="s">
        <v>105</v>
      </c>
      <c r="CO94" s="200">
        <f t="shared" si="1471"/>
        <v>0</v>
      </c>
      <c r="CP94" t="s">
        <v>114</v>
      </c>
      <c r="CQ94" s="200">
        <f t="shared" si="1472"/>
        <v>0</v>
      </c>
      <c r="CR94" t="s">
        <v>106</v>
      </c>
      <c r="CS94" s="200">
        <f t="shared" si="1473"/>
        <v>0</v>
      </c>
      <c r="CT94" s="197" t="s">
        <v>106</v>
      </c>
      <c r="CU94" s="200">
        <f t="shared" si="1474"/>
        <v>0</v>
      </c>
      <c r="CV94" s="197" t="s">
        <v>105</v>
      </c>
      <c r="CW94" s="200">
        <f t="shared" si="1475"/>
        <v>0</v>
      </c>
      <c r="CX94" s="197" t="s">
        <v>105</v>
      </c>
      <c r="CY94" s="200">
        <f t="shared" si="1476"/>
        <v>0</v>
      </c>
      <c r="CZ94" s="197" t="s">
        <v>110</v>
      </c>
      <c r="DA94" s="200">
        <f t="shared" si="1477"/>
        <v>0</v>
      </c>
    </row>
    <row r="95" spans="15:105" x14ac:dyDescent="0.25">
      <c r="O95" s="10" t="s">
        <v>238</v>
      </c>
      <c r="P95" s="10"/>
      <c r="Q95" s="5"/>
      <c r="R95" s="97" t="s">
        <v>113</v>
      </c>
      <c r="S95" s="97">
        <f t="shared" si="1469"/>
        <v>0</v>
      </c>
      <c r="T95" s="97" t="s">
        <v>111</v>
      </c>
      <c r="U95" s="200">
        <f t="shared" si="1469"/>
        <v>0</v>
      </c>
      <c r="V95" s="97" t="s">
        <v>111</v>
      </c>
      <c r="W95" s="200">
        <f t="shared" si="1469"/>
        <v>0</v>
      </c>
      <c r="X95" s="97" t="s">
        <v>108</v>
      </c>
      <c r="Y95" s="200">
        <f t="shared" si="1469"/>
        <v>0</v>
      </c>
      <c r="Z95" s="97" t="s">
        <v>108</v>
      </c>
      <c r="AA95" s="200">
        <f t="shared" si="1469"/>
        <v>0</v>
      </c>
      <c r="AB95" s="97" t="s">
        <v>111</v>
      </c>
      <c r="AC95" s="200">
        <f t="shared" si="1469"/>
        <v>0</v>
      </c>
      <c r="AD95" t="s">
        <v>113</v>
      </c>
      <c r="AE95" s="200">
        <f t="shared" si="1469"/>
        <v>0</v>
      </c>
      <c r="AF95" t="s">
        <v>111</v>
      </c>
      <c r="AG95" s="200">
        <f t="shared" si="1469"/>
        <v>0</v>
      </c>
      <c r="AH95" t="s">
        <v>124</v>
      </c>
      <c r="AI95" s="200">
        <f t="shared" si="1469"/>
        <v>0</v>
      </c>
      <c r="AJ95" t="s">
        <v>119</v>
      </c>
      <c r="AK95" s="200">
        <f t="shared" si="1469"/>
        <v>0</v>
      </c>
      <c r="AL95" t="s">
        <v>111</v>
      </c>
      <c r="AM95" s="200">
        <f t="shared" si="1469"/>
        <v>0</v>
      </c>
      <c r="AN95" t="s">
        <v>124</v>
      </c>
      <c r="AO95" s="200">
        <f t="shared" si="1469"/>
        <v>0</v>
      </c>
      <c r="AP95" t="s">
        <v>113</v>
      </c>
      <c r="AQ95" s="200">
        <f t="shared" si="1469"/>
        <v>0</v>
      </c>
      <c r="AR95" t="s">
        <v>113</v>
      </c>
      <c r="AS95" s="200">
        <f t="shared" si="1469"/>
        <v>0</v>
      </c>
      <c r="AT95" t="s">
        <v>124</v>
      </c>
      <c r="AU95" s="200">
        <f t="shared" si="1469"/>
        <v>0</v>
      </c>
      <c r="AV95" t="s">
        <v>124</v>
      </c>
      <c r="AW95" s="200">
        <f t="shared" si="1469"/>
        <v>0</v>
      </c>
      <c r="AX95" t="s">
        <v>124</v>
      </c>
      <c r="AY95" s="200">
        <f t="shared" si="1469"/>
        <v>0</v>
      </c>
      <c r="AZ95" t="s">
        <v>111</v>
      </c>
      <c r="BA95" s="200">
        <f t="shared" si="1469"/>
        <v>0</v>
      </c>
      <c r="BB95" t="s">
        <v>111</v>
      </c>
      <c r="BC95" s="200">
        <f t="shared" si="1469"/>
        <v>0</v>
      </c>
      <c r="BD95" t="s">
        <v>108</v>
      </c>
      <c r="BE95" s="200">
        <f t="shared" si="1469"/>
        <v>0</v>
      </c>
      <c r="BF95" t="s">
        <v>113</v>
      </c>
      <c r="BG95" s="200">
        <f t="shared" si="1469"/>
        <v>0</v>
      </c>
      <c r="BH95" t="s">
        <v>111</v>
      </c>
      <c r="BI95" s="200">
        <f t="shared" si="1469"/>
        <v>0</v>
      </c>
      <c r="BJ95" t="s">
        <v>111</v>
      </c>
      <c r="BK95" s="200">
        <f t="shared" si="1469"/>
        <v>0</v>
      </c>
      <c r="BL95" t="s">
        <v>111</v>
      </c>
      <c r="BM95" s="200">
        <f t="shared" si="1469"/>
        <v>0</v>
      </c>
      <c r="BN95" t="s">
        <v>113</v>
      </c>
      <c r="BO95" s="200">
        <f t="shared" si="1469"/>
        <v>0</v>
      </c>
      <c r="BP95" t="s">
        <v>109</v>
      </c>
      <c r="BQ95" s="200">
        <f t="shared" si="1469"/>
        <v>0</v>
      </c>
      <c r="BR95" t="s">
        <v>113</v>
      </c>
      <c r="BS95" s="200">
        <f t="shared" si="1469"/>
        <v>0</v>
      </c>
      <c r="BT95" t="s">
        <v>124</v>
      </c>
      <c r="BU95" s="200">
        <f t="shared" si="1469"/>
        <v>0</v>
      </c>
      <c r="BV95" t="s">
        <v>111</v>
      </c>
      <c r="BW95" s="200">
        <f t="shared" si="1469"/>
        <v>0</v>
      </c>
      <c r="BX95" t="s">
        <v>109</v>
      </c>
      <c r="BY95" s="200">
        <f t="shared" si="1469"/>
        <v>0</v>
      </c>
      <c r="BZ95" t="s">
        <v>111</v>
      </c>
      <c r="CA95" s="200">
        <f t="shared" si="1469"/>
        <v>0</v>
      </c>
      <c r="CB95" t="s">
        <v>113</v>
      </c>
      <c r="CC95" s="200">
        <f t="shared" si="1469"/>
        <v>0</v>
      </c>
      <c r="CD95" t="s">
        <v>111</v>
      </c>
      <c r="CE95" s="200">
        <f t="shared" si="1469"/>
        <v>0</v>
      </c>
      <c r="CF95" s="197" t="s">
        <v>111</v>
      </c>
      <c r="CG95" s="200">
        <f t="shared" si="1469"/>
        <v>0</v>
      </c>
      <c r="CH95" t="s">
        <v>113</v>
      </c>
      <c r="CI95" s="200">
        <f t="shared" si="1469"/>
        <v>0</v>
      </c>
      <c r="CJ95" t="s">
        <v>113</v>
      </c>
      <c r="CK95" s="200">
        <f t="shared" si="1478"/>
        <v>0</v>
      </c>
      <c r="CL95" s="197" t="s">
        <v>113</v>
      </c>
      <c r="CM95" s="200">
        <f t="shared" si="1470"/>
        <v>0</v>
      </c>
      <c r="CN95" t="s">
        <v>111</v>
      </c>
      <c r="CO95" s="200">
        <f t="shared" si="1471"/>
        <v>0</v>
      </c>
      <c r="CP95" t="s">
        <v>113</v>
      </c>
      <c r="CQ95" s="200">
        <f t="shared" si="1472"/>
        <v>0</v>
      </c>
      <c r="CR95" t="s">
        <v>113</v>
      </c>
      <c r="CS95" s="200">
        <f t="shared" si="1473"/>
        <v>0</v>
      </c>
      <c r="CT95" s="197" t="s">
        <v>119</v>
      </c>
      <c r="CU95" s="200">
        <f t="shared" si="1474"/>
        <v>0</v>
      </c>
      <c r="CV95" s="197" t="s">
        <v>111</v>
      </c>
      <c r="CW95" s="200">
        <f t="shared" si="1475"/>
        <v>0</v>
      </c>
      <c r="CX95" s="197" t="s">
        <v>124</v>
      </c>
      <c r="CY95" s="200">
        <f t="shared" si="1476"/>
        <v>0</v>
      </c>
      <c r="CZ95" s="197" t="s">
        <v>111</v>
      </c>
      <c r="DA95" s="200">
        <f t="shared" si="1477"/>
        <v>0</v>
      </c>
    </row>
    <row r="96" spans="15:105" x14ac:dyDescent="0.25">
      <c r="U96" s="200"/>
      <c r="W96" s="200"/>
      <c r="Y96" s="200"/>
      <c r="AA96" s="200"/>
      <c r="AC96" s="200"/>
      <c r="AE96" s="200"/>
      <c r="AG96" s="200"/>
      <c r="AI96" s="200"/>
      <c r="AK96" s="200"/>
      <c r="AM96" s="200"/>
      <c r="AO96" s="200"/>
      <c r="AQ96" s="200"/>
      <c r="AS96" s="200"/>
      <c r="AU96" s="200"/>
      <c r="AW96" s="200"/>
      <c r="AY96" s="200"/>
      <c r="BA96" s="200"/>
      <c r="BC96" s="200"/>
      <c r="BE96" s="200"/>
      <c r="BG96" s="200"/>
      <c r="BI96" s="200"/>
      <c r="BK96" s="200"/>
      <c r="BM96" s="200"/>
      <c r="BO96" s="200"/>
      <c r="BQ96" s="200"/>
      <c r="BS96" s="200"/>
      <c r="BU96" s="200"/>
      <c r="BW96" s="200"/>
      <c r="BY96" s="200"/>
      <c r="CA96" s="200"/>
      <c r="CC96" s="200"/>
      <c r="CE96" s="200"/>
      <c r="CF96" s="197"/>
      <c r="CL96" s="197"/>
      <c r="CT96" s="197"/>
      <c r="CV96" s="197"/>
      <c r="CX96" s="197"/>
      <c r="CZ96" s="197"/>
    </row>
    <row r="97" spans="15:105" ht="21" x14ac:dyDescent="0.35">
      <c r="O97" s="96" t="s">
        <v>239</v>
      </c>
      <c r="U97" s="200"/>
      <c r="W97" s="200"/>
      <c r="Y97" s="200"/>
      <c r="AA97" s="200"/>
      <c r="AC97" s="200"/>
      <c r="AE97" s="200"/>
      <c r="AG97" s="200"/>
      <c r="AI97" s="200"/>
      <c r="AK97" s="200"/>
      <c r="AM97" s="200"/>
      <c r="AO97" s="200"/>
      <c r="AQ97" s="200"/>
      <c r="AS97" s="200"/>
      <c r="AU97" s="200"/>
      <c r="AW97" s="200"/>
      <c r="AY97" s="200"/>
      <c r="BA97" s="200"/>
      <c r="BC97" s="200"/>
      <c r="BE97" s="200"/>
      <c r="BG97" s="200"/>
      <c r="BI97" s="200"/>
      <c r="BK97" s="200"/>
      <c r="BM97" s="200"/>
      <c r="BO97" s="200"/>
      <c r="BQ97" s="200"/>
      <c r="BS97" s="200"/>
      <c r="BU97" s="200"/>
      <c r="BW97" s="200"/>
      <c r="BY97" s="200"/>
      <c r="CA97" s="200"/>
      <c r="CC97" s="200"/>
      <c r="CE97" s="200"/>
      <c r="CF97" s="197"/>
      <c r="CL97" s="197"/>
      <c r="CT97" s="197"/>
      <c r="CV97" s="197"/>
      <c r="CX97" s="197"/>
      <c r="CZ97" s="197"/>
    </row>
    <row r="98" spans="15:105" x14ac:dyDescent="0.25">
      <c r="O98" s="10" t="s">
        <v>240</v>
      </c>
      <c r="P98" s="10"/>
      <c r="Q98" s="5"/>
      <c r="R98" s="97" t="s">
        <v>106</v>
      </c>
      <c r="S98" s="97">
        <f>COUNTIF($P$98:$P$101,R98)*$M$12</f>
        <v>0</v>
      </c>
      <c r="T98" s="97" t="s">
        <v>106</v>
      </c>
      <c r="U98" s="200">
        <f>COUNTIF($P$98:$P$101,T98)*$M$12</f>
        <v>0</v>
      </c>
      <c r="V98" s="97" t="s">
        <v>106</v>
      </c>
      <c r="W98" s="200">
        <f>COUNTIF($P$98:$P$101,V98)*$M$12</f>
        <v>0</v>
      </c>
      <c r="X98" s="97" t="s">
        <v>106</v>
      </c>
      <c r="Y98" s="200">
        <f>COUNTIF($P$98:$P$101,X98)*$M$12</f>
        <v>0</v>
      </c>
      <c r="Z98" s="97" t="s">
        <v>106</v>
      </c>
      <c r="AA98" s="200">
        <f>COUNTIF($P$98:$P$101,Z98)*$M$12</f>
        <v>0</v>
      </c>
      <c r="AB98" s="97" t="s">
        <v>106</v>
      </c>
      <c r="AC98" s="200">
        <f>COUNTIF($P$98:$P$101,AB98)*$M$12</f>
        <v>0</v>
      </c>
      <c r="AD98" t="s">
        <v>106</v>
      </c>
      <c r="AE98" s="200">
        <f>COUNTIF($P$98:$P$101,AD98)*$M$12</f>
        <v>0</v>
      </c>
      <c r="AF98" t="s">
        <v>106</v>
      </c>
      <c r="AG98" s="200">
        <f>COUNTIF($P$98:$P$101,AF98)*$M$12</f>
        <v>0</v>
      </c>
      <c r="AH98" t="s">
        <v>106</v>
      </c>
      <c r="AI98" s="200">
        <f>COUNTIF($P$98:$P$101,AH98)*$M$12</f>
        <v>0</v>
      </c>
      <c r="AJ98" t="s">
        <v>106</v>
      </c>
      <c r="AK98" s="200">
        <f>COUNTIF($P$98:$P$101,AJ98)*$M$12</f>
        <v>0</v>
      </c>
      <c r="AL98" t="s">
        <v>106</v>
      </c>
      <c r="AM98" s="200">
        <f>COUNTIF($P$98:$P$101,AL98)*$M$12</f>
        <v>0</v>
      </c>
      <c r="AN98" t="s">
        <v>114</v>
      </c>
      <c r="AO98" s="200">
        <f>COUNTIF($P$98:$P$101,AN98)*$M$12</f>
        <v>0</v>
      </c>
      <c r="AP98" t="s">
        <v>106</v>
      </c>
      <c r="AQ98" s="200">
        <f>COUNTIF($P$98:$P$101,AP98)*$M$12</f>
        <v>0</v>
      </c>
      <c r="AR98" t="s">
        <v>106</v>
      </c>
      <c r="AS98" s="200">
        <f>COUNTIF($P$98:$P$101,AR98)*$M$12</f>
        <v>0</v>
      </c>
      <c r="AT98" t="s">
        <v>126</v>
      </c>
      <c r="AU98" s="200">
        <f>COUNTIF($P$98:$P$101,AT98)*$M$12</f>
        <v>0</v>
      </c>
      <c r="AV98" t="s">
        <v>114</v>
      </c>
      <c r="AW98" s="200">
        <f>COUNTIF($P$98:$P$101,AV98)*$M$12</f>
        <v>0</v>
      </c>
      <c r="AX98" t="s">
        <v>106</v>
      </c>
      <c r="AY98" s="200">
        <f>COUNTIF($P$98:$P$101,AX98)*$M$12</f>
        <v>0</v>
      </c>
      <c r="AZ98" t="s">
        <v>114</v>
      </c>
      <c r="BA98" s="200">
        <f>COUNTIF($P$98:$P$101,AZ98)*$M$12</f>
        <v>0</v>
      </c>
      <c r="BB98" t="s">
        <v>114</v>
      </c>
      <c r="BC98" s="200">
        <f>COUNTIF($P$98:$P$101,BB98)*$M$12</f>
        <v>0</v>
      </c>
      <c r="BD98" t="s">
        <v>106</v>
      </c>
      <c r="BE98" s="200">
        <f>COUNTIF($P$98:$P$101,BD98)*$M$12</f>
        <v>0</v>
      </c>
      <c r="BF98" t="s">
        <v>106</v>
      </c>
      <c r="BG98" s="200">
        <f>COUNTIF($P$98:$P$101,BF98)*$M$12</f>
        <v>0</v>
      </c>
      <c r="BH98" t="s">
        <v>114</v>
      </c>
      <c r="BI98" s="200">
        <f>COUNTIF($P$98:$P$101,BH98)*$M$12</f>
        <v>0</v>
      </c>
      <c r="BJ98" t="s">
        <v>106</v>
      </c>
      <c r="BK98" s="200">
        <f>COUNTIF($P$98:$P$101,BJ98)*$M$12</f>
        <v>0</v>
      </c>
      <c r="BL98" t="s">
        <v>106</v>
      </c>
      <c r="BM98" s="200">
        <f>COUNTIF($P$98:$P$101,BL98)*$M$12</f>
        <v>0</v>
      </c>
      <c r="BN98" t="s">
        <v>106</v>
      </c>
      <c r="BO98" s="200">
        <f>COUNTIF($P$98:$P$101,BN98)*$M$12</f>
        <v>0</v>
      </c>
      <c r="BP98" t="s">
        <v>106</v>
      </c>
      <c r="BQ98" s="200">
        <f>COUNTIF($P$98:$P$101,BP98)*$M$12</f>
        <v>0</v>
      </c>
      <c r="BR98" t="s">
        <v>106</v>
      </c>
      <c r="BS98" s="200">
        <f>COUNTIF($P$98:$P$101,BR98)*$M$12</f>
        <v>0</v>
      </c>
      <c r="BT98" t="s">
        <v>106</v>
      </c>
      <c r="BU98" s="200">
        <f>COUNTIF($P$98:$P$101,BT98)*$M$12</f>
        <v>0</v>
      </c>
      <c r="BV98" t="s">
        <v>106</v>
      </c>
      <c r="BW98" s="200">
        <f>COUNTIF($P$98:$P$101,BV98)*$M$12</f>
        <v>0</v>
      </c>
      <c r="BX98" t="s">
        <v>106</v>
      </c>
      <c r="BY98" s="200">
        <f>COUNTIF($P$98:$P$101,BX98)*$M$12</f>
        <v>0</v>
      </c>
      <c r="BZ98" t="s">
        <v>106</v>
      </c>
      <c r="CA98" s="200">
        <f>COUNTIF($P$98:$P$101,BZ98)*$M$12</f>
        <v>0</v>
      </c>
      <c r="CB98" t="s">
        <v>106</v>
      </c>
      <c r="CC98" s="200">
        <f>COUNTIF($P$98:$P$101,CB98)*$M$12</f>
        <v>0</v>
      </c>
      <c r="CD98" t="s">
        <v>105</v>
      </c>
      <c r="CE98" s="200">
        <f>COUNTIF($P$98:$P$101,CD98)*$M$12</f>
        <v>0</v>
      </c>
      <c r="CF98" s="197" t="s">
        <v>106</v>
      </c>
      <c r="CG98" s="200">
        <f>COUNTIF($P$98:$P$101,CF98)*$M$12</f>
        <v>0</v>
      </c>
      <c r="CH98" t="s">
        <v>112</v>
      </c>
      <c r="CI98" s="200">
        <f>COUNTIF($P$98:$P$101,CH98)*$M$12</f>
        <v>0</v>
      </c>
      <c r="CJ98" t="s">
        <v>106</v>
      </c>
      <c r="CK98" s="200">
        <f>COUNTIF($P$98:$P$101,CJ98)*$M$12</f>
        <v>0</v>
      </c>
      <c r="CL98" s="197" t="s">
        <v>106</v>
      </c>
      <c r="CM98" s="200">
        <f>COUNTIF($P$98:$P$101,CL98)*$M$12</f>
        <v>0</v>
      </c>
      <c r="CN98" t="s">
        <v>106</v>
      </c>
      <c r="CO98" s="200">
        <f>COUNTIF($P$98:$P$101,CN98)*$M$12</f>
        <v>0</v>
      </c>
      <c r="CP98" t="s">
        <v>106</v>
      </c>
      <c r="CQ98" s="200">
        <f>COUNTIF($P$98:$P$101,CP98)*$M$12</f>
        <v>0</v>
      </c>
      <c r="CR98" t="s">
        <v>116</v>
      </c>
      <c r="CS98" s="200">
        <f>COUNTIF($P$98:$P$101,CR98)*$M$12</f>
        <v>0</v>
      </c>
      <c r="CT98" s="197" t="s">
        <v>115</v>
      </c>
      <c r="CU98" s="200">
        <f>COUNTIF($P$98:$P$101,CT98)*$M$12</f>
        <v>0</v>
      </c>
      <c r="CV98" s="197" t="s">
        <v>106</v>
      </c>
      <c r="CW98" s="200">
        <f>COUNTIF($P$98:$P$101,CV98)*$M$12</f>
        <v>0</v>
      </c>
      <c r="CX98" s="197" t="s">
        <v>106</v>
      </c>
      <c r="CY98" s="200">
        <f>COUNTIF($P$98:$P$101,CX98)*$M$12</f>
        <v>0</v>
      </c>
      <c r="CZ98" s="197" t="s">
        <v>106</v>
      </c>
      <c r="DA98" s="200">
        <f>COUNTIF($P$98:$P$101,CZ98)*$M$12</f>
        <v>0</v>
      </c>
    </row>
    <row r="99" spans="15:105" x14ac:dyDescent="0.25">
      <c r="O99" s="10" t="s">
        <v>240</v>
      </c>
      <c r="P99" s="10"/>
      <c r="Q99" s="5"/>
      <c r="R99" s="97" t="s">
        <v>107</v>
      </c>
      <c r="S99" s="97">
        <f t="shared" ref="S99:DA101" si="1479">COUNTIF($P$98:$P$101,R99)*$M$12</f>
        <v>0</v>
      </c>
      <c r="T99" s="97" t="s">
        <v>110</v>
      </c>
      <c r="U99" s="200">
        <f t="shared" si="1479"/>
        <v>0</v>
      </c>
      <c r="V99" s="97" t="s">
        <v>107</v>
      </c>
      <c r="W99" s="200">
        <f t="shared" si="1479"/>
        <v>0</v>
      </c>
      <c r="X99" s="97" t="s">
        <v>107</v>
      </c>
      <c r="Y99" s="200">
        <f t="shared" si="1479"/>
        <v>0</v>
      </c>
      <c r="Z99" s="97" t="s">
        <v>107</v>
      </c>
      <c r="AA99" s="200">
        <f t="shared" si="1479"/>
        <v>0</v>
      </c>
      <c r="AB99" s="97" t="s">
        <v>107</v>
      </c>
      <c r="AC99" s="200">
        <f t="shared" si="1479"/>
        <v>0</v>
      </c>
      <c r="AD99" t="s">
        <v>107</v>
      </c>
      <c r="AE99" s="200">
        <f t="shared" si="1479"/>
        <v>0</v>
      </c>
      <c r="AF99" t="s">
        <v>107</v>
      </c>
      <c r="AG99" s="200">
        <f t="shared" si="1479"/>
        <v>0</v>
      </c>
      <c r="AH99" t="s">
        <v>107</v>
      </c>
      <c r="AI99" s="200">
        <f t="shared" si="1479"/>
        <v>0</v>
      </c>
      <c r="AJ99" t="s">
        <v>105</v>
      </c>
      <c r="AK99" s="200">
        <f t="shared" si="1479"/>
        <v>0</v>
      </c>
      <c r="AL99" t="s">
        <v>110</v>
      </c>
      <c r="AM99" s="200">
        <f t="shared" si="1479"/>
        <v>0</v>
      </c>
      <c r="AN99" t="s">
        <v>107</v>
      </c>
      <c r="AO99" s="200">
        <f t="shared" si="1479"/>
        <v>0</v>
      </c>
      <c r="AP99" t="s">
        <v>107</v>
      </c>
      <c r="AQ99" s="200">
        <f t="shared" si="1479"/>
        <v>0</v>
      </c>
      <c r="AR99" t="s">
        <v>107</v>
      </c>
      <c r="AS99" s="200">
        <f t="shared" si="1479"/>
        <v>0</v>
      </c>
      <c r="AT99" t="s">
        <v>107</v>
      </c>
      <c r="AU99" s="200">
        <f t="shared" si="1479"/>
        <v>0</v>
      </c>
      <c r="AV99" t="s">
        <v>107</v>
      </c>
      <c r="AW99" s="200">
        <f t="shared" si="1479"/>
        <v>0</v>
      </c>
      <c r="AX99" t="s">
        <v>107</v>
      </c>
      <c r="AY99" s="200">
        <f t="shared" si="1479"/>
        <v>0</v>
      </c>
      <c r="AZ99" t="s">
        <v>107</v>
      </c>
      <c r="BA99" s="200">
        <f t="shared" si="1479"/>
        <v>0</v>
      </c>
      <c r="BB99" t="s">
        <v>107</v>
      </c>
      <c r="BC99" s="200">
        <f t="shared" si="1479"/>
        <v>0</v>
      </c>
      <c r="BD99" t="s">
        <v>107</v>
      </c>
      <c r="BE99" s="200">
        <f t="shared" si="1479"/>
        <v>0</v>
      </c>
      <c r="BF99" t="s">
        <v>107</v>
      </c>
      <c r="BG99" s="200">
        <f t="shared" si="1479"/>
        <v>0</v>
      </c>
      <c r="BH99" t="s">
        <v>107</v>
      </c>
      <c r="BI99" s="200">
        <f t="shared" si="1479"/>
        <v>0</v>
      </c>
      <c r="BJ99" t="s">
        <v>105</v>
      </c>
      <c r="BK99" s="200">
        <f t="shared" si="1479"/>
        <v>0</v>
      </c>
      <c r="BL99" t="s">
        <v>107</v>
      </c>
      <c r="BM99" s="200">
        <f t="shared" si="1479"/>
        <v>0</v>
      </c>
      <c r="BN99" t="s">
        <v>107</v>
      </c>
      <c r="BO99" s="200">
        <f t="shared" si="1479"/>
        <v>0</v>
      </c>
      <c r="BP99" t="s">
        <v>107</v>
      </c>
      <c r="BQ99" s="200">
        <f t="shared" si="1479"/>
        <v>0</v>
      </c>
      <c r="BR99" t="s">
        <v>107</v>
      </c>
      <c r="BS99" s="200">
        <f t="shared" si="1479"/>
        <v>0</v>
      </c>
      <c r="BT99" t="s">
        <v>107</v>
      </c>
      <c r="BU99" s="200">
        <f t="shared" si="1479"/>
        <v>0</v>
      </c>
      <c r="BV99" t="s">
        <v>107</v>
      </c>
      <c r="BW99" s="200">
        <f t="shared" si="1479"/>
        <v>0</v>
      </c>
      <c r="BX99" t="s">
        <v>107</v>
      </c>
      <c r="BY99" s="200">
        <f t="shared" si="1479"/>
        <v>0</v>
      </c>
      <c r="BZ99" t="s">
        <v>107</v>
      </c>
      <c r="CA99" s="200">
        <f t="shared" si="1479"/>
        <v>0</v>
      </c>
      <c r="CB99" t="s">
        <v>107</v>
      </c>
      <c r="CC99" s="200">
        <f t="shared" si="1479"/>
        <v>0</v>
      </c>
      <c r="CD99" t="s">
        <v>107</v>
      </c>
      <c r="CE99" s="200">
        <f t="shared" si="1479"/>
        <v>0</v>
      </c>
      <c r="CF99" s="197" t="s">
        <v>107</v>
      </c>
      <c r="CG99" s="200">
        <f t="shared" si="1479"/>
        <v>0</v>
      </c>
      <c r="CH99" t="s">
        <v>107</v>
      </c>
      <c r="CI99" s="200">
        <f t="shared" si="1479"/>
        <v>0</v>
      </c>
      <c r="CJ99" t="s">
        <v>105</v>
      </c>
      <c r="CK99" s="200">
        <f t="shared" si="1479"/>
        <v>0</v>
      </c>
      <c r="CL99" s="197" t="s">
        <v>107</v>
      </c>
      <c r="CM99" s="200">
        <f t="shared" si="1479"/>
        <v>0</v>
      </c>
      <c r="CN99" t="s">
        <v>105</v>
      </c>
      <c r="CO99" s="200">
        <f t="shared" si="1479"/>
        <v>0</v>
      </c>
      <c r="CP99" t="s">
        <v>107</v>
      </c>
      <c r="CQ99" s="200">
        <f t="shared" si="1479"/>
        <v>0</v>
      </c>
      <c r="CR99" t="s">
        <v>107</v>
      </c>
      <c r="CS99" s="200">
        <f t="shared" si="1479"/>
        <v>0</v>
      </c>
      <c r="CT99" s="197" t="s">
        <v>107</v>
      </c>
      <c r="CU99" s="200">
        <f t="shared" si="1479"/>
        <v>0</v>
      </c>
      <c r="CV99" s="197" t="s">
        <v>105</v>
      </c>
      <c r="CW99" s="200">
        <f t="shared" si="1479"/>
        <v>0</v>
      </c>
      <c r="CX99" s="197" t="s">
        <v>107</v>
      </c>
      <c r="CY99" s="200">
        <f t="shared" si="1479"/>
        <v>0</v>
      </c>
      <c r="CZ99" s="197" t="s">
        <v>107</v>
      </c>
      <c r="DA99" s="200">
        <f t="shared" si="1479"/>
        <v>0</v>
      </c>
    </row>
    <row r="100" spans="15:105" x14ac:dyDescent="0.25">
      <c r="O100" s="10" t="s">
        <v>240</v>
      </c>
      <c r="P100" s="10"/>
      <c r="Q100" s="5"/>
      <c r="R100" s="97" t="s">
        <v>108</v>
      </c>
      <c r="S100" s="97">
        <f t="shared" si="1479"/>
        <v>0</v>
      </c>
      <c r="T100" s="97" t="s">
        <v>109</v>
      </c>
      <c r="U100" s="200">
        <f t="shared" si="1479"/>
        <v>0</v>
      </c>
      <c r="V100" s="97" t="s">
        <v>108</v>
      </c>
      <c r="W100" s="200">
        <f t="shared" si="1479"/>
        <v>0</v>
      </c>
      <c r="X100" s="97" t="s">
        <v>109</v>
      </c>
      <c r="Y100" s="200">
        <f t="shared" si="1479"/>
        <v>0</v>
      </c>
      <c r="Z100" s="97" t="s">
        <v>109</v>
      </c>
      <c r="AA100" s="200">
        <f t="shared" si="1479"/>
        <v>0</v>
      </c>
      <c r="AB100" s="97" t="s">
        <v>110</v>
      </c>
      <c r="AC100" s="200">
        <f t="shared" si="1479"/>
        <v>0</v>
      </c>
      <c r="AD100" t="s">
        <v>108</v>
      </c>
      <c r="AE100" s="200">
        <f t="shared" si="1479"/>
        <v>0</v>
      </c>
      <c r="AF100" t="s">
        <v>110</v>
      </c>
      <c r="AG100" s="200">
        <f t="shared" si="1479"/>
        <v>0</v>
      </c>
      <c r="AH100" t="s">
        <v>108</v>
      </c>
      <c r="AI100" s="200">
        <f t="shared" si="1479"/>
        <v>0</v>
      </c>
      <c r="AJ100" t="s">
        <v>108</v>
      </c>
      <c r="AK100" s="200">
        <f t="shared" si="1479"/>
        <v>0</v>
      </c>
      <c r="AL100" t="s">
        <v>108</v>
      </c>
      <c r="AM100" s="200">
        <f t="shared" si="1479"/>
        <v>0</v>
      </c>
      <c r="AN100" t="s">
        <v>108</v>
      </c>
      <c r="AO100" s="200">
        <f t="shared" si="1479"/>
        <v>0</v>
      </c>
      <c r="AP100" t="s">
        <v>108</v>
      </c>
      <c r="AQ100" s="200">
        <f t="shared" si="1479"/>
        <v>0</v>
      </c>
      <c r="AR100" t="s">
        <v>109</v>
      </c>
      <c r="AS100" s="200">
        <f t="shared" si="1479"/>
        <v>0</v>
      </c>
      <c r="AT100" t="s">
        <v>108</v>
      </c>
      <c r="AU100" s="200">
        <f t="shared" si="1479"/>
        <v>0</v>
      </c>
      <c r="AV100" t="s">
        <v>105</v>
      </c>
      <c r="AW100" s="200">
        <f t="shared" si="1479"/>
        <v>0</v>
      </c>
      <c r="AX100" t="s">
        <v>110</v>
      </c>
      <c r="AY100" s="200">
        <f t="shared" si="1479"/>
        <v>0</v>
      </c>
      <c r="AZ100" t="s">
        <v>116</v>
      </c>
      <c r="BA100" s="200">
        <f t="shared" si="1479"/>
        <v>0</v>
      </c>
      <c r="BB100" t="s">
        <v>108</v>
      </c>
      <c r="BC100" s="200">
        <f t="shared" si="1479"/>
        <v>0</v>
      </c>
      <c r="BD100" t="s">
        <v>110</v>
      </c>
      <c r="BE100" s="200">
        <f t="shared" si="1479"/>
        <v>0</v>
      </c>
      <c r="BF100" t="s">
        <v>108</v>
      </c>
      <c r="BG100" s="200">
        <f t="shared" si="1479"/>
        <v>0</v>
      </c>
      <c r="BH100" t="s">
        <v>105</v>
      </c>
      <c r="BI100" s="200">
        <f t="shared" si="1479"/>
        <v>0</v>
      </c>
      <c r="BJ100" t="s">
        <v>108</v>
      </c>
      <c r="BK100" s="200">
        <f t="shared" si="1479"/>
        <v>0</v>
      </c>
      <c r="BL100" t="s">
        <v>108</v>
      </c>
      <c r="BM100" s="200">
        <f t="shared" si="1479"/>
        <v>0</v>
      </c>
      <c r="BN100" t="s">
        <v>108</v>
      </c>
      <c r="BO100" s="200">
        <f t="shared" si="1479"/>
        <v>0</v>
      </c>
      <c r="BP100" t="s">
        <v>108</v>
      </c>
      <c r="BQ100" s="200">
        <f t="shared" si="1479"/>
        <v>0</v>
      </c>
      <c r="BR100" t="s">
        <v>108</v>
      </c>
      <c r="BS100" s="200">
        <f t="shared" si="1479"/>
        <v>0</v>
      </c>
      <c r="BT100" t="s">
        <v>109</v>
      </c>
      <c r="BU100" s="200">
        <f t="shared" si="1479"/>
        <v>0</v>
      </c>
      <c r="BV100" t="s">
        <v>108</v>
      </c>
      <c r="BW100" s="200">
        <f t="shared" si="1479"/>
        <v>0</v>
      </c>
      <c r="BX100" t="s">
        <v>108</v>
      </c>
      <c r="BY100" s="200">
        <f t="shared" si="1479"/>
        <v>0</v>
      </c>
      <c r="BZ100" t="s">
        <v>108</v>
      </c>
      <c r="CA100" s="200">
        <f t="shared" si="1479"/>
        <v>0</v>
      </c>
      <c r="CB100" t="s">
        <v>108</v>
      </c>
      <c r="CC100" s="200">
        <f t="shared" si="1479"/>
        <v>0</v>
      </c>
      <c r="CD100" t="s">
        <v>110</v>
      </c>
      <c r="CE100" s="200">
        <f t="shared" si="1479"/>
        <v>0</v>
      </c>
      <c r="CF100" s="197" t="s">
        <v>108</v>
      </c>
      <c r="CG100" s="200">
        <f t="shared" si="1479"/>
        <v>0</v>
      </c>
      <c r="CH100" t="s">
        <v>109</v>
      </c>
      <c r="CI100" s="200">
        <f t="shared" si="1479"/>
        <v>0</v>
      </c>
      <c r="CJ100" t="s">
        <v>109</v>
      </c>
      <c r="CK100" s="200">
        <f t="shared" si="1479"/>
        <v>0</v>
      </c>
      <c r="CL100" s="197" t="s">
        <v>108</v>
      </c>
      <c r="CM100" s="200">
        <f t="shared" si="1479"/>
        <v>0</v>
      </c>
      <c r="CN100" t="s">
        <v>110</v>
      </c>
      <c r="CO100" s="200">
        <f t="shared" si="1479"/>
        <v>0</v>
      </c>
      <c r="CP100" t="s">
        <v>110</v>
      </c>
      <c r="CQ100" s="200">
        <f t="shared" si="1479"/>
        <v>0</v>
      </c>
      <c r="CR100" t="s">
        <v>108</v>
      </c>
      <c r="CS100" s="200">
        <f t="shared" si="1479"/>
        <v>0</v>
      </c>
      <c r="CT100" s="197" t="s">
        <v>111</v>
      </c>
      <c r="CU100" s="200">
        <f t="shared" si="1479"/>
        <v>0</v>
      </c>
      <c r="CV100" s="197" t="s">
        <v>108</v>
      </c>
      <c r="CW100" s="200">
        <f t="shared" si="1479"/>
        <v>0</v>
      </c>
      <c r="CX100" s="197" t="s">
        <v>108</v>
      </c>
      <c r="CY100" s="200">
        <f t="shared" si="1479"/>
        <v>0</v>
      </c>
      <c r="CZ100" s="197" t="s">
        <v>108</v>
      </c>
      <c r="DA100" s="200">
        <f t="shared" si="1479"/>
        <v>0</v>
      </c>
    </row>
    <row r="101" spans="15:105" x14ac:dyDescent="0.25">
      <c r="O101" s="10" t="s">
        <v>240</v>
      </c>
      <c r="P101" s="10"/>
      <c r="Q101" s="5"/>
      <c r="R101" s="97" t="s">
        <v>104</v>
      </c>
      <c r="S101" s="97">
        <f t="shared" si="1479"/>
        <v>0</v>
      </c>
      <c r="T101" s="97" t="s">
        <v>111</v>
      </c>
      <c r="U101" s="200">
        <f t="shared" si="1479"/>
        <v>0</v>
      </c>
      <c r="V101" s="97" t="s">
        <v>104</v>
      </c>
      <c r="W101" s="200">
        <f t="shared" si="1479"/>
        <v>0</v>
      </c>
      <c r="X101" s="97" t="s">
        <v>104</v>
      </c>
      <c r="Y101" s="200">
        <f t="shared" si="1479"/>
        <v>0</v>
      </c>
      <c r="Z101" s="97" t="s">
        <v>108</v>
      </c>
      <c r="AA101" s="200">
        <f t="shared" si="1479"/>
        <v>0</v>
      </c>
      <c r="AB101" s="97" t="s">
        <v>104</v>
      </c>
      <c r="AC101" s="200">
        <f t="shared" si="1479"/>
        <v>0</v>
      </c>
      <c r="AD101" t="s">
        <v>104</v>
      </c>
      <c r="AE101" s="200">
        <f t="shared" si="1479"/>
        <v>0</v>
      </c>
      <c r="AF101" t="s">
        <v>104</v>
      </c>
      <c r="AG101" s="200">
        <f t="shared" si="1479"/>
        <v>0</v>
      </c>
      <c r="AH101" t="s">
        <v>104</v>
      </c>
      <c r="AI101" s="200">
        <f t="shared" si="1479"/>
        <v>0</v>
      </c>
      <c r="AJ101" t="s">
        <v>104</v>
      </c>
      <c r="AK101" s="200">
        <f t="shared" si="1479"/>
        <v>0</v>
      </c>
      <c r="AL101" t="s">
        <v>104</v>
      </c>
      <c r="AM101" s="200">
        <f t="shared" si="1479"/>
        <v>0</v>
      </c>
      <c r="AN101" t="s">
        <v>104</v>
      </c>
      <c r="AO101" s="200">
        <f t="shared" si="1479"/>
        <v>0</v>
      </c>
      <c r="AP101" t="s">
        <v>104</v>
      </c>
      <c r="AQ101" s="200">
        <f t="shared" si="1479"/>
        <v>0</v>
      </c>
      <c r="AR101" t="s">
        <v>104</v>
      </c>
      <c r="AS101" s="200">
        <f t="shared" si="1479"/>
        <v>0</v>
      </c>
      <c r="AT101" t="s">
        <v>104</v>
      </c>
      <c r="AU101" s="200">
        <f t="shared" si="1479"/>
        <v>0</v>
      </c>
      <c r="AV101" t="s">
        <v>104</v>
      </c>
      <c r="AW101" s="200">
        <f t="shared" si="1479"/>
        <v>0</v>
      </c>
      <c r="AX101" t="s">
        <v>104</v>
      </c>
      <c r="AY101" s="200">
        <f t="shared" si="1479"/>
        <v>0</v>
      </c>
      <c r="AZ101" t="s">
        <v>111</v>
      </c>
      <c r="BA101" s="200">
        <f t="shared" si="1479"/>
        <v>0</v>
      </c>
      <c r="BB101" t="s">
        <v>104</v>
      </c>
      <c r="BC101" s="200">
        <f t="shared" si="1479"/>
        <v>0</v>
      </c>
      <c r="BD101" t="s">
        <v>104</v>
      </c>
      <c r="BE101" s="200">
        <f t="shared" si="1479"/>
        <v>0</v>
      </c>
      <c r="BF101" t="s">
        <v>104</v>
      </c>
      <c r="BG101" s="200">
        <f t="shared" si="1479"/>
        <v>0</v>
      </c>
      <c r="BH101" t="s">
        <v>104</v>
      </c>
      <c r="BI101" s="200">
        <f t="shared" si="1479"/>
        <v>0</v>
      </c>
      <c r="BJ101" t="s">
        <v>104</v>
      </c>
      <c r="BK101" s="200">
        <f t="shared" si="1479"/>
        <v>0</v>
      </c>
      <c r="BL101" t="s">
        <v>104</v>
      </c>
      <c r="BM101" s="200">
        <f t="shared" si="1479"/>
        <v>0</v>
      </c>
      <c r="BN101" t="s">
        <v>104</v>
      </c>
      <c r="BO101" s="200">
        <f t="shared" si="1479"/>
        <v>0</v>
      </c>
      <c r="BP101" t="s">
        <v>104</v>
      </c>
      <c r="BQ101" s="200">
        <f t="shared" si="1479"/>
        <v>0</v>
      </c>
      <c r="BR101" t="s">
        <v>104</v>
      </c>
      <c r="BS101" s="200">
        <f t="shared" si="1479"/>
        <v>0</v>
      </c>
      <c r="BT101" t="s">
        <v>104</v>
      </c>
      <c r="BU101" s="200">
        <f t="shared" si="1479"/>
        <v>0</v>
      </c>
      <c r="BV101" t="s">
        <v>104</v>
      </c>
      <c r="BW101" s="200">
        <f t="shared" si="1479"/>
        <v>0</v>
      </c>
      <c r="BX101" t="s">
        <v>109</v>
      </c>
      <c r="BY101" s="200">
        <f t="shared" si="1479"/>
        <v>0</v>
      </c>
      <c r="BZ101" t="s">
        <v>104</v>
      </c>
      <c r="CA101" s="200">
        <f t="shared" si="1479"/>
        <v>0</v>
      </c>
      <c r="CB101" t="s">
        <v>104</v>
      </c>
      <c r="CC101" s="200">
        <f t="shared" si="1479"/>
        <v>0</v>
      </c>
      <c r="CD101" t="s">
        <v>104</v>
      </c>
      <c r="CE101" s="200">
        <f t="shared" si="1479"/>
        <v>0</v>
      </c>
      <c r="CF101" s="197" t="s">
        <v>104</v>
      </c>
      <c r="CG101" s="200">
        <f t="shared" si="1479"/>
        <v>0</v>
      </c>
      <c r="CH101" t="s">
        <v>113</v>
      </c>
      <c r="CI101" s="200">
        <f t="shared" si="1479"/>
        <v>0</v>
      </c>
      <c r="CJ101" t="s">
        <v>104</v>
      </c>
      <c r="CK101" s="200">
        <f t="shared" si="1479"/>
        <v>0</v>
      </c>
      <c r="CL101" s="197" t="s">
        <v>104</v>
      </c>
      <c r="CM101" s="200">
        <f t="shared" si="1479"/>
        <v>0</v>
      </c>
      <c r="CN101" t="s">
        <v>104</v>
      </c>
      <c r="CO101" s="200">
        <f t="shared" si="1479"/>
        <v>0</v>
      </c>
      <c r="CP101" t="s">
        <v>104</v>
      </c>
      <c r="CQ101" s="200">
        <f t="shared" si="1479"/>
        <v>0</v>
      </c>
      <c r="CR101" t="s">
        <v>104</v>
      </c>
      <c r="CS101" s="200">
        <f t="shared" si="1479"/>
        <v>0</v>
      </c>
      <c r="CT101" s="197" t="s">
        <v>104</v>
      </c>
      <c r="CU101" s="200">
        <f t="shared" si="1479"/>
        <v>0</v>
      </c>
      <c r="CV101" s="197" t="s">
        <v>104</v>
      </c>
      <c r="CW101" s="200">
        <f t="shared" si="1479"/>
        <v>0</v>
      </c>
      <c r="CX101" s="197" t="s">
        <v>104</v>
      </c>
      <c r="CY101" s="200">
        <f t="shared" si="1479"/>
        <v>0</v>
      </c>
      <c r="CZ101" s="197" t="s">
        <v>104</v>
      </c>
      <c r="DA101" s="200">
        <f t="shared" si="1479"/>
        <v>0</v>
      </c>
    </row>
    <row r="102" spans="15:105" x14ac:dyDescent="0.25">
      <c r="U102" s="200"/>
      <c r="W102" s="200"/>
      <c r="Y102" s="200"/>
      <c r="AA102" s="200"/>
      <c r="AC102" s="200"/>
      <c r="AE102" s="200"/>
      <c r="AG102" s="200"/>
      <c r="AI102" s="200"/>
      <c r="AK102" s="200"/>
      <c r="AM102" s="200"/>
      <c r="AO102" s="200"/>
      <c r="AQ102" s="200"/>
      <c r="AS102" s="200"/>
      <c r="AU102" s="200"/>
      <c r="AW102" s="200"/>
      <c r="AY102" s="200"/>
      <c r="BA102" s="200"/>
      <c r="BC102" s="200"/>
      <c r="BE102" s="200"/>
      <c r="BG102" s="200"/>
      <c r="BI102" s="200"/>
      <c r="BK102" s="200"/>
      <c r="BM102" s="200"/>
      <c r="BO102" s="200"/>
      <c r="BQ102" s="200"/>
      <c r="BS102" s="200"/>
      <c r="BU102" s="200"/>
      <c r="BW102" s="200"/>
      <c r="BY102" s="200"/>
      <c r="CA102" s="200"/>
      <c r="CC102" s="200"/>
      <c r="CE102" s="200"/>
      <c r="CF102" s="197"/>
      <c r="CL102" s="197"/>
      <c r="CT102" s="197"/>
      <c r="CV102" s="197"/>
      <c r="CX102" s="197"/>
      <c r="CZ102" s="197"/>
    </row>
    <row r="103" spans="15:105" ht="21" x14ac:dyDescent="0.35">
      <c r="O103" s="96" t="s">
        <v>241</v>
      </c>
      <c r="U103" s="200"/>
      <c r="W103" s="200"/>
      <c r="Y103" s="200"/>
      <c r="AA103" s="200"/>
      <c r="AC103" s="200"/>
      <c r="AE103" s="200"/>
      <c r="AG103" s="200"/>
      <c r="AI103" s="200"/>
      <c r="AK103" s="200"/>
      <c r="AM103" s="200"/>
      <c r="AO103" s="200"/>
      <c r="AQ103" s="200"/>
      <c r="AS103" s="200"/>
      <c r="AU103" s="200"/>
      <c r="AW103" s="200"/>
      <c r="AY103" s="200"/>
      <c r="BA103" s="200"/>
      <c r="BC103" s="200"/>
      <c r="BE103" s="200"/>
      <c r="BG103" s="200"/>
      <c r="BI103" s="200"/>
      <c r="BK103" s="200"/>
      <c r="BM103" s="200"/>
      <c r="BO103" s="200"/>
      <c r="BQ103" s="200"/>
      <c r="BS103" s="200"/>
      <c r="BU103" s="200"/>
      <c r="BW103" s="200"/>
      <c r="BY103" s="200"/>
      <c r="CA103" s="200"/>
      <c r="CC103" s="200"/>
      <c r="CE103" s="200"/>
      <c r="CF103" s="197"/>
      <c r="CL103" s="197"/>
      <c r="CT103" s="197"/>
      <c r="CV103" s="197"/>
      <c r="CX103" s="197"/>
      <c r="CZ103" s="197"/>
    </row>
    <row r="104" spans="15:105" x14ac:dyDescent="0.25">
      <c r="O104" s="10" t="s">
        <v>243</v>
      </c>
      <c r="P104" s="10"/>
      <c r="Q104" s="5"/>
      <c r="R104" s="97" t="s">
        <v>106</v>
      </c>
      <c r="S104" s="97">
        <f>COUNTIF($P$104:$P$105,R104)*$M$13</f>
        <v>0</v>
      </c>
      <c r="T104" s="97" t="s">
        <v>109</v>
      </c>
      <c r="U104" s="200">
        <f>COUNTIF($P$104:$P$105,T104)*$M$13</f>
        <v>0</v>
      </c>
      <c r="V104" s="97" t="s">
        <v>108</v>
      </c>
      <c r="W104" s="200">
        <f>COUNTIF($P$104:$P$105,V104)*$M$13</f>
        <v>0</v>
      </c>
      <c r="X104" s="97" t="s">
        <v>106</v>
      </c>
      <c r="Y104" s="200">
        <f>COUNTIF($P$104:$P$105,X104)*$M$13</f>
        <v>0</v>
      </c>
      <c r="Z104" s="97" t="s">
        <v>106</v>
      </c>
      <c r="AA104" s="200">
        <f>COUNTIF($P$104:$P$105,Z104)*$M$13</f>
        <v>0</v>
      </c>
      <c r="AB104" s="97" t="s">
        <v>110</v>
      </c>
      <c r="AC104" s="200">
        <f>COUNTIF($P$104:$P$105,AB104)*$M$13</f>
        <v>0</v>
      </c>
      <c r="AD104" t="s">
        <v>106</v>
      </c>
      <c r="AE104" s="200">
        <f>COUNTIF($P$104:$P$105,AD104)*$M$13</f>
        <v>0</v>
      </c>
      <c r="AF104" t="s">
        <v>106</v>
      </c>
      <c r="AG104" s="200">
        <f>COUNTIF($P$104:$P$105,AF104)*$M$13</f>
        <v>0</v>
      </c>
      <c r="AH104" t="s">
        <v>106</v>
      </c>
      <c r="AI104" s="200">
        <f>COUNTIF($P$104:$P$105,AH104)*$M$13</f>
        <v>0</v>
      </c>
      <c r="AJ104" t="s">
        <v>106</v>
      </c>
      <c r="AK104" s="200">
        <f>COUNTIF($P$104:$P$105,AJ104)*$M$13</f>
        <v>0</v>
      </c>
      <c r="AL104" t="s">
        <v>106</v>
      </c>
      <c r="AM104" s="200">
        <f>COUNTIF($P$104:$P$105,AL104)*$M$13</f>
        <v>0</v>
      </c>
      <c r="AN104" t="s">
        <v>108</v>
      </c>
      <c r="AO104" s="200">
        <f>COUNTIF($P$104:$P$105,AN104)*$M$13</f>
        <v>0</v>
      </c>
      <c r="AP104" t="s">
        <v>106</v>
      </c>
      <c r="AQ104" s="200">
        <f>COUNTIF($P$104:$P$105,AP104)*$M$13</f>
        <v>0</v>
      </c>
      <c r="AR104" t="s">
        <v>106</v>
      </c>
      <c r="AS104" s="200">
        <f>COUNTIF($P$104:$P$105,AR104)*$M$13</f>
        <v>0</v>
      </c>
      <c r="AT104" t="s">
        <v>108</v>
      </c>
      <c r="AU104" s="200">
        <f>COUNTIF($P$104:$P$105,AT104)*$M$13</f>
        <v>0</v>
      </c>
      <c r="AV104" t="s">
        <v>105</v>
      </c>
      <c r="AW104" s="200">
        <f>COUNTIF($P$104:$P$105,AV104)*$M$13</f>
        <v>0</v>
      </c>
      <c r="AX104" t="s">
        <v>106</v>
      </c>
      <c r="AY104" s="200">
        <f>COUNTIF($P$104:$P$105,AX104)*$M$13</f>
        <v>0</v>
      </c>
      <c r="AZ104" t="s">
        <v>116</v>
      </c>
      <c r="BA104" s="200">
        <f>COUNTIF($P$104:$P$105,AZ104)*$M$13</f>
        <v>0</v>
      </c>
      <c r="BB104" t="s">
        <v>108</v>
      </c>
      <c r="BC104" s="200">
        <f>COUNTIF($P$104:$P$105,BB104)*$M$13</f>
        <v>0</v>
      </c>
      <c r="BD104" t="s">
        <v>110</v>
      </c>
      <c r="BE104" s="200">
        <f>COUNTIF($P$104:$P$105,BD104)*$M$13</f>
        <v>0</v>
      </c>
      <c r="BF104" t="s">
        <v>108</v>
      </c>
      <c r="BG104" s="200">
        <f>COUNTIF($P$104:$P$105,BF104)*$M$13</f>
        <v>0</v>
      </c>
      <c r="BH104" t="s">
        <v>114</v>
      </c>
      <c r="BI104" s="200">
        <f>COUNTIF($P$104:$P$105,BH104)*$M$13</f>
        <v>0</v>
      </c>
      <c r="BJ104" t="s">
        <v>106</v>
      </c>
      <c r="BK104" s="200">
        <f>COUNTIF($P$104:$P$105,BJ104)*$M$13</f>
        <v>0</v>
      </c>
      <c r="BL104" t="s">
        <v>108</v>
      </c>
      <c r="BM104" s="200">
        <f>COUNTIF($P$104:$P$105,BL104)*$M$13</f>
        <v>0</v>
      </c>
      <c r="BN104" t="s">
        <v>106</v>
      </c>
      <c r="BO104" s="200">
        <f>COUNTIF($P$104:$P$105,BN104)*$M$13</f>
        <v>0</v>
      </c>
      <c r="BP104" t="s">
        <v>106</v>
      </c>
      <c r="BQ104" s="200">
        <f>COUNTIF($P$104:$P$105,BP104)*$M$13</f>
        <v>0</v>
      </c>
      <c r="BR104" t="s">
        <v>106</v>
      </c>
      <c r="BS104" s="200">
        <f>COUNTIF($P$104:$P$105,BR104)*$M$13</f>
        <v>0</v>
      </c>
      <c r="BT104" t="s">
        <v>106</v>
      </c>
      <c r="BU104" s="200">
        <f>COUNTIF($P$104:$P$105,BT104)*$M$13</f>
        <v>0</v>
      </c>
      <c r="BV104" t="s">
        <v>108</v>
      </c>
      <c r="BW104" s="200">
        <f>COUNTIF($P$104:$P$105,BV104)*$M$13</f>
        <v>0</v>
      </c>
      <c r="BX104" t="s">
        <v>106</v>
      </c>
      <c r="BY104" s="200">
        <f>COUNTIF($P$104:$P$105,BX104)*$M$13</f>
        <v>0</v>
      </c>
      <c r="BZ104" t="s">
        <v>108</v>
      </c>
      <c r="CA104" s="200">
        <f>COUNTIF($P$104:$P$105,BZ104)*$M$13</f>
        <v>0</v>
      </c>
      <c r="CB104" t="s">
        <v>108</v>
      </c>
      <c r="CC104" s="200">
        <f>COUNTIF($P$104:$P$105,CB104)*$M$13</f>
        <v>0</v>
      </c>
      <c r="CD104" t="s">
        <v>110</v>
      </c>
      <c r="CE104" s="200">
        <f>COUNTIF($P$104:$P$105,CD104)*$M$13</f>
        <v>0</v>
      </c>
      <c r="CF104" s="197" t="s">
        <v>106</v>
      </c>
      <c r="CG104" s="200">
        <f>COUNTIF($P$104:$P$105,CF104)*$M$13</f>
        <v>0</v>
      </c>
      <c r="CH104" t="s">
        <v>109</v>
      </c>
      <c r="CI104" s="200">
        <f>COUNTIF($P$104:$P$105,CH104)*$M$13</f>
        <v>0</v>
      </c>
      <c r="CJ104" t="s">
        <v>106</v>
      </c>
      <c r="CK104" s="200">
        <f>COUNTIF($P$104:$P$105,CJ104)*$M$13</f>
        <v>0</v>
      </c>
      <c r="CL104" s="197" t="s">
        <v>108</v>
      </c>
      <c r="CM104" s="200">
        <f>COUNTIF($P$104:$P$105,CL104)*$M$13</f>
        <v>0</v>
      </c>
      <c r="CN104" t="s">
        <v>110</v>
      </c>
      <c r="CO104" s="200">
        <f>COUNTIF($P$104:$P$105,CN104)*$M$13</f>
        <v>0</v>
      </c>
      <c r="CP104" t="s">
        <v>106</v>
      </c>
      <c r="CQ104" s="200">
        <f>COUNTIF($P$104:$P$105,CP104)*$M$13</f>
        <v>0</v>
      </c>
      <c r="CR104" t="s">
        <v>108</v>
      </c>
      <c r="CS104" s="200">
        <f>COUNTIF($P$104:$P$105,CR104)*$M$13</f>
        <v>0</v>
      </c>
      <c r="CT104" s="197" t="s">
        <v>111</v>
      </c>
      <c r="CU104" s="200">
        <f>COUNTIF($P$104:$P$105,CT104)*$M$13</f>
        <v>0</v>
      </c>
      <c r="CV104" s="197" t="s">
        <v>108</v>
      </c>
      <c r="CW104" s="200">
        <f>COUNTIF($P$104:$P$105,CV104)*$M$13</f>
        <v>0</v>
      </c>
      <c r="CX104" s="197" t="s">
        <v>106</v>
      </c>
      <c r="CY104" s="200">
        <f>COUNTIF($P$104:$P$105,CX104)*$M$13</f>
        <v>0</v>
      </c>
      <c r="CZ104" s="197" t="s">
        <v>108</v>
      </c>
      <c r="DA104" s="200">
        <f>COUNTIF($P$104:$P$105,CZ104)*$M$13</f>
        <v>0</v>
      </c>
    </row>
    <row r="105" spans="15:105" x14ac:dyDescent="0.25">
      <c r="O105" s="10" t="s">
        <v>243</v>
      </c>
      <c r="P105" s="10"/>
      <c r="Q105" s="5"/>
      <c r="R105" s="97" t="s">
        <v>107</v>
      </c>
      <c r="S105" s="97">
        <f>COUNTIF($P$104:$P$105,R105)*$M$13</f>
        <v>0</v>
      </c>
      <c r="T105" s="97" t="s">
        <v>111</v>
      </c>
      <c r="U105" s="200">
        <f>COUNTIF($P$104:$P$105,T105)*$M$13</f>
        <v>0</v>
      </c>
      <c r="V105" s="97" t="s">
        <v>107</v>
      </c>
      <c r="W105" s="200">
        <f>COUNTIF($P$104:$P$105,V105)*$M$13</f>
        <v>0</v>
      </c>
      <c r="X105" s="97" t="s">
        <v>107</v>
      </c>
      <c r="Y105" s="200">
        <f>COUNTIF($P$104:$P$105,X105)*$M$13</f>
        <v>0</v>
      </c>
      <c r="Z105" s="97" t="s">
        <v>108</v>
      </c>
      <c r="AA105" s="200">
        <f>COUNTIF($P$104:$P$105,Z105)*$M$13</f>
        <v>0</v>
      </c>
      <c r="AB105" s="97" t="s">
        <v>107</v>
      </c>
      <c r="AC105" s="200">
        <f>COUNTIF($P$104:$P$105,AB105)*$M$13</f>
        <v>0</v>
      </c>
      <c r="AD105" t="s">
        <v>107</v>
      </c>
      <c r="AE105" s="200">
        <f>COUNTIF($P$104:$P$105,AD105)*$M$13</f>
        <v>0</v>
      </c>
      <c r="AF105" t="s">
        <v>104</v>
      </c>
      <c r="AG105" s="200">
        <f>COUNTIF($P$104:$P$105,AF105)*$M$13</f>
        <v>0</v>
      </c>
      <c r="AH105" t="s">
        <v>107</v>
      </c>
      <c r="AI105" s="200">
        <f>COUNTIF($P$104:$P$105,AH105)*$M$13</f>
        <v>0</v>
      </c>
      <c r="AJ105" t="s">
        <v>104</v>
      </c>
      <c r="AK105" s="200">
        <f>COUNTIF($P$104:$P$105,AJ105)*$M$13</f>
        <v>0</v>
      </c>
      <c r="AL105" t="s">
        <v>110</v>
      </c>
      <c r="AM105" s="200">
        <f>COUNTIF($P$104:$P$105,AL105)*$M$13</f>
        <v>0</v>
      </c>
      <c r="AN105" t="s">
        <v>104</v>
      </c>
      <c r="AO105" s="200">
        <f>COUNTIF($P$104:$P$105,AN105)*$M$13</f>
        <v>0</v>
      </c>
      <c r="AP105" t="s">
        <v>107</v>
      </c>
      <c r="AQ105" s="200">
        <f>COUNTIF($P$104:$P$105,AP105)*$M$13</f>
        <v>0</v>
      </c>
      <c r="AR105" t="s">
        <v>107</v>
      </c>
      <c r="AS105" s="200">
        <f>COUNTIF($P$104:$P$105,AR105)*$M$13</f>
        <v>0</v>
      </c>
      <c r="AT105" t="s">
        <v>107</v>
      </c>
      <c r="AU105" s="200">
        <f>COUNTIF($P$104:$P$105,AT105)*$M$13</f>
        <v>0</v>
      </c>
      <c r="AV105" t="s">
        <v>107</v>
      </c>
      <c r="AW105" s="200">
        <f>COUNTIF($P$104:$P$105,AV105)*$M$13</f>
        <v>0</v>
      </c>
      <c r="AX105" t="s">
        <v>107</v>
      </c>
      <c r="AY105" s="200">
        <f>COUNTIF($P$104:$P$105,AX105)*$M$13</f>
        <v>0</v>
      </c>
      <c r="AZ105" t="s">
        <v>107</v>
      </c>
      <c r="BA105" s="200">
        <f>COUNTIF($P$104:$P$105,AZ105)*$M$13</f>
        <v>0</v>
      </c>
      <c r="BB105" t="s">
        <v>104</v>
      </c>
      <c r="BC105" s="200">
        <f>COUNTIF($P$104:$P$105,BB105)*$M$13</f>
        <v>0</v>
      </c>
      <c r="BD105" t="s">
        <v>107</v>
      </c>
      <c r="BE105" s="200">
        <f>COUNTIF($P$104:$P$105,BD105)*$M$13</f>
        <v>0</v>
      </c>
      <c r="BF105" t="s">
        <v>107</v>
      </c>
      <c r="BG105" s="200">
        <f>COUNTIF($P$104:$P$105,BF105)*$M$13</f>
        <v>0</v>
      </c>
      <c r="BH105" t="s">
        <v>107</v>
      </c>
      <c r="BI105" s="200">
        <f>COUNTIF($P$104:$P$105,BH105)*$M$13</f>
        <v>0</v>
      </c>
      <c r="BJ105" t="s">
        <v>104</v>
      </c>
      <c r="BK105" s="200">
        <f>COUNTIF($P$104:$P$105,BJ105)*$M$13</f>
        <v>0</v>
      </c>
      <c r="BL105" t="s">
        <v>107</v>
      </c>
      <c r="BM105" s="200">
        <f>COUNTIF($P$104:$P$105,BL105)*$M$13</f>
        <v>0</v>
      </c>
      <c r="BN105" t="s">
        <v>107</v>
      </c>
      <c r="BO105" s="200">
        <f>COUNTIF($P$104:$P$105,BN105)*$M$13</f>
        <v>0</v>
      </c>
      <c r="BP105" t="s">
        <v>107</v>
      </c>
      <c r="BQ105" s="200">
        <f>COUNTIF($P$104:$P$105,BP105)*$M$13</f>
        <v>0</v>
      </c>
      <c r="BR105" t="s">
        <v>107</v>
      </c>
      <c r="BS105" s="200">
        <f>COUNTIF($P$104:$P$105,BR105)*$M$13</f>
        <v>0</v>
      </c>
      <c r="BT105" t="s">
        <v>104</v>
      </c>
      <c r="BU105" s="200">
        <f>COUNTIF($P$104:$P$105,BT105)*$M$13</f>
        <v>0</v>
      </c>
      <c r="BV105" t="s">
        <v>107</v>
      </c>
      <c r="BW105" s="200">
        <f>COUNTIF($P$104:$P$105,BV105)*$M$13</f>
        <v>0</v>
      </c>
      <c r="BX105" t="s">
        <v>107</v>
      </c>
      <c r="BY105" s="200">
        <f>COUNTIF($P$104:$P$105,BX105)*$M$13</f>
        <v>0</v>
      </c>
      <c r="BZ105" t="s">
        <v>104</v>
      </c>
      <c r="CA105" s="200">
        <f>COUNTIF($P$104:$P$105,BZ105)*$M$13</f>
        <v>0</v>
      </c>
      <c r="CB105" t="s">
        <v>104</v>
      </c>
      <c r="CC105" s="200">
        <f>COUNTIF($P$104:$P$105,CB105)*$M$13</f>
        <v>0</v>
      </c>
      <c r="CD105" t="s">
        <v>107</v>
      </c>
      <c r="CE105" s="200">
        <f>COUNTIF($P$104:$P$105,CD105)*$M$13</f>
        <v>0</v>
      </c>
      <c r="CF105" s="197" t="s">
        <v>104</v>
      </c>
      <c r="CG105" s="200">
        <f>COUNTIF($P$104:$P$105,CF105)*$M$13</f>
        <v>0</v>
      </c>
      <c r="CH105" t="s">
        <v>107</v>
      </c>
      <c r="CI105" s="200">
        <f>COUNTIF($P$104:$P$105,CH105)*$M$13</f>
        <v>0</v>
      </c>
      <c r="CJ105" t="s">
        <v>105</v>
      </c>
      <c r="CK105" s="200">
        <f>COUNTIF($P$104:$P$105,CJ105)*$M$13</f>
        <v>0</v>
      </c>
      <c r="CL105" s="197" t="s">
        <v>107</v>
      </c>
      <c r="CM105" s="200">
        <f>COUNTIF($P$104:$P$105,CL105)*$M$13</f>
        <v>0</v>
      </c>
      <c r="CN105" t="s">
        <v>105</v>
      </c>
      <c r="CO105" s="200">
        <f>COUNTIF($P$104:$P$105,CN105)*$M$13</f>
        <v>0</v>
      </c>
      <c r="CP105" t="s">
        <v>107</v>
      </c>
      <c r="CQ105" s="200">
        <f>COUNTIF($P$104:$P$105,CP105)*$M$13</f>
        <v>0</v>
      </c>
      <c r="CR105" t="s">
        <v>107</v>
      </c>
      <c r="CS105" s="200">
        <f>COUNTIF($P$104:$P$105,CR105)*$M$13</f>
        <v>0</v>
      </c>
      <c r="CT105" s="197" t="s">
        <v>104</v>
      </c>
      <c r="CU105" s="200">
        <f>COUNTIF($P$104:$P$105,CT105)*$M$13</f>
        <v>0</v>
      </c>
      <c r="CV105" s="197" t="s">
        <v>105</v>
      </c>
      <c r="CW105" s="200">
        <f>COUNTIF($P$104:$P$105,CV105)*$M$13</f>
        <v>0</v>
      </c>
      <c r="CX105" s="197" t="s">
        <v>107</v>
      </c>
      <c r="CY105" s="200">
        <f>COUNTIF($P$104:$P$105,CX105)*$M$13</f>
        <v>0</v>
      </c>
      <c r="CZ105" s="197" t="s">
        <v>104</v>
      </c>
      <c r="DA105" s="200">
        <f>COUNTIF($P$104:$P$105,CZ105)*$M$13</f>
        <v>0</v>
      </c>
    </row>
    <row r="106" spans="15:105" x14ac:dyDescent="0.25">
      <c r="U106" s="200"/>
      <c r="W106" s="200"/>
      <c r="Y106" s="200"/>
      <c r="AA106" s="200"/>
      <c r="AC106" s="200"/>
      <c r="AE106" s="200"/>
      <c r="AG106" s="200"/>
      <c r="AI106" s="200"/>
      <c r="AK106" s="200"/>
      <c r="AM106" s="200"/>
      <c r="AO106" s="200"/>
      <c r="AQ106" s="200"/>
      <c r="AS106" s="200"/>
      <c r="AU106" s="200"/>
      <c r="AW106" s="200"/>
      <c r="AY106" s="200"/>
      <c r="BA106" s="200"/>
      <c r="BC106" s="200"/>
      <c r="BE106" s="200"/>
      <c r="BG106" s="200"/>
      <c r="BI106" s="200"/>
      <c r="BK106" s="200"/>
      <c r="BM106" s="200"/>
      <c r="BO106" s="200"/>
      <c r="BQ106" s="200"/>
      <c r="BS106" s="200"/>
      <c r="BU106" s="200"/>
      <c r="BW106" s="200"/>
      <c r="BY106" s="200"/>
      <c r="CA106" s="200"/>
      <c r="CC106" s="200"/>
      <c r="CE106" s="200"/>
      <c r="CF106" s="197"/>
      <c r="CL106" s="197"/>
      <c r="CT106" s="197"/>
      <c r="CV106" s="197"/>
      <c r="CX106" s="197"/>
      <c r="CZ106" s="197"/>
    </row>
    <row r="107" spans="15:105" ht="21" x14ac:dyDescent="0.35">
      <c r="O107" s="96" t="s">
        <v>244</v>
      </c>
      <c r="U107" s="200"/>
      <c r="W107" s="200"/>
      <c r="Y107" s="200"/>
      <c r="AA107" s="200"/>
      <c r="AC107" s="200"/>
      <c r="AE107" s="200"/>
      <c r="AG107" s="200"/>
      <c r="AI107" s="200"/>
      <c r="AK107" s="200"/>
      <c r="AM107" s="200"/>
      <c r="AO107" s="200"/>
      <c r="AQ107" s="200"/>
      <c r="AS107" s="200"/>
      <c r="AU107" s="200"/>
      <c r="AW107" s="200"/>
      <c r="AY107" s="200"/>
      <c r="BA107" s="200"/>
      <c r="BC107" s="200"/>
      <c r="BE107" s="200"/>
      <c r="BG107" s="200"/>
      <c r="BI107" s="200"/>
      <c r="BK107" s="200"/>
      <c r="BM107" s="200"/>
      <c r="BO107" s="200"/>
      <c r="BQ107" s="200"/>
      <c r="BS107" s="200"/>
      <c r="BU107" s="200"/>
      <c r="BW107" s="200"/>
      <c r="BY107" s="200"/>
      <c r="CA107" s="200"/>
      <c r="CC107" s="200"/>
      <c r="CE107" s="200"/>
      <c r="CF107" s="197"/>
      <c r="CL107" s="197"/>
      <c r="CT107" s="197"/>
      <c r="CV107" s="197"/>
      <c r="CX107" s="197"/>
      <c r="CZ107" s="197"/>
    </row>
    <row r="108" spans="15:105" ht="18.75" x14ac:dyDescent="0.3">
      <c r="O108" s="95" t="s">
        <v>245</v>
      </c>
      <c r="P108" s="10"/>
      <c r="Q108" s="5"/>
      <c r="R108" s="97" t="s">
        <v>107</v>
      </c>
      <c r="S108" s="97">
        <f>COUNTIF($P$108,R108)*$M$14</f>
        <v>0</v>
      </c>
      <c r="T108" s="97" t="s">
        <v>111</v>
      </c>
      <c r="U108" s="200">
        <f>COUNTIF($P$108,T108)*$M$14</f>
        <v>0</v>
      </c>
      <c r="V108" s="97" t="s">
        <v>107</v>
      </c>
      <c r="W108" s="200">
        <f>COUNTIF($P$108,V108)*$M$14</f>
        <v>0</v>
      </c>
      <c r="X108" s="97" t="s">
        <v>106</v>
      </c>
      <c r="Y108" s="200">
        <f>COUNTIF($P$108,X108)*$M$14</f>
        <v>0</v>
      </c>
      <c r="Z108" s="97" t="s">
        <v>106</v>
      </c>
      <c r="AA108" s="200">
        <f>COUNTIF($P$108,Z108)*$M$14</f>
        <v>0</v>
      </c>
      <c r="AB108" s="97" t="s">
        <v>107</v>
      </c>
      <c r="AC108" s="200">
        <f>COUNTIF($P$108,AB108)*$M$14</f>
        <v>0</v>
      </c>
      <c r="AD108" t="s">
        <v>107</v>
      </c>
      <c r="AE108" s="200">
        <f>COUNTIF($P$108,AD108)*$M$14</f>
        <v>0</v>
      </c>
      <c r="AF108" t="s">
        <v>106</v>
      </c>
      <c r="AG108" s="200">
        <f>COUNTIF($P$108,AF108)*$M$14</f>
        <v>0</v>
      </c>
      <c r="AH108" t="s">
        <v>107</v>
      </c>
      <c r="AI108" s="200">
        <f>COUNTIF($P$108,AH108)*$M$14</f>
        <v>0</v>
      </c>
      <c r="AJ108" t="s">
        <v>104</v>
      </c>
      <c r="AK108" s="200">
        <f>COUNTIF($P$108,AJ108)*$M$14</f>
        <v>0</v>
      </c>
      <c r="AL108" t="s">
        <v>106</v>
      </c>
      <c r="AM108" s="200">
        <f>COUNTIF($P$108,AL108)*$M$14</f>
        <v>0</v>
      </c>
      <c r="AN108" t="s">
        <v>104</v>
      </c>
      <c r="AO108" s="200">
        <f>COUNTIF($P$108,AN108)*$M$14</f>
        <v>0</v>
      </c>
      <c r="AP108" t="s">
        <v>107</v>
      </c>
      <c r="AQ108" s="200">
        <f>COUNTIF($P$108,AP108)*$M$14</f>
        <v>0</v>
      </c>
      <c r="AR108" t="s">
        <v>107</v>
      </c>
      <c r="AS108" s="200">
        <f>COUNTIF($P$108,AR108)*$M$14</f>
        <v>0</v>
      </c>
      <c r="AT108" t="s">
        <v>107</v>
      </c>
      <c r="AU108" s="200">
        <f>COUNTIF($P$108,AT108)*$M$14</f>
        <v>0</v>
      </c>
      <c r="AV108" t="s">
        <v>105</v>
      </c>
      <c r="AW108" s="200">
        <f>COUNTIF($P$108,AV108)*$M$14</f>
        <v>0</v>
      </c>
      <c r="AX108" t="s">
        <v>107</v>
      </c>
      <c r="AY108" s="200">
        <f>COUNTIF($P$108,AX108)*$M$14</f>
        <v>0</v>
      </c>
      <c r="AZ108" t="s">
        <v>107</v>
      </c>
      <c r="BA108" s="200">
        <f>COUNTIF($P$108,AZ108)*$M$14</f>
        <v>0</v>
      </c>
      <c r="BB108" t="s">
        <v>104</v>
      </c>
      <c r="BC108" s="200">
        <f>COUNTIF($P$108,BB108)*$M$14</f>
        <v>0</v>
      </c>
      <c r="BD108" t="s">
        <v>107</v>
      </c>
      <c r="BE108" s="200">
        <f>COUNTIF($P$108,BD108)*$M$14</f>
        <v>0</v>
      </c>
      <c r="BF108" t="s">
        <v>107</v>
      </c>
      <c r="BG108" s="200">
        <f>COUNTIF($P$108,BF108)*$M$14</f>
        <v>0</v>
      </c>
      <c r="BH108" t="s">
        <v>107</v>
      </c>
      <c r="BI108" s="200">
        <f>COUNTIF($P$108,BH108)*$M$14</f>
        <v>0</v>
      </c>
      <c r="BJ108" t="s">
        <v>106</v>
      </c>
      <c r="BK108" s="200">
        <f>COUNTIF($P$108,BJ108)*$M$14</f>
        <v>0</v>
      </c>
      <c r="BL108" t="s">
        <v>107</v>
      </c>
      <c r="BM108" s="200">
        <f>COUNTIF($P$108,BL108)*$M$14</f>
        <v>0</v>
      </c>
      <c r="BN108" t="s">
        <v>107</v>
      </c>
      <c r="BO108" s="200">
        <f>COUNTIF($P$108,BN108)*$M$14</f>
        <v>0</v>
      </c>
      <c r="BP108" t="s">
        <v>107</v>
      </c>
      <c r="BQ108" s="200">
        <f>COUNTIF($P$108,BP108)*$M$14</f>
        <v>0</v>
      </c>
      <c r="BR108" t="s">
        <v>106</v>
      </c>
      <c r="BS108" s="200">
        <f>COUNTIF($P$108,BR108)*$M$14</f>
        <v>0</v>
      </c>
      <c r="BT108" t="s">
        <v>106</v>
      </c>
      <c r="BU108" s="200">
        <f>COUNTIF($P$108,BT108)*$M$14</f>
        <v>0</v>
      </c>
      <c r="BV108" t="s">
        <v>107</v>
      </c>
      <c r="BW108" s="200">
        <f>COUNTIF($P$108,BV108)*$M$14</f>
        <v>0</v>
      </c>
      <c r="BX108" t="s">
        <v>106</v>
      </c>
      <c r="BY108" s="200">
        <f>COUNTIF($P$108,BX108)*$M$14</f>
        <v>0</v>
      </c>
      <c r="BZ108" t="s">
        <v>104</v>
      </c>
      <c r="CA108" s="200">
        <f>COUNTIF($P$108,BZ108)*$M$14</f>
        <v>0</v>
      </c>
      <c r="CB108" t="s">
        <v>104</v>
      </c>
      <c r="CC108" s="200">
        <f>COUNTIF($P$108,CB108)*$M$14</f>
        <v>0</v>
      </c>
      <c r="CD108" t="s">
        <v>107</v>
      </c>
      <c r="CE108" s="200">
        <f>COUNTIF($P$108,CD108)*$M$14</f>
        <v>0</v>
      </c>
      <c r="CF108" s="197" t="s">
        <v>104</v>
      </c>
      <c r="CG108" s="200">
        <f>COUNTIF($P$108,CF108)*$M$14</f>
        <v>0</v>
      </c>
      <c r="CH108" t="s">
        <v>109</v>
      </c>
      <c r="CI108" s="200">
        <f>COUNTIF($P$108,CH108)*$M$14</f>
        <v>0</v>
      </c>
      <c r="CJ108" t="s">
        <v>106</v>
      </c>
      <c r="CK108" s="200">
        <f>COUNTIF($P$108,CJ108)*$M$14</f>
        <v>0</v>
      </c>
      <c r="CL108" s="197" t="s">
        <v>107</v>
      </c>
      <c r="CM108" s="200">
        <f>COUNTIF($P$108,CL108)*$M$14</f>
        <v>0</v>
      </c>
      <c r="CN108" t="s">
        <v>105</v>
      </c>
      <c r="CO108" s="200">
        <f>COUNTIF($P$108,CN108)*$M$14</f>
        <v>0</v>
      </c>
      <c r="CP108" t="s">
        <v>107</v>
      </c>
      <c r="CQ108" s="200">
        <f>COUNTIF($P$108,CP108)*$M$14</f>
        <v>0</v>
      </c>
      <c r="CR108" t="s">
        <v>108</v>
      </c>
      <c r="CS108" s="200">
        <f>COUNTIF($P$108,CR108)*$M$14</f>
        <v>0</v>
      </c>
      <c r="CT108" s="197" t="s">
        <v>104</v>
      </c>
      <c r="CU108" s="200">
        <f>COUNTIF($P$108,CT108)*$M$14</f>
        <v>0</v>
      </c>
      <c r="CV108" s="197" t="s">
        <v>105</v>
      </c>
      <c r="CW108" s="200">
        <f>COUNTIF($P$108,CV108)*$M$14</f>
        <v>0</v>
      </c>
      <c r="CX108" s="197" t="s">
        <v>107</v>
      </c>
      <c r="CY108" s="200">
        <f>COUNTIF($P$108,CX108)*$M$14</f>
        <v>0</v>
      </c>
      <c r="CZ108" s="197" t="s">
        <v>108</v>
      </c>
      <c r="DA108" s="200">
        <f>COUNTIF($P$108,CZ108)*$M$14</f>
        <v>0</v>
      </c>
    </row>
    <row r="109" spans="15:105" x14ac:dyDescent="0.25">
      <c r="U109" s="200"/>
      <c r="W109" s="200"/>
      <c r="Y109" s="200"/>
      <c r="AA109" s="200"/>
      <c r="AC109" s="200"/>
      <c r="AE109" s="200"/>
      <c r="AG109" s="200"/>
      <c r="AI109" s="200"/>
      <c r="AK109" s="200"/>
      <c r="AM109" s="200"/>
      <c r="AO109" s="200"/>
      <c r="AQ109" s="200"/>
      <c r="AS109" s="200"/>
      <c r="AU109" s="200"/>
      <c r="AW109" s="200"/>
      <c r="AY109" s="200"/>
      <c r="BA109" s="200"/>
      <c r="BC109" s="200"/>
      <c r="BE109" s="200"/>
      <c r="BG109" s="200"/>
      <c r="BI109" s="200"/>
      <c r="BK109" s="200"/>
      <c r="BM109" s="200"/>
      <c r="BO109" s="200"/>
      <c r="BQ109" s="200"/>
      <c r="BS109" s="200"/>
      <c r="BU109" s="200"/>
      <c r="BW109" s="200"/>
      <c r="BY109" s="200"/>
      <c r="CA109" s="200"/>
      <c r="CC109" s="200"/>
      <c r="CE109" s="200"/>
      <c r="CF109" s="197"/>
      <c r="CL109" s="197"/>
      <c r="CT109" s="197"/>
      <c r="CV109" s="197"/>
      <c r="CX109" s="197"/>
      <c r="CZ109" s="197"/>
    </row>
    <row r="110" spans="15:105" ht="18.75" x14ac:dyDescent="0.3">
      <c r="O110" s="95" t="s">
        <v>246</v>
      </c>
      <c r="P110" s="10"/>
      <c r="Q110" s="5"/>
      <c r="R110" s="97" t="s">
        <v>324</v>
      </c>
      <c r="S110" s="97">
        <f>COUNTIF($P$110,R110)*$M$15</f>
        <v>0</v>
      </c>
      <c r="T110" s="97" t="s">
        <v>327</v>
      </c>
      <c r="U110" s="200">
        <f>COUNTIF($P$110,T110)*$M$15</f>
        <v>0</v>
      </c>
      <c r="V110" s="97" t="s">
        <v>327</v>
      </c>
      <c r="W110" s="200">
        <f>COUNTIF($P$110,V110)*$M$15</f>
        <v>0</v>
      </c>
      <c r="X110" s="97" t="s">
        <v>327</v>
      </c>
      <c r="Y110" s="200">
        <f>COUNTIF($P$110,X110)*$M$15</f>
        <v>0</v>
      </c>
      <c r="Z110" s="97" t="s">
        <v>358</v>
      </c>
      <c r="AA110" s="200">
        <f>COUNTIF($P$110,Z110)*$M$15</f>
        <v>0</v>
      </c>
      <c r="AB110" s="97" t="s">
        <v>347</v>
      </c>
      <c r="AC110" s="200">
        <f>COUNTIF($P$110,AB110)*$M$15</f>
        <v>0</v>
      </c>
      <c r="AD110" t="s">
        <v>347</v>
      </c>
      <c r="AE110" s="200">
        <f>COUNTIF($P$110,AD110)*$M$15</f>
        <v>0</v>
      </c>
      <c r="AF110" t="s">
        <v>347</v>
      </c>
      <c r="AG110" s="200">
        <f>COUNTIF($P$110,AF110)*$M$15</f>
        <v>0</v>
      </c>
      <c r="AH110" t="s">
        <v>347</v>
      </c>
      <c r="AI110" s="200">
        <f>COUNTIF($P$110,AH110)*$M$15</f>
        <v>0</v>
      </c>
      <c r="AJ110" t="s">
        <v>353</v>
      </c>
      <c r="AK110" s="200">
        <f>COUNTIF($P$110,AJ110)*$M$15</f>
        <v>0</v>
      </c>
      <c r="AL110" t="s">
        <v>355</v>
      </c>
      <c r="AM110" s="200">
        <f>COUNTIF($P$110,AL110)*$M$15</f>
        <v>0</v>
      </c>
      <c r="AN110" t="s">
        <v>358</v>
      </c>
      <c r="AO110" s="200">
        <f>COUNTIF($P$110,AN110)*$M$15</f>
        <v>0</v>
      </c>
      <c r="AP110" t="s">
        <v>347</v>
      </c>
      <c r="AQ110" s="200">
        <f>COUNTIF($P$110,AP110)*$M$15</f>
        <v>0</v>
      </c>
      <c r="AR110" t="s">
        <v>347</v>
      </c>
      <c r="AS110" s="200">
        <f>COUNTIF($P$110,AR110)*$M$15</f>
        <v>0</v>
      </c>
      <c r="AT110" t="s">
        <v>347</v>
      </c>
      <c r="AU110" s="200">
        <f>COUNTIF($P$110,AT110)*$M$15</f>
        <v>0</v>
      </c>
      <c r="AV110" t="s">
        <v>327</v>
      </c>
      <c r="AW110" s="200">
        <f>COUNTIF($P$110,AV110)*$M$15</f>
        <v>0</v>
      </c>
      <c r="AX110" t="s">
        <v>353</v>
      </c>
      <c r="AY110" s="200">
        <f>COUNTIF($P$110,AX110)*$M$15</f>
        <v>0</v>
      </c>
      <c r="AZ110" t="s">
        <v>370</v>
      </c>
      <c r="BA110" s="200">
        <f>COUNTIF($P$110,AZ110)*$M$15</f>
        <v>0</v>
      </c>
      <c r="BB110" t="s">
        <v>353</v>
      </c>
      <c r="BC110" s="200">
        <f>COUNTIF($P$110,BB110)*$M$15</f>
        <v>0</v>
      </c>
      <c r="BD110" t="s">
        <v>347</v>
      </c>
      <c r="BE110" s="200">
        <f>COUNTIF($P$110,BD110)*$M$15</f>
        <v>0</v>
      </c>
      <c r="BF110" t="s">
        <v>347</v>
      </c>
      <c r="BG110" s="200">
        <f>COUNTIF($P$110,BF110)*$M$15</f>
        <v>0</v>
      </c>
      <c r="BH110" t="s">
        <v>353</v>
      </c>
      <c r="BI110" s="200">
        <f>COUNTIF($P$110,BH110)*$M$15</f>
        <v>0</v>
      </c>
      <c r="BJ110" t="s">
        <v>349</v>
      </c>
      <c r="BK110" s="200">
        <f>COUNTIF($P$110,BJ110)*$M$15</f>
        <v>0</v>
      </c>
      <c r="BL110" t="s">
        <v>378</v>
      </c>
      <c r="BM110" s="200">
        <f>COUNTIF($P$110,BL110)*$M$15</f>
        <v>0</v>
      </c>
      <c r="BN110" t="s">
        <v>347</v>
      </c>
      <c r="BO110" s="200">
        <f>COUNTIF($P$110,BN110)*$M$15</f>
        <v>0</v>
      </c>
      <c r="BP110" t="s">
        <v>347</v>
      </c>
      <c r="BQ110" s="200">
        <f>COUNTIF($P$110,BP110)*$M$15</f>
        <v>0</v>
      </c>
      <c r="BR110" t="s">
        <v>383</v>
      </c>
      <c r="BS110" s="200">
        <f>COUNTIF($P$110,BR110)*$M$15</f>
        <v>0</v>
      </c>
      <c r="BT110" t="s">
        <v>383</v>
      </c>
      <c r="BU110" s="200">
        <f>COUNTIF($P$110,BT110)*$M$15</f>
        <v>0</v>
      </c>
      <c r="BV110" t="s">
        <v>353</v>
      </c>
      <c r="BW110" s="200">
        <f>COUNTIF($P$110,BV110)*$M$15</f>
        <v>0</v>
      </c>
      <c r="BX110" t="s">
        <v>324</v>
      </c>
      <c r="BY110" s="200">
        <f>COUNTIF($P$110,BX110)*$M$15</f>
        <v>0</v>
      </c>
      <c r="BZ110" t="s">
        <v>389</v>
      </c>
      <c r="CA110" s="200">
        <f>COUNTIF($P$110,BZ110)*$M$15</f>
        <v>0</v>
      </c>
      <c r="CB110" t="s">
        <v>347</v>
      </c>
      <c r="CC110" s="200">
        <f>COUNTIF($P$110,CB110)*$M$15</f>
        <v>0</v>
      </c>
      <c r="CD110" t="s">
        <v>347</v>
      </c>
      <c r="CE110" s="200">
        <f>COUNTIF($P$110,CD110)*$M$15</f>
        <v>0</v>
      </c>
      <c r="CF110" s="197" t="s">
        <v>347</v>
      </c>
      <c r="CG110" s="200">
        <f>COUNTIF($P$110,CF110)*$M$15</f>
        <v>0</v>
      </c>
      <c r="CH110" t="s">
        <v>327</v>
      </c>
      <c r="CI110" s="200">
        <f>COUNTIF($P$110,CH110)*$M$15</f>
        <v>0</v>
      </c>
      <c r="CJ110" t="s">
        <v>395</v>
      </c>
      <c r="CK110" s="200">
        <f>COUNTIF($P$110,CJ110)*$M$15</f>
        <v>0</v>
      </c>
      <c r="CL110" s="197" t="s">
        <v>347</v>
      </c>
      <c r="CM110" s="200">
        <f>COUNTIF($P$110,CL110)*$M$15</f>
        <v>0</v>
      </c>
      <c r="CN110" t="s">
        <v>324</v>
      </c>
      <c r="CO110" s="200">
        <f>COUNTIF($P$110,CN110)*$M$15</f>
        <v>0</v>
      </c>
      <c r="CP110" t="s">
        <v>399</v>
      </c>
      <c r="CQ110" s="200">
        <f>COUNTIF($P$110,CP110)*$M$15</f>
        <v>0</v>
      </c>
      <c r="CR110" t="s">
        <v>347</v>
      </c>
      <c r="CS110" s="200">
        <f>COUNTIF($P$110,CR110)*$M$15</f>
        <v>0</v>
      </c>
      <c r="CT110" s="197" t="s">
        <v>405</v>
      </c>
      <c r="CU110" s="200">
        <f>COUNTIF($P$110,CT110)*$M$15</f>
        <v>0</v>
      </c>
      <c r="CV110" s="197" t="s">
        <v>407</v>
      </c>
      <c r="CW110" s="200">
        <f>COUNTIF($P$110,CV110)*$M$15</f>
        <v>0</v>
      </c>
      <c r="CX110" s="197" t="s">
        <v>347</v>
      </c>
      <c r="CY110" s="200">
        <f>COUNTIF($P$110,CX110)*$M$15</f>
        <v>0</v>
      </c>
      <c r="CZ110" s="197" t="s">
        <v>359</v>
      </c>
      <c r="DA110" s="200">
        <f>COUNTIF($P$110,CZ110)*$M$15</f>
        <v>0</v>
      </c>
    </row>
    <row r="111" spans="15:105" ht="18.75" x14ac:dyDescent="0.3">
      <c r="O111" s="95" t="s">
        <v>317</v>
      </c>
      <c r="P111" s="10"/>
      <c r="R111" s="97" t="s">
        <v>325</v>
      </c>
      <c r="S111" s="97">
        <f>COUNTIF($P$111,R111)*$M$16</f>
        <v>0</v>
      </c>
      <c r="T111" s="97" t="s">
        <v>327</v>
      </c>
      <c r="U111" s="200">
        <f>COUNTIF($P$111,T111)*$M$16</f>
        <v>0</v>
      </c>
      <c r="V111" s="97" t="s">
        <v>347</v>
      </c>
      <c r="W111" s="200">
        <f>COUNTIF($P$111,V111)*$M$16</f>
        <v>0</v>
      </c>
      <c r="X111" s="97" t="s">
        <v>325</v>
      </c>
      <c r="Y111" s="200">
        <f>COUNTIF($P$111,X111)*$M$16</f>
        <v>0</v>
      </c>
      <c r="Z111" s="97" t="s">
        <v>325</v>
      </c>
      <c r="AA111" s="200">
        <f>COUNTIF($P$111,Z111)*$M$16</f>
        <v>0</v>
      </c>
      <c r="AB111" s="97" t="s">
        <v>362</v>
      </c>
      <c r="AC111" s="200">
        <f>COUNTIF($P$111,AB111)*$M$16</f>
        <v>0</v>
      </c>
      <c r="AD111" t="s">
        <v>325</v>
      </c>
      <c r="AE111" s="200">
        <f>COUNTIF($P$111,AD111)*$M$16</f>
        <v>0</v>
      </c>
      <c r="AF111" t="s">
        <v>349</v>
      </c>
      <c r="AG111" s="200">
        <f>COUNTIF($P$111,AF111)*$M$16</f>
        <v>0</v>
      </c>
      <c r="AH111" t="s">
        <v>325</v>
      </c>
      <c r="AI111" s="200">
        <f>COUNTIF($P$111,AH111)*$M$16</f>
        <v>0</v>
      </c>
      <c r="AJ111" t="s">
        <v>353</v>
      </c>
      <c r="AK111" s="200">
        <f>COUNTIF($P$111,AJ111)*$M$16</f>
        <v>0</v>
      </c>
      <c r="AL111" t="s">
        <v>356</v>
      </c>
      <c r="AM111" s="200">
        <f>COUNTIF($P$111,AL111)*$M$16</f>
        <v>0</v>
      </c>
      <c r="AN111" t="s">
        <v>359</v>
      </c>
      <c r="AO111" s="200">
        <f>COUNTIF($P$111,AN111)*$M$16</f>
        <v>0</v>
      </c>
      <c r="AP111" t="s">
        <v>347</v>
      </c>
      <c r="AQ111" s="200">
        <f>COUNTIF($P$111,AP111)*$M$16</f>
        <v>0</v>
      </c>
      <c r="AR111" t="s">
        <v>325</v>
      </c>
      <c r="AS111" s="200">
        <f>COUNTIF($P$111,AR111)*$M$16</f>
        <v>0</v>
      </c>
      <c r="AT111" t="s">
        <v>347</v>
      </c>
      <c r="AU111" s="200">
        <f>COUNTIF($P$111,AT111)*$M$16</f>
        <v>0</v>
      </c>
      <c r="AV111" t="s">
        <v>367</v>
      </c>
      <c r="AW111" s="200">
        <f>COUNTIF($P$111,AV111)*$M$16</f>
        <v>0</v>
      </c>
      <c r="AX111" t="s">
        <v>347</v>
      </c>
      <c r="AY111" s="200">
        <f>COUNTIF($P$111,AX111)*$M$16</f>
        <v>0</v>
      </c>
      <c r="AZ111" t="s">
        <v>370</v>
      </c>
      <c r="BA111" s="200">
        <f>COUNTIF($P$111,AZ111)*$M$16</f>
        <v>0</v>
      </c>
      <c r="BB111" t="s">
        <v>359</v>
      </c>
      <c r="BC111" s="200">
        <f>COUNTIF($P$111,BB111)*$M$16</f>
        <v>0</v>
      </c>
      <c r="BD111" t="s">
        <v>373</v>
      </c>
      <c r="BE111" s="200">
        <f>COUNTIF($P$111,BD111)*$M$16</f>
        <v>0</v>
      </c>
      <c r="BF111" t="s">
        <v>353</v>
      </c>
      <c r="BG111" s="200">
        <f>COUNTIF($P$111,BF111)*$M$16</f>
        <v>0</v>
      </c>
      <c r="BH111" t="s">
        <v>347</v>
      </c>
      <c r="BI111" s="200">
        <f>COUNTIF($P$111,BH111)*$M$16</f>
        <v>0</v>
      </c>
      <c r="BJ111" t="s">
        <v>325</v>
      </c>
      <c r="BK111" s="200">
        <f>COUNTIF($P$111,BJ111)*$M$16</f>
        <v>0</v>
      </c>
      <c r="BL111" t="s">
        <v>347</v>
      </c>
      <c r="BM111" s="200">
        <f>COUNTIF($P$111,BL111)*$M$16</f>
        <v>0</v>
      </c>
      <c r="BN111" t="s">
        <v>347</v>
      </c>
      <c r="BO111" s="200">
        <f>COUNTIF($P$111,BN111)*$M$16</f>
        <v>0</v>
      </c>
      <c r="BP111" t="s">
        <v>382</v>
      </c>
      <c r="BQ111" s="200">
        <f>COUNTIF($P$111,BP111)*$M$16</f>
        <v>0</v>
      </c>
      <c r="BR111" t="s">
        <v>325</v>
      </c>
      <c r="BS111" s="200">
        <f>COUNTIF($P$111,BR111)*$M$16</f>
        <v>0</v>
      </c>
      <c r="BT111" t="s">
        <v>325</v>
      </c>
      <c r="BU111" s="200">
        <f>COUNTIF($P$111,BT111)*$M$16</f>
        <v>0</v>
      </c>
      <c r="BV111" t="s">
        <v>347</v>
      </c>
      <c r="BW111" s="200">
        <f>COUNTIF($P$111,BV111)*$M$16</f>
        <v>0</v>
      </c>
      <c r="BX111" t="s">
        <v>347</v>
      </c>
      <c r="BY111" s="200">
        <f>COUNTIF($P$111,BX111)*$M$16</f>
        <v>0</v>
      </c>
      <c r="BZ111" t="s">
        <v>359</v>
      </c>
      <c r="CA111" s="200">
        <f>COUNTIF($P$111,BZ111)*$M$16</f>
        <v>0</v>
      </c>
      <c r="CB111" t="s">
        <v>353</v>
      </c>
      <c r="CC111" s="200">
        <f>COUNTIF($P$111,CB111)*$M$16</f>
        <v>0</v>
      </c>
      <c r="CD111" t="s">
        <v>347</v>
      </c>
      <c r="CE111" s="200">
        <f>COUNTIF($P$111,CD111)*$M$16</f>
        <v>0</v>
      </c>
      <c r="CF111" s="197" t="s">
        <v>325</v>
      </c>
      <c r="CG111" s="200">
        <f>COUNTIF($P$111,CF111)*$M$16</f>
        <v>0</v>
      </c>
      <c r="CH111" t="s">
        <v>347</v>
      </c>
      <c r="CI111" s="200">
        <f>COUNTIF($P$111,CH111)*$M$16</f>
        <v>0</v>
      </c>
      <c r="CJ111" t="s">
        <v>325</v>
      </c>
      <c r="CK111" s="200">
        <f>COUNTIF($P$111,CJ111)*$M$16</f>
        <v>0</v>
      </c>
      <c r="CL111" s="197" t="s">
        <v>359</v>
      </c>
      <c r="CM111" s="200">
        <f>COUNTIF($P$111,CL111)*$M$16</f>
        <v>0</v>
      </c>
      <c r="CN111" t="s">
        <v>398</v>
      </c>
      <c r="CO111" s="200">
        <f>COUNTIF($P$111,CN111)*$M$16</f>
        <v>0</v>
      </c>
      <c r="CP111" t="s">
        <v>382</v>
      </c>
      <c r="CQ111" s="200">
        <f>COUNTIF($P$111,CP111)*$M$16</f>
        <v>0</v>
      </c>
      <c r="CR111" t="s">
        <v>403</v>
      </c>
      <c r="CS111" s="200">
        <f>COUNTIF($P$111,CR111)*$M$16</f>
        <v>0</v>
      </c>
      <c r="CT111" s="197" t="s">
        <v>353</v>
      </c>
      <c r="CU111" s="200">
        <f>COUNTIF($P$111,CT111)*$M$16</f>
        <v>0</v>
      </c>
      <c r="CV111" s="197" t="s">
        <v>398</v>
      </c>
      <c r="CW111" s="200">
        <f>COUNTIF($P$111,CV111)*$M$16</f>
        <v>0</v>
      </c>
      <c r="CX111" s="197" t="s">
        <v>325</v>
      </c>
      <c r="CY111" s="200">
        <f>COUNTIF($P$111,CX111)*$M$16</f>
        <v>0</v>
      </c>
      <c r="CZ111" s="197" t="s">
        <v>410</v>
      </c>
      <c r="DA111" s="200">
        <f>COUNTIF($P$111,CZ111)*$M$16</f>
        <v>0</v>
      </c>
    </row>
  </sheetData>
  <mergeCells count="3">
    <mergeCell ref="O3:P3"/>
    <mergeCell ref="A14:A16"/>
    <mergeCell ref="B14:G16"/>
  </mergeCells>
  <pageMargins left="0.7" right="0.7" top="0.75" bottom="0.75" header="0.3" footer="0.3"/>
  <pageSetup paperSize="9" orientation="portrait" r:id="rId1"/>
  <tableParts count="3">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Hoja2</vt:lpstr>
      <vt:lpstr>Porra Eurocopa</vt:lpstr>
      <vt:lpstr>Ranking UEFA</vt:lpstr>
      <vt:lpstr>La Apuesta</vt:lpstr>
      <vt:lpstr>CLASIFICACIONES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dc:creator>
  <cp:lastModifiedBy>Santi</cp:lastModifiedBy>
  <dcterms:created xsi:type="dcterms:W3CDTF">2015-10-31T09:41:54Z</dcterms:created>
  <dcterms:modified xsi:type="dcterms:W3CDTF">2021-05-13T18:40:06Z</dcterms:modified>
</cp:coreProperties>
</file>