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-105" yWindow="-105" windowWidth="23250" windowHeight="12570" firstSheet="2" activeTab="5"/>
  </bookViews>
  <sheets>
    <sheet name="1.MARKSHEET" sheetId="1" r:id="rId1"/>
    <sheet name="2.INDEX &amp; MATCH" sheetId="32" r:id="rId2"/>
    <sheet name="3.SALARYSHEET" sheetId="2" r:id="rId3"/>
    <sheet name="4.PAYSLEEP" sheetId="4" r:id="rId4"/>
    <sheet name="5.6.7.UPPER,LOWER,PROPER" sheetId="3" r:id="rId5"/>
    <sheet name="8.LIGHT BILL" sheetId="6" r:id="rId6"/>
    <sheet name="9.LOAN" sheetId="5" r:id="rId7"/>
    <sheet name="10.DEPRECIATION" sheetId="7" r:id="rId8"/>
    <sheet name="11.LOOKUP" sheetId="9" r:id="rId9"/>
    <sheet name="12.VLOOKUP" sheetId="10" r:id="rId10"/>
    <sheet name="13.HLOOKUP" sheetId="11" r:id="rId11"/>
    <sheet name="14.SUMIF" sheetId="12" r:id="rId12"/>
    <sheet name="15.SUMIFS" sheetId="13" r:id="rId13"/>
    <sheet name="16.COUNTIF" sheetId="14" r:id="rId14"/>
    <sheet name="17.COUNTIFS" sheetId="15" r:id="rId15"/>
    <sheet name="18.19.COUNTA &amp; COUNTBLANK" sheetId="16" r:id="rId16"/>
    <sheet name="20.AVERAGEIF" sheetId="17" r:id="rId17"/>
    <sheet name="21.AVERRAGEIFS" sheetId="18" r:id="rId18"/>
    <sheet name="22.SUBTOTAL" sheetId="19" r:id="rId19"/>
    <sheet name="23.FREQUENCY" sheetId="33" r:id="rId20"/>
    <sheet name="24.SUMPRODUCT" sheetId="34" r:id="rId21"/>
    <sheet name="Sheet1" sheetId="45" r:id="rId22"/>
    <sheet name="25.26.IF AND IF OR" sheetId="35" r:id="rId23"/>
    <sheet name="27.NESTED IF" sheetId="36" r:id="rId24"/>
    <sheet name="28-31.LEFT, MID,RIGHT,FIND." sheetId="39" r:id="rId25"/>
    <sheet name="32.REPEAT" sheetId="40" r:id="rId26"/>
    <sheet name="33.SUBSTITUTE" sheetId="41" r:id="rId27"/>
    <sheet name="34.1.PROFIT AND LOSS ACCOUNT" sheetId="42" r:id="rId28"/>
    <sheet name="34.2.BALANCE SHEET" sheetId="43" r:id="rId29"/>
    <sheet name="34.3.DEPRECATION ON FIXED ASSET" sheetId="44" r:id="rId30"/>
  </sheets>
  <definedNames>
    <definedName name="ExtraCredit">#REF!</definedName>
    <definedName name="Fruit">#REF!</definedName>
    <definedName name="Items">#REF!</definedName>
    <definedName name="Meat">#REF!</definedName>
    <definedName name="MoreFruit">#REF!</definedName>
    <definedName name="MoreItem">#REF!</definedName>
    <definedName name="MoreItems">#REF!</definedName>
    <definedName name="SUMExtraCredit">#REF!</definedName>
    <definedName name="SUMIF">#REF!</definedName>
    <definedName name="SUMIFExtraCredit">#REF!</definedName>
    <definedName name="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2" l="1"/>
  <c r="H4" i="45" l="1"/>
  <c r="H5" i="45"/>
  <c r="H6" i="45"/>
  <c r="H7" i="45"/>
  <c r="H8" i="45"/>
  <c r="H9" i="45"/>
  <c r="H10" i="45"/>
  <c r="H11" i="45"/>
  <c r="H12" i="45"/>
  <c r="H13" i="45"/>
  <c r="G5" i="45"/>
  <c r="G6" i="45"/>
  <c r="G7" i="45"/>
  <c r="G8" i="45"/>
  <c r="G9" i="45"/>
  <c r="G10" i="45"/>
  <c r="G11" i="45"/>
  <c r="G12" i="45"/>
  <c r="G13" i="45"/>
  <c r="G14" i="45"/>
  <c r="G4" i="45"/>
  <c r="F5" i="45"/>
  <c r="F6" i="45"/>
  <c r="F7" i="45"/>
  <c r="F8" i="45"/>
  <c r="F9" i="45"/>
  <c r="F10" i="45"/>
  <c r="F11" i="45"/>
  <c r="F12" i="45"/>
  <c r="F13" i="45"/>
  <c r="F14" i="45"/>
  <c r="F15" i="45"/>
  <c r="F16" i="45"/>
  <c r="F17" i="45"/>
  <c r="F18" i="45"/>
  <c r="F19" i="45"/>
  <c r="F20" i="45"/>
  <c r="F21" i="45"/>
  <c r="F22" i="45"/>
  <c r="F4" i="45"/>
  <c r="E4" i="45"/>
  <c r="E5" i="45"/>
  <c r="E6" i="45"/>
  <c r="E7" i="45"/>
  <c r="E8" i="45"/>
  <c r="E9" i="45"/>
  <c r="E10" i="45"/>
  <c r="E11" i="45"/>
  <c r="E12" i="45"/>
  <c r="E13" i="45"/>
  <c r="E14" i="45"/>
  <c r="K5" i="13" l="1"/>
  <c r="L5" i="13"/>
  <c r="K6" i="13"/>
  <c r="L6" i="13"/>
  <c r="K7" i="13"/>
  <c r="L7" i="13"/>
  <c r="K8" i="13"/>
  <c r="L8" i="13"/>
  <c r="H5" i="13"/>
  <c r="G5" i="13"/>
  <c r="G6" i="13"/>
  <c r="H6" i="13"/>
  <c r="G7" i="13"/>
  <c r="H7" i="13"/>
  <c r="G8" i="13"/>
  <c r="H8" i="13"/>
  <c r="P13" i="1" l="1"/>
  <c r="P6" i="1"/>
  <c r="P7" i="1"/>
  <c r="P8" i="1"/>
  <c r="P9" i="1"/>
  <c r="P10" i="1"/>
  <c r="P11" i="1"/>
  <c r="P12" i="1"/>
  <c r="P14" i="1"/>
  <c r="P15" i="1"/>
  <c r="O6" i="1"/>
  <c r="O7" i="1"/>
  <c r="O8" i="1"/>
  <c r="O9" i="1"/>
  <c r="O10" i="1"/>
  <c r="O11" i="1"/>
  <c r="O12" i="1"/>
  <c r="O13" i="1"/>
  <c r="O14" i="1"/>
  <c r="O15" i="1"/>
  <c r="N9" i="1"/>
  <c r="N8" i="1"/>
  <c r="N7" i="1"/>
  <c r="N6" i="1"/>
  <c r="N10" i="1"/>
  <c r="N11" i="1"/>
  <c r="N12" i="1"/>
  <c r="N13" i="1"/>
  <c r="N14" i="1"/>
  <c r="N15" i="1"/>
  <c r="M6" i="1"/>
  <c r="M7" i="1"/>
  <c r="M8" i="1"/>
  <c r="M9" i="1"/>
  <c r="M10" i="1"/>
  <c r="M11" i="1"/>
  <c r="M12" i="1"/>
  <c r="M13" i="1"/>
  <c r="M14" i="1"/>
  <c r="M15" i="1"/>
  <c r="L6" i="1"/>
  <c r="L7" i="1"/>
  <c r="L8" i="1"/>
  <c r="L9" i="1"/>
  <c r="L10" i="1"/>
  <c r="L11" i="1"/>
  <c r="L12" i="1"/>
  <c r="L13" i="1"/>
  <c r="L14" i="1"/>
  <c r="L15" i="1"/>
  <c r="K6" i="1"/>
  <c r="K7" i="1"/>
  <c r="K8" i="1"/>
  <c r="K9" i="1"/>
  <c r="K10" i="1"/>
  <c r="K11" i="1"/>
  <c r="K12" i="1"/>
  <c r="K13" i="1"/>
  <c r="K14" i="1"/>
  <c r="K15" i="1"/>
  <c r="J6" i="1"/>
  <c r="J7" i="1"/>
  <c r="J8" i="1"/>
  <c r="J9" i="1"/>
  <c r="J10" i="1"/>
  <c r="J11" i="1"/>
  <c r="J12" i="1"/>
  <c r="J13" i="1"/>
  <c r="J14" i="1"/>
  <c r="J15" i="1"/>
  <c r="I6" i="1"/>
  <c r="I7" i="1"/>
  <c r="I8" i="1"/>
  <c r="I9" i="1"/>
  <c r="I10" i="1"/>
  <c r="I11" i="1"/>
  <c r="I12" i="1"/>
  <c r="I13" i="1"/>
  <c r="I14" i="1"/>
  <c r="I15" i="1"/>
  <c r="K7" i="43" l="1"/>
  <c r="K25" i="43" s="1"/>
  <c r="N7" i="43"/>
  <c r="M8" i="43"/>
  <c r="M7" i="43"/>
  <c r="O11" i="44"/>
  <c r="M11" i="44"/>
  <c r="N11" i="44"/>
  <c r="P11" i="44"/>
  <c r="Q11" i="44"/>
  <c r="L11" i="44"/>
  <c r="Q5" i="44"/>
  <c r="Q6" i="44"/>
  <c r="Q7" i="44"/>
  <c r="Q8" i="44"/>
  <c r="Q9" i="44"/>
  <c r="Q4" i="44"/>
  <c r="P8" i="44"/>
  <c r="P6" i="44"/>
  <c r="P7" i="44"/>
  <c r="P5" i="44"/>
  <c r="P4" i="44"/>
  <c r="N5" i="44"/>
  <c r="N6" i="44"/>
  <c r="N7" i="44"/>
  <c r="N8" i="44"/>
  <c r="N9" i="44"/>
  <c r="N4" i="44"/>
  <c r="K20" i="43"/>
  <c r="K16" i="43"/>
  <c r="K12" i="43"/>
  <c r="N20" i="43"/>
  <c r="M18" i="43"/>
  <c r="N14" i="43" s="1"/>
  <c r="N25" i="43" s="1"/>
  <c r="D20" i="43"/>
  <c r="J16" i="42"/>
  <c r="H16" i="42" s="1"/>
  <c r="H14" i="42" s="1"/>
  <c r="J18" i="42" s="1"/>
  <c r="J40" i="42" s="1"/>
  <c r="H40" i="42" s="1"/>
  <c r="H38" i="42" s="1"/>
  <c r="H34" i="42"/>
  <c r="H32" i="42"/>
  <c r="H30" i="42"/>
  <c r="H28" i="42"/>
  <c r="H26" i="42"/>
  <c r="H24" i="42"/>
  <c r="H22" i="42"/>
  <c r="H18" i="42"/>
  <c r="H20" i="42"/>
  <c r="D16" i="43"/>
  <c r="F18" i="43"/>
  <c r="G14" i="43" s="1"/>
  <c r="G20" i="43"/>
  <c r="D11" i="44"/>
  <c r="C11" i="44"/>
  <c r="G6" i="44"/>
  <c r="G4" i="44"/>
  <c r="E4" i="44"/>
  <c r="E9" i="44"/>
  <c r="H9" i="44" s="1"/>
  <c r="E8" i="44"/>
  <c r="G8" i="44" s="1"/>
  <c r="E7" i="44"/>
  <c r="G7" i="44" s="1"/>
  <c r="E6" i="44"/>
  <c r="E5" i="44"/>
  <c r="D12" i="43"/>
  <c r="C12" i="42"/>
  <c r="C24" i="42"/>
  <c r="C22" i="42"/>
  <c r="C20" i="42"/>
  <c r="C18" i="42"/>
  <c r="E16" i="42"/>
  <c r="C16" i="42" s="1"/>
  <c r="O20" i="1"/>
  <c r="O21" i="1"/>
  <c r="O22" i="1"/>
  <c r="O23" i="1"/>
  <c r="O24" i="1"/>
  <c r="O25" i="1"/>
  <c r="O26" i="1"/>
  <c r="O27" i="1"/>
  <c r="O28" i="1"/>
  <c r="O19" i="1"/>
  <c r="L20" i="1"/>
  <c r="L21" i="1"/>
  <c r="L22" i="1"/>
  <c r="L23" i="1"/>
  <c r="L24" i="1"/>
  <c r="L25" i="1"/>
  <c r="L26" i="1"/>
  <c r="L27" i="1"/>
  <c r="L28" i="1"/>
  <c r="L19" i="1"/>
  <c r="K20" i="1"/>
  <c r="K21" i="1"/>
  <c r="K22" i="1"/>
  <c r="K23" i="1"/>
  <c r="K24" i="1"/>
  <c r="K25" i="1"/>
  <c r="K26" i="1"/>
  <c r="K27" i="1"/>
  <c r="K28" i="1"/>
  <c r="K19" i="1"/>
  <c r="J20" i="1"/>
  <c r="J21" i="1"/>
  <c r="J22" i="1"/>
  <c r="J23" i="1"/>
  <c r="J24" i="1"/>
  <c r="J25" i="1"/>
  <c r="J26" i="1"/>
  <c r="J27" i="1"/>
  <c r="J28" i="1"/>
  <c r="J19" i="1"/>
  <c r="I20" i="1"/>
  <c r="M20" i="1" s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N28" i="1" s="1"/>
  <c r="I19" i="1"/>
  <c r="M19" i="1" s="1"/>
  <c r="P5" i="36"/>
  <c r="P6" i="36"/>
  <c r="P7" i="36"/>
  <c r="P8" i="36"/>
  <c r="P9" i="36"/>
  <c r="P10" i="36"/>
  <c r="P11" i="36"/>
  <c r="P12" i="36"/>
  <c r="P13" i="36"/>
  <c r="P14" i="36"/>
  <c r="P15" i="36"/>
  <c r="P16" i="36"/>
  <c r="P17" i="36"/>
  <c r="P18" i="36"/>
  <c r="P19" i="36"/>
  <c r="P20" i="36"/>
  <c r="P21" i="36"/>
  <c r="P22" i="36"/>
  <c r="P23" i="36"/>
  <c r="P4" i="36"/>
  <c r="O29" i="35"/>
  <c r="O30" i="35"/>
  <c r="O31" i="35"/>
  <c r="O32" i="35"/>
  <c r="O33" i="35"/>
  <c r="O34" i="35"/>
  <c r="O35" i="35"/>
  <c r="O36" i="35"/>
  <c r="O37" i="35"/>
  <c r="O38" i="35"/>
  <c r="O39" i="35"/>
  <c r="O40" i="35"/>
  <c r="O41" i="35"/>
  <c r="O42" i="35"/>
  <c r="O43" i="35"/>
  <c r="O44" i="35"/>
  <c r="O45" i="35"/>
  <c r="O46" i="35"/>
  <c r="O47" i="35"/>
  <c r="O28" i="35"/>
  <c r="N29" i="35"/>
  <c r="N30" i="35"/>
  <c r="N31" i="35"/>
  <c r="N32" i="35"/>
  <c r="N33" i="35"/>
  <c r="N34" i="35"/>
  <c r="N35" i="35"/>
  <c r="N36" i="35"/>
  <c r="N37" i="35"/>
  <c r="N38" i="35"/>
  <c r="N39" i="35"/>
  <c r="N40" i="35"/>
  <c r="N41" i="35"/>
  <c r="N42" i="35"/>
  <c r="N43" i="35"/>
  <c r="N44" i="35"/>
  <c r="N45" i="35"/>
  <c r="N46" i="35"/>
  <c r="N47" i="35"/>
  <c r="N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E41" i="35"/>
  <c r="E42" i="35"/>
  <c r="E43" i="35"/>
  <c r="E44" i="35"/>
  <c r="E45" i="35"/>
  <c r="E46" i="35"/>
  <c r="E47" i="35"/>
  <c r="E28" i="35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1" i="34"/>
  <c r="K22" i="34"/>
  <c r="K23" i="34"/>
  <c r="K24" i="34"/>
  <c r="K25" i="34"/>
  <c r="K6" i="34"/>
  <c r="F3" i="33"/>
  <c r="N19" i="1" l="1"/>
  <c r="N25" i="1"/>
  <c r="C14" i="42"/>
  <c r="E18" i="42" s="1"/>
  <c r="E40" i="42" s="1"/>
  <c r="C40" i="42" s="1"/>
  <c r="H6" i="44"/>
  <c r="H8" i="44"/>
  <c r="G5" i="44"/>
  <c r="G11" i="44" s="1"/>
  <c r="H7" i="44"/>
  <c r="H4" i="44"/>
  <c r="E11" i="44"/>
  <c r="F7" i="43" s="1"/>
  <c r="N27" i="1"/>
  <c r="N24" i="1"/>
  <c r="N20" i="1"/>
  <c r="N23" i="1"/>
  <c r="N26" i="1"/>
  <c r="N22" i="1"/>
  <c r="N21" i="1"/>
  <c r="J6" i="17"/>
  <c r="J7" i="17"/>
  <c r="J8" i="17"/>
  <c r="J5" i="17"/>
  <c r="V17" i="16"/>
  <c r="V16" i="16"/>
  <c r="V14" i="16"/>
  <c r="V13" i="16"/>
  <c r="J6" i="14"/>
  <c r="J7" i="14"/>
  <c r="J8" i="14"/>
  <c r="J5" i="14"/>
  <c r="I6" i="12"/>
  <c r="I7" i="12"/>
  <c r="I8" i="12"/>
  <c r="I5" i="12"/>
  <c r="J14" i="10"/>
  <c r="J15" i="10"/>
  <c r="J16" i="10"/>
  <c r="J13" i="10"/>
  <c r="C17" i="11"/>
  <c r="D17" i="11"/>
  <c r="E17" i="11"/>
  <c r="B17" i="11"/>
  <c r="F30" i="5"/>
  <c r="F31" i="5"/>
  <c r="F32" i="5"/>
  <c r="F33" i="5"/>
  <c r="F34" i="5"/>
  <c r="F35" i="5"/>
  <c r="F36" i="5"/>
  <c r="F37" i="5"/>
  <c r="F38" i="5"/>
  <c r="F39" i="5"/>
  <c r="F40" i="5"/>
  <c r="F29" i="5"/>
  <c r="G29" i="5" s="1"/>
  <c r="E30" i="5"/>
  <c r="E31" i="5"/>
  <c r="E32" i="5"/>
  <c r="E33" i="5"/>
  <c r="E34" i="5"/>
  <c r="E35" i="5"/>
  <c r="E36" i="5"/>
  <c r="E37" i="5"/>
  <c r="E38" i="5"/>
  <c r="E39" i="5"/>
  <c r="E40" i="5"/>
  <c r="E29" i="5"/>
  <c r="D30" i="5"/>
  <c r="D31" i="5"/>
  <c r="D32" i="5"/>
  <c r="D33" i="5"/>
  <c r="D34" i="5"/>
  <c r="D35" i="5"/>
  <c r="D36" i="5"/>
  <c r="D37" i="5"/>
  <c r="D38" i="5"/>
  <c r="D39" i="5"/>
  <c r="D40" i="5"/>
  <c r="D29" i="5"/>
  <c r="D8" i="5"/>
  <c r="E8" i="5"/>
  <c r="F8" i="5"/>
  <c r="G8" i="5" s="1"/>
  <c r="D9" i="5"/>
  <c r="E9" i="5"/>
  <c r="F9" i="5"/>
  <c r="G9" i="5" s="1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C8" i="41"/>
  <c r="C7" i="41"/>
  <c r="C5" i="41"/>
  <c r="C6" i="41"/>
  <c r="D6" i="40"/>
  <c r="D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5" i="40"/>
  <c r="E5" i="39"/>
  <c r="E6" i="39"/>
  <c r="E7" i="39"/>
  <c r="E8" i="39"/>
  <c r="E9" i="39"/>
  <c r="E10" i="39"/>
  <c r="E11" i="39"/>
  <c r="E12" i="39"/>
  <c r="E13" i="39"/>
  <c r="E14" i="39"/>
  <c r="E15" i="39"/>
  <c r="D5" i="39"/>
  <c r="D6" i="39"/>
  <c r="D7" i="39"/>
  <c r="D8" i="39"/>
  <c r="D9" i="39"/>
  <c r="D10" i="39"/>
  <c r="D11" i="39"/>
  <c r="D12" i="39"/>
  <c r="D13" i="39"/>
  <c r="D14" i="39"/>
  <c r="D15" i="39"/>
  <c r="E4" i="39"/>
  <c r="D4" i="39"/>
  <c r="C5" i="39"/>
  <c r="C6" i="39"/>
  <c r="C7" i="39"/>
  <c r="C8" i="39"/>
  <c r="C9" i="39"/>
  <c r="C10" i="39"/>
  <c r="C11" i="39"/>
  <c r="C12" i="39"/>
  <c r="C13" i="39"/>
  <c r="C14" i="39"/>
  <c r="C15" i="39"/>
  <c r="C4" i="39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4" i="36"/>
  <c r="H5" i="44" l="1"/>
  <c r="H11" i="44"/>
  <c r="C36" i="42"/>
  <c r="C38" i="42" s="1"/>
  <c r="C8" i="43" s="1"/>
  <c r="D7" i="43" s="1"/>
  <c r="D25" i="43" s="1"/>
  <c r="F8" i="43"/>
  <c r="G7" i="43" s="1"/>
  <c r="G30" i="5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E20" i="5"/>
  <c r="F20" i="5"/>
  <c r="G10" i="5"/>
  <c r="G11" i="5" s="1"/>
  <c r="G12" i="5" s="1"/>
  <c r="G13" i="5" s="1"/>
  <c r="G14" i="5" s="1"/>
  <c r="G15" i="5" s="1"/>
  <c r="G16" i="5" s="1"/>
  <c r="G17" i="5" s="1"/>
  <c r="G18" i="5" s="1"/>
  <c r="G19" i="5" s="1"/>
  <c r="G23" i="34" l="1"/>
  <c r="G24" i="34"/>
  <c r="G25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6" i="34"/>
  <c r="L5" i="18" l="1"/>
  <c r="L6" i="18"/>
  <c r="L7" i="18"/>
  <c r="L8" i="18"/>
  <c r="K6" i="18"/>
  <c r="K7" i="18"/>
  <c r="K8" i="18"/>
  <c r="K5" i="18"/>
  <c r="G5" i="17"/>
  <c r="L4" i="15"/>
  <c r="L5" i="15"/>
  <c r="L6" i="15"/>
  <c r="L7" i="15"/>
  <c r="K5" i="15"/>
  <c r="K6" i="15"/>
  <c r="K7" i="15"/>
  <c r="K4" i="15"/>
  <c r="H6" i="18" l="1"/>
  <c r="H7" i="18"/>
  <c r="H8" i="18"/>
  <c r="G6" i="17"/>
  <c r="G7" i="17"/>
  <c r="G8" i="17"/>
  <c r="H5" i="18"/>
  <c r="G6" i="18"/>
  <c r="G7" i="18"/>
  <c r="G8" i="18"/>
  <c r="G5" i="18"/>
  <c r="J6" i="10" l="1"/>
  <c r="J7" i="10"/>
  <c r="J8" i="10"/>
  <c r="J5" i="10"/>
  <c r="V8" i="16"/>
  <c r="V7" i="16"/>
  <c r="V4" i="16"/>
  <c r="H4" i="15"/>
  <c r="H5" i="15"/>
  <c r="H6" i="15"/>
  <c r="H7" i="15"/>
  <c r="G5" i="15"/>
  <c r="G6" i="15"/>
  <c r="G7" i="15"/>
  <c r="G4" i="15"/>
  <c r="G6" i="14"/>
  <c r="G7" i="14"/>
  <c r="G8" i="14"/>
  <c r="G5" i="14"/>
  <c r="F6" i="12" l="1"/>
  <c r="F7" i="12"/>
  <c r="F8" i="12"/>
  <c r="F5" i="12"/>
  <c r="C12" i="11" l="1"/>
  <c r="D12" i="11"/>
  <c r="E12" i="11"/>
  <c r="B12" i="11"/>
  <c r="M15" i="9"/>
  <c r="K15" i="9"/>
  <c r="J15" i="9"/>
  <c r="H15" i="9"/>
  <c r="G15" i="9"/>
  <c r="F15" i="9"/>
  <c r="E15" i="9"/>
  <c r="M14" i="9"/>
  <c r="K14" i="9"/>
  <c r="J14" i="9"/>
  <c r="H14" i="9"/>
  <c r="G14" i="9"/>
  <c r="F14" i="9"/>
  <c r="E14" i="9"/>
  <c r="M13" i="9"/>
  <c r="K13" i="9"/>
  <c r="J13" i="9"/>
  <c r="H13" i="9"/>
  <c r="G13" i="9"/>
  <c r="F13" i="9"/>
  <c r="E13" i="9"/>
  <c r="M12" i="9"/>
  <c r="K12" i="9"/>
  <c r="J12" i="9"/>
  <c r="H12" i="9"/>
  <c r="G12" i="9"/>
  <c r="F12" i="9"/>
  <c r="E12" i="9"/>
  <c r="M11" i="9"/>
  <c r="K11" i="9"/>
  <c r="J11" i="9"/>
  <c r="H11" i="9"/>
  <c r="G11" i="9"/>
  <c r="F11" i="9"/>
  <c r="E11" i="9"/>
  <c r="M10" i="9"/>
  <c r="K10" i="9"/>
  <c r="J10" i="9"/>
  <c r="H10" i="9"/>
  <c r="G10" i="9"/>
  <c r="F10" i="9"/>
  <c r="E10" i="9"/>
  <c r="M9" i="9"/>
  <c r="K9" i="9"/>
  <c r="J9" i="9"/>
  <c r="H9" i="9"/>
  <c r="G9" i="9"/>
  <c r="F9" i="9"/>
  <c r="E9" i="9"/>
  <c r="M8" i="9"/>
  <c r="K8" i="9"/>
  <c r="J8" i="9"/>
  <c r="H8" i="9"/>
  <c r="G8" i="9"/>
  <c r="F8" i="9"/>
  <c r="E8" i="9"/>
  <c r="M7" i="9"/>
  <c r="K7" i="9"/>
  <c r="J7" i="9"/>
  <c r="H7" i="9"/>
  <c r="G7" i="9"/>
  <c r="F7" i="9"/>
  <c r="E7" i="9"/>
  <c r="M6" i="9"/>
  <c r="K6" i="9"/>
  <c r="J6" i="9"/>
  <c r="H6" i="9"/>
  <c r="G6" i="9"/>
  <c r="F6" i="9"/>
  <c r="E6" i="9"/>
  <c r="I8" i="9" l="1"/>
  <c r="I12" i="9"/>
  <c r="I11" i="9"/>
  <c r="I15" i="9"/>
  <c r="I6" i="9"/>
  <c r="L6" i="9" s="1"/>
  <c r="N6" i="9" s="1"/>
  <c r="O6" i="9" s="1"/>
  <c r="I10" i="9"/>
  <c r="I14" i="9"/>
  <c r="I7" i="9"/>
  <c r="I9" i="9"/>
  <c r="L9" i="9" s="1"/>
  <c r="N9" i="9" s="1"/>
  <c r="O9" i="9" s="1"/>
  <c r="I13" i="9"/>
  <c r="L14" i="9"/>
  <c r="L8" i="9"/>
  <c r="N8" i="9" s="1"/>
  <c r="O8" i="9" s="1"/>
  <c r="L12" i="9"/>
  <c r="N12" i="9" s="1"/>
  <c r="O12" i="9" s="1"/>
  <c r="N14" i="9"/>
  <c r="O14" i="9" s="1"/>
  <c r="V19" i="9" l="1"/>
  <c r="V6" i="9"/>
  <c r="V27" i="9"/>
  <c r="V14" i="9"/>
  <c r="V22" i="9"/>
  <c r="V9" i="9"/>
  <c r="L7" i="9"/>
  <c r="N7" i="9" s="1"/>
  <c r="O7" i="9" s="1"/>
  <c r="U20" i="9"/>
  <c r="U7" i="9"/>
  <c r="L15" i="9"/>
  <c r="N15" i="9" s="1"/>
  <c r="O15" i="9" s="1"/>
  <c r="U28" i="9"/>
  <c r="U15" i="9"/>
  <c r="U27" i="9"/>
  <c r="U14" i="9"/>
  <c r="L11" i="9"/>
  <c r="N11" i="9" s="1"/>
  <c r="O11" i="9" s="1"/>
  <c r="U24" i="9"/>
  <c r="U11" i="9"/>
  <c r="V25" i="9"/>
  <c r="V12" i="9"/>
  <c r="L13" i="9"/>
  <c r="N13" i="9" s="1"/>
  <c r="O13" i="9" s="1"/>
  <c r="U26" i="9"/>
  <c r="U13" i="9"/>
  <c r="L10" i="9"/>
  <c r="N10" i="9" s="1"/>
  <c r="O10" i="9" s="1"/>
  <c r="U23" i="9"/>
  <c r="U10" i="9"/>
  <c r="U25" i="9"/>
  <c r="U12" i="9"/>
  <c r="V21" i="9"/>
  <c r="V8" i="9"/>
  <c r="U22" i="9"/>
  <c r="U9" i="9"/>
  <c r="U19" i="9"/>
  <c r="U6" i="9"/>
  <c r="U21" i="9"/>
  <c r="U8" i="9"/>
  <c r="L11" i="7"/>
  <c r="L12" i="7"/>
  <c r="L13" i="7"/>
  <c r="L14" i="7"/>
  <c r="K11" i="7"/>
  <c r="K12" i="7"/>
  <c r="K13" i="7"/>
  <c r="K14" i="7"/>
  <c r="J14" i="7"/>
  <c r="J11" i="7"/>
  <c r="J12" i="7"/>
  <c r="J13" i="7"/>
  <c r="I11" i="7"/>
  <c r="I12" i="7"/>
  <c r="I13" i="7"/>
  <c r="I14" i="7"/>
  <c r="L10" i="7"/>
  <c r="L21" i="7" s="1"/>
  <c r="K10" i="7"/>
  <c r="K21" i="7" s="1"/>
  <c r="J10" i="7"/>
  <c r="J21" i="7" s="1"/>
  <c r="I10" i="7"/>
  <c r="I21" i="7" s="1"/>
  <c r="H11" i="7"/>
  <c r="H12" i="7"/>
  <c r="H13" i="7"/>
  <c r="H14" i="7"/>
  <c r="H10" i="7"/>
  <c r="H21" i="7" s="1"/>
  <c r="I9" i="6"/>
  <c r="I13" i="6"/>
  <c r="H7" i="6"/>
  <c r="I7" i="6" s="1"/>
  <c r="H9" i="6"/>
  <c r="J9" i="6" s="1"/>
  <c r="H11" i="6"/>
  <c r="I11" i="6" s="1"/>
  <c r="H13" i="6"/>
  <c r="J13" i="6" s="1"/>
  <c r="H5" i="6"/>
  <c r="I5" i="6" s="1"/>
  <c r="F5" i="6"/>
  <c r="F6" i="6"/>
  <c r="H6" i="6" s="1"/>
  <c r="F7" i="6"/>
  <c r="F8" i="6"/>
  <c r="H8" i="6" s="1"/>
  <c r="F9" i="6"/>
  <c r="F10" i="6"/>
  <c r="H10" i="6" s="1"/>
  <c r="F11" i="6"/>
  <c r="F12" i="6"/>
  <c r="H12" i="6" s="1"/>
  <c r="F13" i="6"/>
  <c r="F14" i="6"/>
  <c r="H14" i="6" s="1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8" i="5"/>
  <c r="AU8" i="5" s="1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R66" i="5"/>
  <c r="AR67" i="5"/>
  <c r="AS8" i="5"/>
  <c r="AR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8" i="5"/>
  <c r="AK8" i="5" s="1"/>
  <c r="AK9" i="5" s="1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8" i="5"/>
  <c r="AI56" i="5" s="1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8" i="5"/>
  <c r="Q8" i="5" s="1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8" i="5"/>
  <c r="F4" i="3"/>
  <c r="F5" i="3"/>
  <c r="F6" i="3"/>
  <c r="F7" i="3"/>
  <c r="F8" i="3"/>
  <c r="F9" i="3"/>
  <c r="F10" i="3"/>
  <c r="F11" i="3"/>
  <c r="F12" i="3"/>
  <c r="F13" i="3"/>
  <c r="E4" i="3"/>
  <c r="E5" i="3"/>
  <c r="E6" i="3"/>
  <c r="E7" i="3"/>
  <c r="E8" i="3"/>
  <c r="E9" i="3"/>
  <c r="E10" i="3"/>
  <c r="E11" i="3"/>
  <c r="E12" i="3"/>
  <c r="E13" i="3"/>
  <c r="AL6" i="2"/>
  <c r="AL7" i="2"/>
  <c r="AL8" i="2"/>
  <c r="AL9" i="2"/>
  <c r="AL10" i="2"/>
  <c r="AL11" i="2"/>
  <c r="AL12" i="2"/>
  <c r="AL13" i="2"/>
  <c r="AL14" i="2"/>
  <c r="AL5" i="2"/>
  <c r="M8" i="4"/>
  <c r="M9" i="4"/>
  <c r="M10" i="4"/>
  <c r="M11" i="4"/>
  <c r="M12" i="4"/>
  <c r="M13" i="4"/>
  <c r="M14" i="4"/>
  <c r="M15" i="4"/>
  <c r="K8" i="4"/>
  <c r="K9" i="4"/>
  <c r="K10" i="4"/>
  <c r="K11" i="4"/>
  <c r="K12" i="4"/>
  <c r="K13" i="4"/>
  <c r="K14" i="4"/>
  <c r="K15" i="4"/>
  <c r="J8" i="4"/>
  <c r="J9" i="4"/>
  <c r="J10" i="4"/>
  <c r="J11" i="4"/>
  <c r="J12" i="4"/>
  <c r="J13" i="4"/>
  <c r="J14" i="4"/>
  <c r="J15" i="4"/>
  <c r="H8" i="4"/>
  <c r="H9" i="4"/>
  <c r="H10" i="4"/>
  <c r="H11" i="4"/>
  <c r="H12" i="4"/>
  <c r="H13" i="4"/>
  <c r="H14" i="4"/>
  <c r="H15" i="4"/>
  <c r="G8" i="4"/>
  <c r="G9" i="4"/>
  <c r="G10" i="4"/>
  <c r="G11" i="4"/>
  <c r="G12" i="4"/>
  <c r="G13" i="4"/>
  <c r="G14" i="4"/>
  <c r="G15" i="4"/>
  <c r="F8" i="4"/>
  <c r="F9" i="4"/>
  <c r="F10" i="4"/>
  <c r="F11" i="4"/>
  <c r="F12" i="4"/>
  <c r="F13" i="4"/>
  <c r="F14" i="4"/>
  <c r="F15" i="4"/>
  <c r="E8" i="4"/>
  <c r="I8" i="4" s="1"/>
  <c r="E9" i="4"/>
  <c r="I9" i="4" s="1"/>
  <c r="E10" i="4"/>
  <c r="I10" i="4" s="1"/>
  <c r="E11" i="4"/>
  <c r="I11" i="4" s="1"/>
  <c r="E12" i="4"/>
  <c r="I12" i="4" s="1"/>
  <c r="E13" i="4"/>
  <c r="I13" i="4" s="1"/>
  <c r="E14" i="4"/>
  <c r="I14" i="4" s="1"/>
  <c r="E15" i="4"/>
  <c r="I15" i="4" s="1"/>
  <c r="E7" i="4"/>
  <c r="E6" i="4"/>
  <c r="I6" i="4" s="1"/>
  <c r="M7" i="4"/>
  <c r="K7" i="4"/>
  <c r="J7" i="4"/>
  <c r="H7" i="4"/>
  <c r="G7" i="4"/>
  <c r="F7" i="4"/>
  <c r="M6" i="4"/>
  <c r="K6" i="4"/>
  <c r="J6" i="4"/>
  <c r="H6" i="4"/>
  <c r="G6" i="4"/>
  <c r="F6" i="4"/>
  <c r="F3" i="3"/>
  <c r="E3" i="3"/>
  <c r="D4" i="3"/>
  <c r="D5" i="3"/>
  <c r="D6" i="3"/>
  <c r="D7" i="3"/>
  <c r="D8" i="3"/>
  <c r="D9" i="3"/>
  <c r="D10" i="3"/>
  <c r="D11" i="3"/>
  <c r="D12" i="3"/>
  <c r="D13" i="3"/>
  <c r="C4" i="3"/>
  <c r="C5" i="3"/>
  <c r="C6" i="3"/>
  <c r="C7" i="3"/>
  <c r="C8" i="3"/>
  <c r="C9" i="3"/>
  <c r="C10" i="3"/>
  <c r="C11" i="3"/>
  <c r="C12" i="3"/>
  <c r="C13" i="3"/>
  <c r="B4" i="3"/>
  <c r="B5" i="3"/>
  <c r="B6" i="3"/>
  <c r="B7" i="3"/>
  <c r="B8" i="3"/>
  <c r="B9" i="3"/>
  <c r="B10" i="3"/>
  <c r="B11" i="3"/>
  <c r="B12" i="3"/>
  <c r="B13" i="3"/>
  <c r="D3" i="3"/>
  <c r="C3" i="3"/>
  <c r="B3" i="3"/>
  <c r="AI6" i="2"/>
  <c r="AI7" i="2"/>
  <c r="AI8" i="2"/>
  <c r="AI9" i="2"/>
  <c r="AI10" i="2"/>
  <c r="AI11" i="2"/>
  <c r="AI12" i="2"/>
  <c r="AI13" i="2"/>
  <c r="AI14" i="2"/>
  <c r="AH6" i="2"/>
  <c r="AH7" i="2"/>
  <c r="AH8" i="2"/>
  <c r="AH9" i="2"/>
  <c r="AH10" i="2"/>
  <c r="AH11" i="2"/>
  <c r="AH12" i="2"/>
  <c r="AH13" i="2"/>
  <c r="AH14" i="2"/>
  <c r="AI5" i="2"/>
  <c r="AH5" i="2"/>
  <c r="AG6" i="2"/>
  <c r="AJ6" i="2" s="1"/>
  <c r="AG7" i="2"/>
  <c r="AJ7" i="2" s="1"/>
  <c r="AG8" i="2"/>
  <c r="AJ8" i="2" s="1"/>
  <c r="AG9" i="2"/>
  <c r="AJ9" i="2" s="1"/>
  <c r="AG10" i="2"/>
  <c r="AJ10" i="2" s="1"/>
  <c r="AG11" i="2"/>
  <c r="AG12" i="2"/>
  <c r="AJ12" i="2" s="1"/>
  <c r="AG13" i="2"/>
  <c r="AJ13" i="2" s="1"/>
  <c r="AG14" i="2"/>
  <c r="AJ14" i="2" s="1"/>
  <c r="AG5" i="2"/>
  <c r="V26" i="9" l="1"/>
  <c r="V13" i="9"/>
  <c r="V23" i="9"/>
  <c r="V10" i="9"/>
  <c r="V24" i="9"/>
  <c r="V11" i="9"/>
  <c r="V20" i="9"/>
  <c r="V7" i="9"/>
  <c r="V28" i="9"/>
  <c r="V15" i="9"/>
  <c r="P32" i="5"/>
  <c r="O32" i="5"/>
  <c r="Q9" i="5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AJ56" i="5"/>
  <c r="AK10" i="5"/>
  <c r="AK11" i="5" s="1"/>
  <c r="AK12" i="5" s="1"/>
  <c r="AK13" i="5" s="1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S68" i="5"/>
  <c r="Y44" i="5"/>
  <c r="Z44" i="5"/>
  <c r="L15" i="4"/>
  <c r="N15" i="4" s="1"/>
  <c r="O15" i="4" s="1"/>
  <c r="O11" i="4"/>
  <c r="L11" i="4"/>
  <c r="N11" i="4"/>
  <c r="L12" i="4"/>
  <c r="N12" i="4" s="1"/>
  <c r="O12" i="4" s="1"/>
  <c r="L14" i="4"/>
  <c r="N14" i="4" s="1"/>
  <c r="O14" i="4" s="1"/>
  <c r="L10" i="4"/>
  <c r="N10" i="4"/>
  <c r="O10" i="4" s="1"/>
  <c r="L8" i="4"/>
  <c r="N8" i="4" s="1"/>
  <c r="O8" i="4" s="1"/>
  <c r="L13" i="4"/>
  <c r="N13" i="4" s="1"/>
  <c r="O13" i="4" s="1"/>
  <c r="L9" i="4"/>
  <c r="N9" i="4"/>
  <c r="O9" i="4" s="1"/>
  <c r="I7" i="4"/>
  <c r="AU9" i="5"/>
  <c r="AU10" i="5" s="1"/>
  <c r="AU11" i="5" s="1"/>
  <c r="AU12" i="5" s="1"/>
  <c r="AU13" i="5" s="1"/>
  <c r="AU14" i="5" s="1"/>
  <c r="AU15" i="5" s="1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U56" i="5" s="1"/>
  <c r="AU57" i="5" s="1"/>
  <c r="AU58" i="5" s="1"/>
  <c r="AU59" i="5" s="1"/>
  <c r="AU60" i="5" s="1"/>
  <c r="AU61" i="5" s="1"/>
  <c r="AU62" i="5" s="1"/>
  <c r="AU63" i="5" s="1"/>
  <c r="AU64" i="5" s="1"/>
  <c r="AU65" i="5" s="1"/>
  <c r="AU66" i="5" s="1"/>
  <c r="AU67" i="5" s="1"/>
  <c r="AT68" i="5"/>
  <c r="I14" i="6"/>
  <c r="J14" i="6"/>
  <c r="I6" i="6"/>
  <c r="J6" i="6"/>
  <c r="I10" i="6"/>
  <c r="J10" i="6"/>
  <c r="I12" i="6"/>
  <c r="J12" i="6" s="1"/>
  <c r="I8" i="6"/>
  <c r="J8" i="6" s="1"/>
  <c r="J5" i="6"/>
  <c r="J11" i="6"/>
  <c r="J7" i="6"/>
  <c r="AA8" i="5"/>
  <c r="AA9" i="5" s="1"/>
  <c r="AA10" i="5" s="1"/>
  <c r="AA11" i="5" s="1"/>
  <c r="AA12" i="5" s="1"/>
  <c r="AA13" i="5" s="1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L6" i="4"/>
  <c r="N6" i="4"/>
  <c r="O6" i="4" s="1"/>
  <c r="AM13" i="2"/>
  <c r="AM9" i="2"/>
  <c r="AM7" i="2"/>
  <c r="AJ11" i="2"/>
  <c r="AM11" i="2" s="1"/>
  <c r="AM14" i="2"/>
  <c r="AM10" i="2"/>
  <c r="AM6" i="2"/>
  <c r="AJ5" i="2"/>
  <c r="AM5" i="2" s="1"/>
  <c r="AM12" i="2"/>
  <c r="AM8" i="2"/>
  <c r="L7" i="4" l="1"/>
  <c r="N7" i="4" s="1"/>
  <c r="O7" i="4" s="1"/>
  <c r="G25" i="43"/>
  <c r="E28" i="43" s="1"/>
</calcChain>
</file>

<file path=xl/sharedStrings.xml><?xml version="1.0" encoding="utf-8"?>
<sst xmlns="http://schemas.openxmlformats.org/spreadsheetml/2006/main" count="1868" uniqueCount="433">
  <si>
    <t xml:space="preserve">ADVANCED EXCEL CLASSES CONTENT </t>
  </si>
  <si>
    <t xml:space="preserve">Student Name </t>
  </si>
  <si>
    <t>Sub1</t>
  </si>
  <si>
    <t>Sub2</t>
  </si>
  <si>
    <t>Sub3</t>
  </si>
  <si>
    <t>Sub4</t>
  </si>
  <si>
    <t>Sub5</t>
  </si>
  <si>
    <t>Sub6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</si>
  <si>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</si>
  <si>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</si>
  <si>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</si>
  <si>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</si>
  <si>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</si>
  <si>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</si>
  <si>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</si>
  <si>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</si>
  <si>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</si>
  <si>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</si>
  <si>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Total</t>
  </si>
  <si>
    <t>Average</t>
  </si>
  <si>
    <t>Max</t>
  </si>
  <si>
    <t>Min</t>
  </si>
  <si>
    <t>Percentage</t>
  </si>
  <si>
    <t>Rank</t>
  </si>
  <si>
    <t>Status</t>
  </si>
  <si>
    <t xml:space="preserve">MARKSHEET </t>
  </si>
  <si>
    <t>Sr No</t>
  </si>
  <si>
    <t xml:space="preserve">Empl Name </t>
  </si>
  <si>
    <t>P</t>
  </si>
  <si>
    <t>Present</t>
  </si>
  <si>
    <t>Absent</t>
  </si>
  <si>
    <t>Halfday</t>
  </si>
  <si>
    <t>Total present days</t>
  </si>
  <si>
    <t>Per day salary</t>
  </si>
  <si>
    <t>Net salary</t>
  </si>
  <si>
    <t>Monthly salary</t>
  </si>
  <si>
    <t>SALARY SHEET MONTHLY BASIS</t>
  </si>
  <si>
    <t>tUShAr</t>
  </si>
  <si>
    <t>kOKaRe</t>
  </si>
  <si>
    <t>cOMpUtER</t>
  </si>
  <si>
    <t>sOUnD</t>
  </si>
  <si>
    <t>wATcH</t>
  </si>
  <si>
    <t>mOBiLe</t>
  </si>
  <si>
    <t>nORmAl</t>
  </si>
  <si>
    <t>cOUnT</t>
  </si>
  <si>
    <t>fORmUlA</t>
  </si>
  <si>
    <t>aDEvERtIESmENT</t>
  </si>
  <si>
    <t>oFFiCe</t>
  </si>
  <si>
    <t>UPPER</t>
  </si>
  <si>
    <t>LOWER</t>
  </si>
  <si>
    <t>PROPER</t>
  </si>
  <si>
    <t>PARTICULER</t>
  </si>
  <si>
    <t>TODAY</t>
  </si>
  <si>
    <t>NOW</t>
  </si>
  <si>
    <t>BASIC SALARY</t>
  </si>
  <si>
    <t>HRA</t>
  </si>
  <si>
    <t>DA</t>
  </si>
  <si>
    <t>MA</t>
  </si>
  <si>
    <t>TA</t>
  </si>
  <si>
    <t>GROSS SALARY</t>
  </si>
  <si>
    <t>PF</t>
  </si>
  <si>
    <t>PT</t>
  </si>
  <si>
    <t>IT</t>
  </si>
  <si>
    <t>DEDUCATION</t>
  </si>
  <si>
    <t>TOTAL DEDUCATION</t>
  </si>
  <si>
    <t>ESI</t>
  </si>
  <si>
    <t>NET SALARY</t>
  </si>
  <si>
    <t xml:space="preserve">EMP NAME </t>
  </si>
  <si>
    <t>Sr.No</t>
  </si>
  <si>
    <t>k</t>
  </si>
  <si>
    <t>PAYSLIP FOR EMPLOYEE</t>
  </si>
  <si>
    <t>RATE</t>
  </si>
  <si>
    <t>YEAR</t>
  </si>
  <si>
    <t>AMOUNT</t>
  </si>
  <si>
    <t>MONTH</t>
  </si>
  <si>
    <t>EMI</t>
  </si>
  <si>
    <t>INTREST</t>
  </si>
  <si>
    <t>PRINCIPLE</t>
  </si>
  <si>
    <t>BALANCE</t>
  </si>
  <si>
    <t>LOAN FOR 1 YEAR</t>
  </si>
  <si>
    <t>LOAN FOR 2 YEAR</t>
  </si>
  <si>
    <t>LOAN FOR 3 YEAR</t>
  </si>
  <si>
    <t>MTR NO</t>
  </si>
  <si>
    <t xml:space="preserve">CUST NAME </t>
  </si>
  <si>
    <t>CURRENT UNIT</t>
  </si>
  <si>
    <t>LAST UNIT</t>
  </si>
  <si>
    <t xml:space="preserve">TOTAL UNIT </t>
  </si>
  <si>
    <t>PER UNIT</t>
  </si>
  <si>
    <t xml:space="preserve">BILL AMT </t>
  </si>
  <si>
    <t>TAX</t>
  </si>
  <si>
    <t>NET BILL</t>
  </si>
  <si>
    <t>DEPRECIATION METHOD</t>
  </si>
  <si>
    <t>COST</t>
  </si>
  <si>
    <t>SALVAGE VALUE</t>
  </si>
  <si>
    <t>LIFE</t>
  </si>
  <si>
    <t>PERIOD</t>
  </si>
  <si>
    <t>SLN</t>
  </si>
  <si>
    <t>SYD</t>
  </si>
  <si>
    <t>DB</t>
  </si>
  <si>
    <t>DDB</t>
  </si>
  <si>
    <t>VDB</t>
  </si>
  <si>
    <t>LIGHT BILL</t>
  </si>
  <si>
    <t>INCOME</t>
  </si>
  <si>
    <t>ASSET VALUE</t>
  </si>
  <si>
    <t>LOOKUP</t>
  </si>
  <si>
    <t>SR NO</t>
  </si>
  <si>
    <t xml:space="preserve">GROSS SALARY </t>
  </si>
  <si>
    <t>Account No</t>
  </si>
  <si>
    <t>Amount</t>
  </si>
  <si>
    <t>AcctType</t>
  </si>
  <si>
    <t>Branch</t>
  </si>
  <si>
    <t>Customer</t>
  </si>
  <si>
    <t>IRA</t>
  </si>
  <si>
    <t>Central</t>
  </si>
  <si>
    <t>Existing</t>
  </si>
  <si>
    <t>CD</t>
  </si>
  <si>
    <t>New</t>
  </si>
  <si>
    <t>Checking</t>
  </si>
  <si>
    <t>Savings</t>
  </si>
  <si>
    <t>North County</t>
  </si>
  <si>
    <t>Westside</t>
  </si>
  <si>
    <t>HLOOKUP DATA</t>
  </si>
  <si>
    <t>ACTUAL HLOOKUP</t>
  </si>
  <si>
    <t>Employee Code</t>
  </si>
  <si>
    <t>Designation</t>
  </si>
  <si>
    <t>Salary</t>
  </si>
  <si>
    <t>TCS 1</t>
  </si>
  <si>
    <t>MIS Executive</t>
  </si>
  <si>
    <t>TCS 2</t>
  </si>
  <si>
    <t>Consultant</t>
  </si>
  <si>
    <t>TCS 3</t>
  </si>
  <si>
    <t>Accounts Executive</t>
  </si>
  <si>
    <t>TCS 4</t>
  </si>
  <si>
    <t>TCS 5</t>
  </si>
  <si>
    <t>TCS 6</t>
  </si>
  <si>
    <t>TCS 7</t>
  </si>
  <si>
    <t>TCS 8</t>
  </si>
  <si>
    <t>TCS 9</t>
  </si>
  <si>
    <t>TCS 10</t>
  </si>
  <si>
    <t>TCS 11</t>
  </si>
  <si>
    <t>TCS 12</t>
  </si>
  <si>
    <t>SUMIF FORMULA</t>
  </si>
  <si>
    <t>TCS 13</t>
  </si>
  <si>
    <t>TCS 14</t>
  </si>
  <si>
    <t>TCS 15</t>
  </si>
  <si>
    <t>TCS 16</t>
  </si>
  <si>
    <t>TCS 17</t>
  </si>
  <si>
    <t>TCS 18</t>
  </si>
  <si>
    <t>TCS 19</t>
  </si>
  <si>
    <t>TCS 20</t>
  </si>
  <si>
    <t>HR</t>
  </si>
  <si>
    <t>Total Salary</t>
  </si>
  <si>
    <t>SUMIF DATA</t>
  </si>
  <si>
    <t>Date</t>
  </si>
  <si>
    <t>Transction Type</t>
  </si>
  <si>
    <t>Debit/Credit</t>
  </si>
  <si>
    <t>Online</t>
  </si>
  <si>
    <t>Debit</t>
  </si>
  <si>
    <t>Cash</t>
  </si>
  <si>
    <t>Credit</t>
  </si>
  <si>
    <t>Debit Card</t>
  </si>
  <si>
    <t>SUMIFS DATA</t>
  </si>
  <si>
    <t>Credit Card</t>
  </si>
  <si>
    <t xml:space="preserve">Credit </t>
  </si>
  <si>
    <t>SUMIFS FORMULA</t>
  </si>
  <si>
    <t>COUNTIF DATA</t>
  </si>
  <si>
    <t>Counting</t>
  </si>
  <si>
    <t>COUNTIF FORMULA</t>
  </si>
  <si>
    <t>COUNTIFS DATA</t>
  </si>
  <si>
    <t>COUNTIFS FORMULA</t>
  </si>
  <si>
    <t>A/C Type</t>
  </si>
  <si>
    <t>SEMINAR SEAT BOOKINGS</t>
  </si>
  <si>
    <t>M</t>
  </si>
  <si>
    <t>COUNTA AND COUNT BLANK DATA</t>
  </si>
  <si>
    <t>COUNTA AND COUNT BLANK FORMULA</t>
  </si>
  <si>
    <t>BOOKED</t>
  </si>
  <si>
    <t>PENDING</t>
  </si>
  <si>
    <t>MALE</t>
  </si>
  <si>
    <t>FEMALE</t>
  </si>
  <si>
    <t>VLOOKUP DATA</t>
  </si>
  <si>
    <t>VLOOKUP FORMULA</t>
  </si>
  <si>
    <t>AVERAGEIF DATA</t>
  </si>
  <si>
    <t>AVERAGEIF FORMULA</t>
  </si>
  <si>
    <t>AVERAGEIFS DATA</t>
  </si>
  <si>
    <t>AVERAGEIFS FORMULA</t>
  </si>
  <si>
    <t>Batches Time Table</t>
  </si>
  <si>
    <t>TIME/TEACHER</t>
  </si>
  <si>
    <t>Asif Sir</t>
  </si>
  <si>
    <t>Vikrant Sir</t>
  </si>
  <si>
    <t>Rahul Sir</t>
  </si>
  <si>
    <t>Akshay Sir</t>
  </si>
  <si>
    <t>Tally</t>
  </si>
  <si>
    <t>Excel</t>
  </si>
  <si>
    <t>DTP</t>
  </si>
  <si>
    <t>Ms-Office</t>
  </si>
  <si>
    <t>Ms-office</t>
  </si>
  <si>
    <t>Emp ID</t>
  </si>
  <si>
    <t>Emp Name</t>
  </si>
  <si>
    <t>Age</t>
  </si>
  <si>
    <t>Ashok Singh</t>
  </si>
  <si>
    <t>Shankar Jadhav</t>
  </si>
  <si>
    <t>Vinod Kale</t>
  </si>
  <si>
    <t>Rajendra Verma</t>
  </si>
  <si>
    <t>Raj Singh</t>
  </si>
  <si>
    <t>Santosh Kale</t>
  </si>
  <si>
    <t>Sameer Shinde</t>
  </si>
  <si>
    <t>Vinod Singh</t>
  </si>
  <si>
    <t>Ravi Verma</t>
  </si>
  <si>
    <t>Kiran Katekar</t>
  </si>
  <si>
    <t>Ashok Singhania</t>
  </si>
  <si>
    <t>Viresh Pal</t>
  </si>
  <si>
    <t>Vinod Kelkar</t>
  </si>
  <si>
    <t>Rajendra Tasme</t>
  </si>
  <si>
    <t>Zora Shaikh</t>
  </si>
  <si>
    <t>Abdul Shaikh</t>
  </si>
  <si>
    <t>Sameer Vaje</t>
  </si>
  <si>
    <t>Vinod Pal</t>
  </si>
  <si>
    <t>Ravi Verman</t>
  </si>
  <si>
    <t>Kiran Bhor</t>
  </si>
  <si>
    <t>INDEX &amp; MATCH DATA</t>
  </si>
  <si>
    <t>INDEX &amp; MATCH FORMULA</t>
  </si>
  <si>
    <t>TIME</t>
  </si>
  <si>
    <t>SUBTOTAL FORMULA</t>
  </si>
  <si>
    <t>Subtotal</t>
  </si>
  <si>
    <t>Teacher Name</t>
  </si>
  <si>
    <t>ITEM NAME</t>
  </si>
  <si>
    <t>QTY</t>
  </si>
  <si>
    <t>SPMS</t>
  </si>
  <si>
    <t>DVD</t>
  </si>
  <si>
    <t>PENDRIVE</t>
  </si>
  <si>
    <t>KEYBOARD</t>
  </si>
  <si>
    <t>MOUSE</t>
  </si>
  <si>
    <t>SPEAKER</t>
  </si>
  <si>
    <t>LED</t>
  </si>
  <si>
    <t>LCD</t>
  </si>
  <si>
    <t>HDD</t>
  </si>
  <si>
    <t>CPU</t>
  </si>
  <si>
    <t>RAM</t>
  </si>
  <si>
    <t>CABINET</t>
  </si>
  <si>
    <t>WATCH</t>
  </si>
  <si>
    <t>MOBILE</t>
  </si>
  <si>
    <t>GLASS</t>
  </si>
  <si>
    <t>NOTEBOOK</t>
  </si>
  <si>
    <t>BOOK</t>
  </si>
  <si>
    <t>PEN</t>
  </si>
  <si>
    <t>SUMPRODUCT DATA</t>
  </si>
  <si>
    <t>SUMPRODUCT FORMULA</t>
  </si>
  <si>
    <t>TOTAL</t>
  </si>
  <si>
    <t>EMP</t>
  </si>
  <si>
    <t>Sagar jambhalkar</t>
  </si>
  <si>
    <t>Rahul Kolekar</t>
  </si>
  <si>
    <t>Navnath Karande</t>
  </si>
  <si>
    <t>Vishwa Raj</t>
  </si>
  <si>
    <t>Kedari Manoj</t>
  </si>
  <si>
    <t>Sujeet Jadhav</t>
  </si>
  <si>
    <t>Prem Pujari</t>
  </si>
  <si>
    <t>Krushna Rai</t>
  </si>
  <si>
    <t>IF FORMULA</t>
  </si>
  <si>
    <t>BONUS</t>
  </si>
  <si>
    <t>IF AND DATA</t>
  </si>
  <si>
    <t>IF AND IF OR DATA</t>
  </si>
  <si>
    <t>IF AND IF OR FORMULA</t>
  </si>
  <si>
    <t>OR</t>
  </si>
  <si>
    <t>DESIGNATION</t>
  </si>
  <si>
    <t>SM</t>
  </si>
  <si>
    <t>BDE</t>
  </si>
  <si>
    <t>CSM</t>
  </si>
  <si>
    <t>CLERK</t>
  </si>
  <si>
    <t>BM</t>
  </si>
  <si>
    <t>DM</t>
  </si>
  <si>
    <t>FIX DECIDED BONUS DEPARTMENT WISE</t>
  </si>
  <si>
    <t>NESTED IF DATA</t>
  </si>
  <si>
    <t>NESTED IF FORMULA</t>
  </si>
  <si>
    <t>BONUS CRITEIRA</t>
  </si>
  <si>
    <t>CITY AND PINCODE</t>
  </si>
  <si>
    <t>Mumbai -400086</t>
  </si>
  <si>
    <t>Mumbai -400087</t>
  </si>
  <si>
    <t>Mumbai -400088</t>
  </si>
  <si>
    <t>Mumbai -400089</t>
  </si>
  <si>
    <t>Mumbai -400090</t>
  </si>
  <si>
    <t>Mumbai -400091</t>
  </si>
  <si>
    <t>Mumbai -400092</t>
  </si>
  <si>
    <t>Mumbai -400093</t>
  </si>
  <si>
    <t>Mumbai -400094</t>
  </si>
  <si>
    <t>Mumbai -400095</t>
  </si>
  <si>
    <t>Mumbai -400096</t>
  </si>
  <si>
    <t>Mumbai -400097</t>
  </si>
  <si>
    <t>LEFT</t>
  </si>
  <si>
    <t>RIGHT</t>
  </si>
  <si>
    <t>MID</t>
  </si>
  <si>
    <t>Photoshop</t>
  </si>
  <si>
    <t>Word</t>
  </si>
  <si>
    <t>PowerPoint</t>
  </si>
  <si>
    <t xml:space="preserve">RATING </t>
  </si>
  <si>
    <t>STAR</t>
  </si>
  <si>
    <t>REPEAT DATA</t>
  </si>
  <si>
    <t>REPEAT FORMULA</t>
  </si>
  <si>
    <t>Gpay</t>
  </si>
  <si>
    <t>Phonepay</t>
  </si>
  <si>
    <t>PayTM</t>
  </si>
  <si>
    <t>iphone</t>
  </si>
  <si>
    <t>Redmi</t>
  </si>
  <si>
    <t>Samsung</t>
  </si>
  <si>
    <t>HP</t>
  </si>
  <si>
    <t>Dell</t>
  </si>
  <si>
    <t>Perticlur</t>
  </si>
  <si>
    <t>WhatsApp</t>
  </si>
  <si>
    <t>Telligram</t>
  </si>
  <si>
    <t>Wazirx</t>
  </si>
  <si>
    <t>Twiteer</t>
  </si>
  <si>
    <t>MOB NO / DATA</t>
  </si>
  <si>
    <t>AFTER SUBSTITUTE</t>
  </si>
  <si>
    <t>9812-34-56-78</t>
  </si>
  <si>
    <t>9812-12-12-12</t>
  </si>
  <si>
    <t>DELHI,400001</t>
  </si>
  <si>
    <t>9922-271246</t>
  </si>
  <si>
    <t>PUNE,411014</t>
  </si>
  <si>
    <t>9741-52-63-12</t>
  </si>
  <si>
    <t>KOLKATTA,562145</t>
  </si>
  <si>
    <t>9975-54-52-63</t>
  </si>
  <si>
    <t>URISA,896532</t>
  </si>
  <si>
    <t>SUBSTITUE DATA</t>
  </si>
  <si>
    <t>SUBSTITUTE FORMULA</t>
  </si>
  <si>
    <t>Repeat</t>
  </si>
  <si>
    <t>FREQUECY</t>
  </si>
  <si>
    <t>DATA</t>
  </si>
  <si>
    <t>FORMULA</t>
  </si>
  <si>
    <t>MUMBAI,400086</t>
  </si>
  <si>
    <t>MAX</t>
  </si>
  <si>
    <t>MIN</t>
  </si>
  <si>
    <t>AVERAGE</t>
  </si>
  <si>
    <t>After 5 years</t>
  </si>
  <si>
    <t>PERIOD/YEAR</t>
  </si>
  <si>
    <t>FOR PRACTICE USE ONLY</t>
  </si>
  <si>
    <t>TUSHAR TRADING COMPANY</t>
  </si>
  <si>
    <t>AT POST URALGAON ,TAL SHIRUR,DIST PUNE 412211</t>
  </si>
  <si>
    <t>PRO.TUSHAR VITTHAL KOKARE</t>
  </si>
  <si>
    <t xml:space="preserve">TRADING PROFIT AND LOSS ACCOUNT </t>
  </si>
  <si>
    <t>FOR THE YEAR ENDED 31/3/2021</t>
  </si>
  <si>
    <t>PRTICULARS</t>
  </si>
  <si>
    <t>PARTICULARS</t>
  </si>
  <si>
    <t xml:space="preserve">TO OPEING STOCK </t>
  </si>
  <si>
    <t>TO PURCHASE</t>
  </si>
  <si>
    <t>TO DIRECT EXPENSE</t>
  </si>
  <si>
    <t>TO GROSS PROFIT</t>
  </si>
  <si>
    <t>BY SALES</t>
  </si>
  <si>
    <t>BY CLOSING STOCK</t>
  </si>
  <si>
    <t>BY GROSS PROFIT</t>
  </si>
  <si>
    <t>TO SALARY AND WAGES</t>
  </si>
  <si>
    <t>TO RENT</t>
  </si>
  <si>
    <t>TO FULE EXPENSES</t>
  </si>
  <si>
    <t>TO TRANSPORT EXPENSE</t>
  </si>
  <si>
    <t>TO PRINTING AND STATIONERY</t>
  </si>
  <si>
    <t>TO ADVERTISMENT EXPENSE</t>
  </si>
  <si>
    <t>TO STAFF WEALFEAR EXPENSES</t>
  </si>
  <si>
    <t>TO PROFESSIONAL FEES</t>
  </si>
  <si>
    <t>TO  OTHER EXPENSES</t>
  </si>
  <si>
    <t xml:space="preserve">TO DEPRECATION </t>
  </si>
  <si>
    <t>TO NET PROFIT</t>
  </si>
  <si>
    <t>BALANCE SHEET  AS ON  31/3/2021</t>
  </si>
  <si>
    <t xml:space="preserve">        TUSHAR TRADING COMPANY</t>
  </si>
  <si>
    <t>LIABILITIES</t>
  </si>
  <si>
    <t>ASSETS</t>
  </si>
  <si>
    <t>OPENING CAPITAL</t>
  </si>
  <si>
    <t>ADD: NET PROFIT DURING THE YEAR</t>
  </si>
  <si>
    <t>ADD: INTEREST</t>
  </si>
  <si>
    <t>LESS:DRAWINGS</t>
  </si>
  <si>
    <t>SECURED LOANS</t>
  </si>
  <si>
    <t>BAJAJ FINANCE</t>
  </si>
  <si>
    <t>UNSECUED LOANS</t>
  </si>
  <si>
    <t>KRUSHNA ZIRPE</t>
  </si>
  <si>
    <t>DHURAJI GALPHADE</t>
  </si>
  <si>
    <t>CURRENTS LIABLITES</t>
  </si>
  <si>
    <t>SUNDRY CREDITORS</t>
  </si>
  <si>
    <t>OTHER PROVISION</t>
  </si>
  <si>
    <t>CAR LOAN</t>
  </si>
  <si>
    <t>FIXED ASSETES (PREPER SHEDULE)</t>
  </si>
  <si>
    <t>LESS :DEPERACATION</t>
  </si>
  <si>
    <t>INVESTMENTS</t>
  </si>
  <si>
    <t>SUNDERY DEBTORS</t>
  </si>
  <si>
    <t>CASH AND BANK  BALANCE</t>
  </si>
  <si>
    <t>SBI</t>
  </si>
  <si>
    <t>BANK OF BARODA</t>
  </si>
  <si>
    <t>CASH IN HAND</t>
  </si>
  <si>
    <t>OTHER CURRENTS</t>
  </si>
  <si>
    <t>CUREENT ASSETS</t>
  </si>
  <si>
    <t>PERIOD: 1/4/20 TO 31/3/2021</t>
  </si>
  <si>
    <t>VALUE AS ON 1/4/2020</t>
  </si>
  <si>
    <t>PURCHASE DURING THE YEAR</t>
  </si>
  <si>
    <t>NET VALUE</t>
  </si>
  <si>
    <t>RATE OF DEP</t>
  </si>
  <si>
    <t>DEPRECATION DURING THE YEAR</t>
  </si>
  <si>
    <t>WDV AS ON 31/3/2021</t>
  </si>
  <si>
    <t>FURNITURE</t>
  </si>
  <si>
    <t>TOOLS AND EQUPMENTS</t>
  </si>
  <si>
    <t>MOBILES</t>
  </si>
  <si>
    <t>PLANT AND MACHINEY</t>
  </si>
  <si>
    <t>MOTAR CAR</t>
  </si>
  <si>
    <t>LAND</t>
  </si>
  <si>
    <t>LOANS AND ADVANCE</t>
  </si>
  <si>
    <t>CLOSING STOCK</t>
  </si>
  <si>
    <t xml:space="preserve">MAHESH </t>
  </si>
  <si>
    <t>X</t>
  </si>
  <si>
    <t>TO OPENING STOCK</t>
  </si>
  <si>
    <t>TO PURCHASES</t>
  </si>
  <si>
    <t xml:space="preserve">BY SALES </t>
  </si>
  <si>
    <t xml:space="preserve">TO STATIONERY </t>
  </si>
  <si>
    <t>TO ADVERTIESSMENT</t>
  </si>
  <si>
    <t>TO STAFF WELFEAR EXP</t>
  </si>
  <si>
    <t>TO OTHER EXPENSES</t>
  </si>
  <si>
    <t>TO TRANSPORT EXPENSES</t>
  </si>
  <si>
    <t>TO FUEL EXPENSES</t>
  </si>
  <si>
    <t>TO DIRECT EXPENSES</t>
  </si>
  <si>
    <t>TO DEPRECATION</t>
  </si>
  <si>
    <t>ADD:NET PROFIT DURING THE YEAR</t>
  </si>
  <si>
    <t>ADD:INTEREST</t>
  </si>
  <si>
    <t>LESS:DRAWING</t>
  </si>
  <si>
    <t>MAHESH</t>
  </si>
  <si>
    <t xml:space="preserve">LESS:DEPERACATION </t>
  </si>
  <si>
    <t>sum</t>
  </si>
  <si>
    <t>grade</t>
  </si>
  <si>
    <t>NESTEDIF</t>
  </si>
  <si>
    <t>FAIL</t>
  </si>
  <si>
    <t>PASS</t>
  </si>
  <si>
    <t>RED</t>
  </si>
  <si>
    <t>GREEN</t>
  </si>
  <si>
    <t>countifs</t>
  </si>
  <si>
    <t>averageifs</t>
  </si>
  <si>
    <t>AND</t>
  </si>
  <si>
    <t>BONUS (IF)</t>
  </si>
  <si>
    <t>BONUS (IF AND)</t>
  </si>
  <si>
    <t>BONUS (IF OR)</t>
  </si>
  <si>
    <t xml:space="preserve">BONUS (IF IF)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</si>
</sst>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₹&quot;\ #,##0.00;[Red]&quot;₹&quot;\ \-#,##0.00"/>
    <numFmt numFmtId="165" formatCode="_ &quot;₹&quot;\ * #,##0.00_ ;_ &quot;₹&quot;\ * \-#,##0.00_ ;_ &quot;₹&quot;\ * &quot;-&quot;??_ ;_ @_ "/>
    <numFmt numFmtId="166" formatCode="_ * #,##0.00_ ;_ * \-#,##0.00_ ;_ * &quot;-&quot;??_ ;_ @_ "/>
    <numFmt numFmtId="167" formatCode="_(* #,##0_);_(* \(#,##0\);_(* &quot;-&quot;??_);_(@_)"/>
    <numFmt numFmtId="168" formatCode="[$-F400]h:mm:ss\ AM/PM"/>
  </numFmts>
  <fonts count="2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Calibri Light"/>
      <family val="2"/>
      <scheme val="major"/>
    </font>
    <font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339966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4">
    <xf numFmtId="0" fontId="0" fillId="0" borderId="0"/>
    <xf numFmtId="0" fontId="5" fillId="0" borderId="0"/>
    <xf numFmtId="43" fontId="6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3" fillId="6" borderId="0" applyNumberFormat="0" applyProtection="0">
      <alignment horizontal="left" wrapText="1" indent="4"/>
    </xf>
    <xf numFmtId="0" fontId="14" fillId="6" borderId="0" applyNumberFormat="0" applyProtection="0">
      <alignment horizontal="left" wrapText="1" indent="4"/>
    </xf>
    <xf numFmtId="0" fontId="15" fillId="6" borderId="0" applyNumberFormat="0" applyBorder="0" applyProtection="0">
      <alignment horizontal="left" indent="1"/>
    </xf>
    <xf numFmtId="0" fontId="14" fillId="0" borderId="0" applyFill="0" applyBorder="0">
      <alignment wrapText="1"/>
    </xf>
    <xf numFmtId="0" fontId="12" fillId="0" borderId="0"/>
    <xf numFmtId="0" fontId="5" fillId="7" borderId="8"/>
    <xf numFmtId="0" fontId="5" fillId="8" borderId="7"/>
    <xf numFmtId="0" fontId="5" fillId="7" borderId="0"/>
    <xf numFmtId="0" fontId="12" fillId="9" borderId="0" applyNumberFormat="0" applyBorder="0" applyProtection="0"/>
    <xf numFmtId="0" fontId="11" fillId="0" borderId="0" applyNumberFormat="0" applyFill="0" applyBorder="0" applyAlignment="0" applyProtection="0"/>
    <xf numFmtId="0" fontId="5" fillId="0" borderId="2" applyNumberFormat="0" applyFont="0" applyFill="0" applyAlignment="0"/>
    <xf numFmtId="0" fontId="5" fillId="0" borderId="9" applyNumberFormat="0" applyFont="0" applyFill="0" applyAlignment="0"/>
    <xf numFmtId="0" fontId="5" fillId="0" borderId="10" applyNumberFormat="0" applyFont="0" applyFill="0"/>
    <xf numFmtId="0" fontId="5" fillId="0" borderId="11" applyNumberFormat="0" applyFont="0" applyFill="0" applyAlignment="0"/>
    <xf numFmtId="14" fontId="5" fillId="0" borderId="0" applyFont="0" applyFill="0" applyBorder="0" applyAlignment="0"/>
    <xf numFmtId="6" fontId="5" fillId="10" borderId="0" applyFont="0" applyBorder="0" applyAlignment="0"/>
    <xf numFmtId="5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4" fontId="1" fillId="0" borderId="0" xfId="0" applyNumberFormat="1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7" fillId="3" borderId="1" xfId="1" applyFont="1" applyFill="1" applyBorder="1" applyAlignment="1">
      <alignment horizontal="center" vertical="center"/>
    </xf>
    <xf numFmtId="167" fontId="7" fillId="3" borderId="1" xfId="2" applyNumberFormat="1" applyFont="1" applyFill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67" fontId="8" fillId="3" borderId="1" xfId="2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167" fontId="1" fillId="0" borderId="1" xfId="2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1" xfId="0" applyFont="1" applyBorder="1"/>
    <xf numFmtId="0" fontId="1" fillId="5" borderId="0" xfId="0" applyFont="1" applyFill="1" applyAlignment="1">
      <alignment horizontal="center"/>
    </xf>
    <xf numFmtId="18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5" borderId="0" xfId="0" applyFont="1" applyFill="1"/>
    <xf numFmtId="168" fontId="1" fillId="0" borderId="0" xfId="0" applyNumberFormat="1" applyFont="1"/>
    <xf numFmtId="0" fontId="16" fillId="1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13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1" xfId="0" applyFont="1" applyFill="1" applyBorder="1"/>
    <xf numFmtId="0" fontId="16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4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2" fontId="1" fillId="0" borderId="1" xfId="0" applyNumberFormat="1" applyFont="1" applyBorder="1" applyAlignment="1">
      <alignment horizontal="center"/>
    </xf>
    <xf numFmtId="0" fontId="7" fillId="3" borderId="12" xfId="1" applyFont="1" applyFill="1" applyBorder="1" applyAlignment="1">
      <alignment horizontal="center" vertical="center"/>
    </xf>
    <xf numFmtId="1" fontId="1" fillId="0" borderId="12" xfId="1" applyNumberFormat="1" applyFont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65" fontId="2" fillId="3" borderId="1" xfId="3" applyNumberFormat="1" applyFont="1" applyFill="1" applyBorder="1" applyAlignment="1">
      <alignment horizontal="center"/>
    </xf>
    <xf numFmtId="165" fontId="10" fillId="0" borderId="1" xfId="3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6" fillId="14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1" fillId="0" borderId="0" xfId="0" applyFont="1" applyAlignment="1">
      <alignment horizontal="center"/>
    </xf>
    <xf numFmtId="0" fontId="2" fillId="0" borderId="0" xfId="0" applyFont="1"/>
    <xf numFmtId="0" fontId="1" fillId="0" borderId="6" xfId="0" applyFont="1" applyBorder="1"/>
    <xf numFmtId="0" fontId="2" fillId="0" borderId="1" xfId="0" applyFont="1" applyBorder="1"/>
    <xf numFmtId="0" fontId="2" fillId="0" borderId="13" xfId="0" applyFont="1" applyBorder="1"/>
    <xf numFmtId="0" fontId="0" fillId="0" borderId="0" xfId="0" applyAlignment="1">
      <alignment horizontal="center"/>
    </xf>
    <xf numFmtId="0" fontId="19" fillId="0" borderId="0" xfId="0" applyFont="1"/>
    <xf numFmtId="0" fontId="18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0" fillId="0" borderId="1" xfId="0" applyFont="1" applyBorder="1"/>
    <xf numFmtId="0" fontId="19" fillId="0" borderId="1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1" fillId="0" borderId="1" xfId="0" applyFont="1" applyBorder="1"/>
    <xf numFmtId="0" fontId="18" fillId="0" borderId="1" xfId="0" applyFont="1" applyBorder="1"/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9" fillId="15" borderId="0" xfId="0" applyFont="1" applyFill="1"/>
    <xf numFmtId="0" fontId="18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11" fillId="15" borderId="0" xfId="0" applyFont="1" applyFill="1" applyAlignment="1">
      <alignment horizontal="center"/>
    </xf>
    <xf numFmtId="0" fontId="2" fillId="15" borderId="0" xfId="0" applyFont="1" applyFill="1" applyAlignment="1"/>
    <xf numFmtId="0" fontId="2" fillId="15" borderId="0" xfId="0" applyFont="1" applyFill="1"/>
    <xf numFmtId="0" fontId="1" fillId="15" borderId="0" xfId="0" applyFont="1" applyFill="1"/>
    <xf numFmtId="9" fontId="0" fillId="0" borderId="0" xfId="22" applyFont="1"/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44" fontId="1" fillId="0" borderId="0" xfId="23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6" fillId="11" borderId="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wrapText="1"/>
    </xf>
    <xf numFmtId="0" fontId="23" fillId="0" borderId="1" xfId="0" applyFont="1" applyBorder="1" applyAlignment="1">
      <alignment horizontal="center" vertical="center"/>
    </xf>
    <xf numFmtId="168" fontId="0" fillId="0" borderId="0" xfId="0" applyNumberFormat="1"/>
  </cellXfs>
  <cellStyles count="24">
    <cellStyle name="Bottom Border" xfId="14"/>
    <cellStyle name="Comma" xfId="3" builtinId="3"/>
    <cellStyle name="Comma 2" xfId="2"/>
    <cellStyle name="Currency" xfId="23" builtinId="4"/>
    <cellStyle name="Currency [0] 2" xfId="21"/>
    <cellStyle name="Currency 2" xfId="20"/>
    <cellStyle name="Date" xfId="18"/>
    <cellStyle name="GrayCell" xfId="11"/>
    <cellStyle name="Heading 1 2" xfId="4"/>
    <cellStyle name="Heading 2 2" xfId="5"/>
    <cellStyle name="Heading 3 2" xfId="12"/>
    <cellStyle name="Heading 4 2" xfId="13"/>
    <cellStyle name="Highlight" xfId="19"/>
    <cellStyle name="Left Bottom Green Border" xfId="16"/>
    <cellStyle name="Left Green Border" xfId="17"/>
    <cellStyle name="Normal" xfId="0" builtinId="0"/>
    <cellStyle name="Normal 2" xfId="1"/>
    <cellStyle name="OrangeBorder" xfId="9"/>
    <cellStyle name="Percent" xfId="22" builtinId="5"/>
    <cellStyle name="Right Green Border" xfId="15"/>
    <cellStyle name="Start Text" xfId="7"/>
    <cellStyle name="Title 2" xfId="6"/>
    <cellStyle name="YellowCell" xfId="10"/>
    <cellStyle name="z A Column text" xfId="8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TableStyleMedium2" defaultPivotStyle="PivotStyleLight16">
    <tableStyle name="CustomTableStyle" pivot="0" count="2">
      <tableStyleElement type="headerRow" dxfId="18"/>
      <tableStyleElement type="firstRowStripe" dxfId="17"/>
    </tableStyle>
    <tableStyle name="PivotTable Style 1" table="0" count="2">
      <tableStyleElement type="headerRow" dxfId="16"/>
      <tableStyleElement type="total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8"/>
  <sheetViews>
    <sheetView topLeftCell="A4" zoomScale="118" zoomScaleNormal="118" workbookViewId="0">
      <selection activeCell="B10" sqref="B10"/>
    </sheetView>
  </sheetViews>
  <sheetFormatPr defaultColWidth="8.85546875" defaultRowHeight="18.75" x14ac:dyDescent="0.3"/>
  <cols>
    <col min="1" max="1" width="8.85546875" style="4"/>
    <col min="2" max="2" width="16.5703125" style="4" bestFit="1" customWidth="1"/>
    <col min="3" max="8" width="8.85546875" style="4"/>
    <col min="9" max="9" width="8.5703125" style="4" customWidth="1"/>
    <col min="10" max="12" width="8.85546875" style="4"/>
    <col min="13" max="13" width="12.7109375" style="4" bestFit="1" customWidth="1"/>
    <col min="14" max="14" width="9.85546875" style="4" bestFit="1" customWidth="1"/>
    <col min="15" max="16" width="8.85546875" style="4"/>
    <col min="17" max="17" width="12" style="4" bestFit="1" customWidth="1"/>
    <col min="18" max="18" width="10" style="4" bestFit="1" customWidth="1"/>
    <col min="19" max="19" width="15.7109375" style="4" bestFit="1" customWidth="1"/>
    <col min="20" max="16384" width="8.85546875" style="4"/>
  </cols>
  <sheetData>
    <row r="1" spans="1:19" x14ac:dyDescent="0.3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9" x14ac:dyDescent="0.3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9" x14ac:dyDescent="0.3">
      <c r="A3" s="116" t="s">
        <v>25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</row>
    <row r="4" spans="1:19" x14ac:dyDescent="0.3">
      <c r="I4" s="4" t="s">
        <v>419</v>
      </c>
    </row>
    <row r="5" spans="1:19" x14ac:dyDescent="0.3">
      <c r="A5" s="71" t="s">
        <v>68</v>
      </c>
      <c r="B5" s="71" t="s">
        <v>1</v>
      </c>
      <c r="C5" s="71" t="s">
        <v>2</v>
      </c>
      <c r="D5" s="71" t="s">
        <v>3</v>
      </c>
      <c r="E5" s="71" t="s">
        <v>4</v>
      </c>
      <c r="F5" s="71" t="s">
        <v>5</v>
      </c>
      <c r="G5" s="71" t="s">
        <v>6</v>
      </c>
      <c r="H5" s="71" t="s">
        <v>7</v>
      </c>
      <c r="I5" s="71" t="s">
        <v>18</v>
      </c>
      <c r="J5" s="71" t="s">
        <v>19</v>
      </c>
      <c r="K5" s="71" t="s">
        <v>20</v>
      </c>
      <c r="L5" s="71" t="s">
        <v>21</v>
      </c>
      <c r="M5" s="71" t="s">
        <v>22</v>
      </c>
      <c r="N5" s="71" t="s">
        <v>23</v>
      </c>
      <c r="O5" s="71" t="s">
        <v>24</v>
      </c>
      <c r="P5" s="71" t="s">
        <v>420</v>
      </c>
    </row>
    <row r="6" spans="1:19" x14ac:dyDescent="0.3">
      <c r="A6" s="55">
        <v>1</v>
      </c>
      <c r="B6" s="55" t="s">
        <v>8</v>
      </c>
      <c r="C6" s="55">
        <v>34</v>
      </c>
      <c r="D6" s="55">
        <v>36</v>
      </c>
      <c r="E6" s="55">
        <v>45</v>
      </c>
      <c r="F6" s="55">
        <v>78</v>
      </c>
      <c r="G6" s="55">
        <v>45</v>
      </c>
      <c r="H6" s="55">
        <v>74</v>
      </c>
      <c r="I6">
        <f t="shared" ref="I6:I15" si="0">SUM(C6:H6)</f>
        <v>312</v>
      </c>
      <c r="J6">
        <f t="shared" ref="J6:J15" si="1">AVERAGE(C6:H6)</f>
        <v>52</v>
      </c>
      <c r="K6">
        <f t="shared" ref="K6:K15" si="2">MAX(C6:H6)</f>
        <v>78</v>
      </c>
      <c r="L6">
        <f t="shared" ref="L6:L15" si="3">MIN(C6:H6)</f>
        <v>34</v>
      </c>
      <c r="M6" s="112">
        <f t="shared" ref="M6:M15" si="4">I6/600</f>
        <v>0.52</v>
      </c>
      <c r="N6">
        <f t="shared" ref="N6:N15" si="5">RANK(M6,$M$6:$M$15)</f>
        <v>9</v>
      </c>
      <c r="O6" t="str">
        <f t="shared" ref="O6:O15" si="6">IF(MIN(C6:H6)&gt;35,"pass","fail")</f>
        <v>fail</v>
      </c>
      <c r="P6" s="4" t="str">
        <f t="shared" ref="P6:P15" si="7">IF(M6&gt;=75%,"A",IF(M6&gt;=65%,"B",IF(M6&gt;=45%,"C","D")))</f>
        <v>C</v>
      </c>
      <c r="Q6" s="4" t="s">
        <v>421</v>
      </c>
      <c r="R6" s="4" t="s">
        <v>422</v>
      </c>
      <c r="S6" s="4" t="s">
        <v>424</v>
      </c>
    </row>
    <row r="7" spans="1:19" x14ac:dyDescent="0.3">
      <c r="A7" s="55">
        <v>2</v>
      </c>
      <c r="B7" s="55" t="s">
        <v>9</v>
      </c>
      <c r="C7" s="55">
        <v>98</v>
      </c>
      <c r="D7" s="55">
        <v>69</v>
      </c>
      <c r="E7" s="55">
        <v>48</v>
      </c>
      <c r="F7" s="55">
        <v>85</v>
      </c>
      <c r="G7" s="55">
        <v>65</v>
      </c>
      <c r="H7" s="55">
        <v>35</v>
      </c>
      <c r="I7">
        <f t="shared" si="0"/>
        <v>400</v>
      </c>
      <c r="J7">
        <f t="shared" si="1"/>
        <v>66.666666666666671</v>
      </c>
      <c r="K7">
        <f t="shared" si="2"/>
        <v>98</v>
      </c>
      <c r="L7">
        <f t="shared" si="3"/>
        <v>35</v>
      </c>
      <c r="M7" s="112">
        <f t="shared" si="4"/>
        <v>0.66666666666666663</v>
      </c>
      <c r="N7">
        <f>RANK(M7,$M$6:$M$15)</f>
        <v>5</v>
      </c>
      <c r="O7" t="str">
        <f t="shared" si="6"/>
        <v>fail</v>
      </c>
      <c r="P7" s="4" t="str">
        <f t="shared" si="7"/>
        <v>B</v>
      </c>
      <c r="R7" s="4" t="s">
        <v>423</v>
      </c>
      <c r="S7" s="4" t="s">
        <v>425</v>
      </c>
    </row>
    <row r="8" spans="1:19" x14ac:dyDescent="0.3">
      <c r="A8" s="55">
        <v>3</v>
      </c>
      <c r="B8" s="55" t="s">
        <v>10</v>
      </c>
      <c r="C8" s="55">
        <v>45</v>
      </c>
      <c r="D8" s="55">
        <v>41</v>
      </c>
      <c r="E8" s="55">
        <v>78</v>
      </c>
      <c r="F8" s="55">
        <v>65</v>
      </c>
      <c r="G8" s="55">
        <v>85</v>
      </c>
      <c r="H8" s="55">
        <v>99</v>
      </c>
      <c r="I8">
        <f t="shared" si="0"/>
        <v>413</v>
      </c>
      <c r="J8">
        <f t="shared" si="1"/>
        <v>68.833333333333329</v>
      </c>
      <c r="K8">
        <f t="shared" si="2"/>
        <v>99</v>
      </c>
      <c r="L8">
        <f t="shared" si="3"/>
        <v>41</v>
      </c>
      <c r="M8" s="112">
        <f t="shared" si="4"/>
        <v>0.68833333333333335</v>
      </c>
      <c r="N8">
        <f>RANK(M8,$M$6:$M$15)</f>
        <v>4</v>
      </c>
      <c r="O8" t="str">
        <f t="shared" si="6"/>
        <v>pass</v>
      </c>
      <c r="P8" s="4" t="str">
        <f t="shared" si="7"/>
        <v>B</v>
      </c>
    </row>
    <row r="9" spans="1:19" x14ac:dyDescent="0.3">
      <c r="A9" s="55">
        <v>4</v>
      </c>
      <c r="B9" s="55" t="s">
        <v>11</v>
      </c>
      <c r="C9" s="55">
        <v>77</v>
      </c>
      <c r="D9" s="55">
        <v>79</v>
      </c>
      <c r="E9" s="55">
        <v>71</v>
      </c>
      <c r="F9" s="55">
        <v>75</v>
      </c>
      <c r="G9" s="55">
        <v>87</v>
      </c>
      <c r="H9" s="55">
        <v>78</v>
      </c>
      <c r="I9">
        <f t="shared" si="0"/>
        <v>467</v>
      </c>
      <c r="J9">
        <f t="shared" si="1"/>
        <v>77.833333333333329</v>
      </c>
      <c r="K9">
        <f t="shared" si="2"/>
        <v>87</v>
      </c>
      <c r="L9">
        <f t="shared" si="3"/>
        <v>71</v>
      </c>
      <c r="M9" s="112">
        <f t="shared" si="4"/>
        <v>0.77833333333333332</v>
      </c>
      <c r="N9">
        <f>RANK(M9,$M$6:$M$15)</f>
        <v>3</v>
      </c>
      <c r="O9" t="str">
        <f t="shared" si="6"/>
        <v>pass</v>
      </c>
      <c r="P9" s="4" t="str">
        <f t="shared" si="7"/>
        <v>A</v>
      </c>
    </row>
    <row r="10" spans="1:19" x14ac:dyDescent="0.3">
      <c r="A10" s="55">
        <v>5</v>
      </c>
      <c r="B10" s="55" t="s">
        <v>12</v>
      </c>
      <c r="C10" s="55">
        <v>65</v>
      </c>
      <c r="D10" s="55">
        <v>61</v>
      </c>
      <c r="E10" s="55">
        <v>58</v>
      </c>
      <c r="F10" s="55">
        <v>45</v>
      </c>
      <c r="G10" s="55">
        <v>49</v>
      </c>
      <c r="H10" s="55">
        <v>55</v>
      </c>
      <c r="I10">
        <f t="shared" si="0"/>
        <v>333</v>
      </c>
      <c r="J10">
        <f t="shared" si="1"/>
        <v>55.5</v>
      </c>
      <c r="K10">
        <f t="shared" si="2"/>
        <v>65</v>
      </c>
      <c r="L10">
        <f t="shared" si="3"/>
        <v>45</v>
      </c>
      <c r="M10" s="112">
        <f t="shared" si="4"/>
        <v>0.55500000000000005</v>
      </c>
      <c r="N10">
        <f t="shared" si="5"/>
        <v>8</v>
      </c>
      <c r="O10" t="str">
        <f t="shared" si="6"/>
        <v>pass</v>
      </c>
      <c r="P10" s="4" t="str">
        <f t="shared" si="7"/>
        <v>C</v>
      </c>
    </row>
    <row r="11" spans="1:19" x14ac:dyDescent="0.3">
      <c r="A11" s="55">
        <v>6</v>
      </c>
      <c r="B11" s="55" t="s">
        <v>13</v>
      </c>
      <c r="C11" s="55">
        <v>66</v>
      </c>
      <c r="D11" s="55">
        <v>34</v>
      </c>
      <c r="E11" s="55">
        <v>59</v>
      </c>
      <c r="F11" s="55">
        <v>72</v>
      </c>
      <c r="G11" s="55">
        <v>62</v>
      </c>
      <c r="H11" s="55">
        <v>74</v>
      </c>
      <c r="I11">
        <f t="shared" si="0"/>
        <v>367</v>
      </c>
      <c r="J11">
        <f t="shared" si="1"/>
        <v>61.166666666666664</v>
      </c>
      <c r="K11">
        <f t="shared" si="2"/>
        <v>74</v>
      </c>
      <c r="L11">
        <f t="shared" si="3"/>
        <v>34</v>
      </c>
      <c r="M11" s="112">
        <f t="shared" si="4"/>
        <v>0.61166666666666669</v>
      </c>
      <c r="N11">
        <f t="shared" si="5"/>
        <v>7</v>
      </c>
      <c r="O11" t="str">
        <f t="shared" si="6"/>
        <v>fail</v>
      </c>
      <c r="P11" s="4" t="str">
        <f t="shared" si="7"/>
        <v>C</v>
      </c>
    </row>
    <row r="12" spans="1:19" x14ac:dyDescent="0.3">
      <c r="A12" s="55">
        <v>7</v>
      </c>
      <c r="B12" s="55" t="s">
        <v>14</v>
      </c>
      <c r="C12" s="55">
        <v>59</v>
      </c>
      <c r="D12" s="55">
        <v>88</v>
      </c>
      <c r="E12" s="55">
        <v>74</v>
      </c>
      <c r="F12" s="55">
        <v>54</v>
      </c>
      <c r="G12" s="55">
        <v>79</v>
      </c>
      <c r="H12" s="55">
        <v>41</v>
      </c>
      <c r="I12">
        <f t="shared" si="0"/>
        <v>395</v>
      </c>
      <c r="J12">
        <f t="shared" si="1"/>
        <v>65.833333333333329</v>
      </c>
      <c r="K12">
        <f t="shared" si="2"/>
        <v>88</v>
      </c>
      <c r="L12">
        <f t="shared" si="3"/>
        <v>41</v>
      </c>
      <c r="M12" s="112">
        <f t="shared" si="4"/>
        <v>0.65833333333333333</v>
      </c>
      <c r="N12">
        <f t="shared" si="5"/>
        <v>6</v>
      </c>
      <c r="O12" t="str">
        <f t="shared" si="6"/>
        <v>pass</v>
      </c>
      <c r="P12" s="4" t="str">
        <f t="shared" si="7"/>
        <v>B</v>
      </c>
    </row>
    <row r="13" spans="1:19" x14ac:dyDescent="0.3">
      <c r="A13" s="55">
        <v>8</v>
      </c>
      <c r="B13" s="55" t="s">
        <v>15</v>
      </c>
      <c r="C13" s="55">
        <v>39</v>
      </c>
      <c r="D13" s="55">
        <v>38</v>
      </c>
      <c r="E13" s="55">
        <v>37</v>
      </c>
      <c r="F13" s="55">
        <v>36</v>
      </c>
      <c r="G13" s="55">
        <v>35</v>
      </c>
      <c r="H13" s="55">
        <v>34</v>
      </c>
      <c r="I13">
        <f t="shared" si="0"/>
        <v>219</v>
      </c>
      <c r="J13">
        <f t="shared" si="1"/>
        <v>36.5</v>
      </c>
      <c r="K13">
        <f t="shared" si="2"/>
        <v>39</v>
      </c>
      <c r="L13">
        <f t="shared" si="3"/>
        <v>34</v>
      </c>
      <c r="M13" s="112">
        <f t="shared" si="4"/>
        <v>0.36499999999999999</v>
      </c>
      <c r="N13">
        <f t="shared" si="5"/>
        <v>10</v>
      </c>
      <c r="O13" t="str">
        <f t="shared" si="6"/>
        <v>fail</v>
      </c>
      <c r="P13" s="4" t="str">
        <f>IF(M13&gt;=75%,"A",IF(M13&gt;=65%,"B",IF(M13&gt;=45%,"C","D")))</f>
        <v>D</v>
      </c>
    </row>
    <row r="14" spans="1:19" x14ac:dyDescent="0.3">
      <c r="A14" s="55">
        <v>9</v>
      </c>
      <c r="B14" s="55" t="s">
        <v>16</v>
      </c>
      <c r="C14" s="55">
        <v>89</v>
      </c>
      <c r="D14" s="55">
        <v>90</v>
      </c>
      <c r="E14" s="55">
        <v>91</v>
      </c>
      <c r="F14" s="55">
        <v>92</v>
      </c>
      <c r="G14" s="55">
        <v>93</v>
      </c>
      <c r="H14" s="55">
        <v>94</v>
      </c>
      <c r="I14">
        <f t="shared" si="0"/>
        <v>549</v>
      </c>
      <c r="J14">
        <f t="shared" si="1"/>
        <v>91.5</v>
      </c>
      <c r="K14">
        <f t="shared" si="2"/>
        <v>94</v>
      </c>
      <c r="L14">
        <f t="shared" si="3"/>
        <v>89</v>
      </c>
      <c r="M14" s="112">
        <f t="shared" si="4"/>
        <v>0.91500000000000004</v>
      </c>
      <c r="N14">
        <f t="shared" si="5"/>
        <v>1</v>
      </c>
      <c r="O14" t="str">
        <f t="shared" si="6"/>
        <v>pass</v>
      </c>
      <c r="P14" s="4" t="str">
        <f t="shared" si="7"/>
        <v>A</v>
      </c>
    </row>
    <row r="15" spans="1:19" x14ac:dyDescent="0.3">
      <c r="A15" s="55">
        <v>10</v>
      </c>
      <c r="B15" s="55" t="s">
        <v>17</v>
      </c>
      <c r="C15" s="55">
        <v>87</v>
      </c>
      <c r="D15" s="55">
        <v>45</v>
      </c>
      <c r="E15" s="55">
        <v>55</v>
      </c>
      <c r="F15" s="55">
        <v>97</v>
      </c>
      <c r="G15" s="55">
        <v>98</v>
      </c>
      <c r="H15" s="55">
        <v>99</v>
      </c>
      <c r="I15">
        <f t="shared" si="0"/>
        <v>481</v>
      </c>
      <c r="J15">
        <f t="shared" si="1"/>
        <v>80.166666666666671</v>
      </c>
      <c r="K15">
        <f t="shared" si="2"/>
        <v>99</v>
      </c>
      <c r="L15">
        <f t="shared" si="3"/>
        <v>45</v>
      </c>
      <c r="M15" s="112">
        <f t="shared" si="4"/>
        <v>0.80166666666666664</v>
      </c>
      <c r="N15">
        <f t="shared" si="5"/>
        <v>2</v>
      </c>
      <c r="O15" t="str">
        <f t="shared" si="6"/>
        <v>pass</v>
      </c>
      <c r="P15" s="4" t="str">
        <f t="shared" si="7"/>
        <v>A</v>
      </c>
    </row>
    <row r="16" spans="1:19" x14ac:dyDescent="0.3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15" x14ac:dyDescent="0.3">
      <c r="A17" s="118" t="s">
        <v>333</v>
      </c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</row>
    <row r="18" spans="1:15" x14ac:dyDescent="0.3">
      <c r="A18" s="71" t="s">
        <v>68</v>
      </c>
      <c r="B18" s="71" t="s">
        <v>1</v>
      </c>
      <c r="C18" s="71" t="s">
        <v>2</v>
      </c>
      <c r="D18" s="71" t="s">
        <v>3</v>
      </c>
      <c r="E18" s="71" t="s">
        <v>4</v>
      </c>
      <c r="F18" s="71" t="s">
        <v>5</v>
      </c>
      <c r="G18" s="71" t="s">
        <v>6</v>
      </c>
      <c r="H18" s="71" t="s">
        <v>7</v>
      </c>
      <c r="I18" s="71" t="s">
        <v>18</v>
      </c>
      <c r="J18" s="71" t="s">
        <v>19</v>
      </c>
      <c r="K18" s="71" t="s">
        <v>20</v>
      </c>
      <c r="L18" s="71" t="s">
        <v>21</v>
      </c>
      <c r="M18" s="71" t="s">
        <v>22</v>
      </c>
      <c r="N18" s="71" t="s">
        <v>23</v>
      </c>
      <c r="O18" s="71" t="s">
        <v>24</v>
      </c>
    </row>
    <row r="19" spans="1:15" x14ac:dyDescent="0.3">
      <c r="A19" s="67">
        <v>1</v>
      </c>
      <c r="B19" s="67" t="s">
        <v>8</v>
      </c>
      <c r="C19" s="67">
        <v>34</v>
      </c>
      <c r="D19" s="67">
        <v>36</v>
      </c>
      <c r="E19" s="67">
        <v>45</v>
      </c>
      <c r="F19" s="67">
        <v>78</v>
      </c>
      <c r="G19" s="67">
        <v>45</v>
      </c>
      <c r="H19" s="67">
        <v>74</v>
      </c>
      <c r="I19" s="4">
        <f>SUM(C19:H19)</f>
        <v>312</v>
      </c>
      <c r="J19" s="4">
        <f>AVERAGE(C19:H19)</f>
        <v>52</v>
      </c>
      <c r="K19" s="4">
        <f>MAX(C19:H19)</f>
        <v>78</v>
      </c>
      <c r="L19" s="4">
        <f>MIN(C19:H19)</f>
        <v>34</v>
      </c>
      <c r="M19" s="4">
        <f>I19*100/600</f>
        <v>52</v>
      </c>
      <c r="N19" s="4">
        <f>RANK(M19,M19:M28)</f>
        <v>9</v>
      </c>
      <c r="O19" s="4" t="str">
        <f>IF(AND(C19&gt;=35,D19&gt;=35,E19&gt;=35,F19&gt;=35,G19&gt;=35,H19&gt;=35),"PASS","FAIL")</f>
        <v>FAIL</v>
      </c>
    </row>
    <row r="20" spans="1:15" x14ac:dyDescent="0.3">
      <c r="A20" s="67">
        <v>2</v>
      </c>
      <c r="B20" s="67" t="s">
        <v>9</v>
      </c>
      <c r="C20" s="67">
        <v>98</v>
      </c>
      <c r="D20" s="67">
        <v>69</v>
      </c>
      <c r="E20" s="67">
        <v>48</v>
      </c>
      <c r="F20" s="67">
        <v>85</v>
      </c>
      <c r="G20" s="67">
        <v>65</v>
      </c>
      <c r="H20" s="67">
        <v>35</v>
      </c>
      <c r="I20" s="4">
        <f t="shared" ref="I20:I28" si="8">SUM(C20:H20)</f>
        <v>400</v>
      </c>
      <c r="J20" s="4">
        <f t="shared" ref="J20:J28" si="9">AVERAGE(C20:H20)</f>
        <v>66.666666666666671</v>
      </c>
      <c r="K20" s="4">
        <f t="shared" ref="K20:K28" si="10">MAX(C20:H20)</f>
        <v>98</v>
      </c>
      <c r="L20" s="4">
        <f t="shared" ref="L20:L28" si="11">MIN(C20:H20)</f>
        <v>35</v>
      </c>
      <c r="M20" s="4">
        <f t="shared" ref="M20:M28" si="12">I20*100/600</f>
        <v>66.666666666666671</v>
      </c>
      <c r="N20" s="4">
        <f t="shared" ref="N20:N28" si="13">RANK(M20,M20:M29)</f>
        <v>5</v>
      </c>
      <c r="O20" s="4" t="str">
        <f t="shared" ref="O20:O28" si="14">IF(AND(C20&gt;=35,D20&gt;=35,E20&gt;=35,F20&gt;=35,G20&gt;=35,H20&gt;=35),"PASS","FAIL")</f>
        <v>PASS</v>
      </c>
    </row>
    <row r="21" spans="1:15" x14ac:dyDescent="0.3">
      <c r="A21" s="67">
        <v>3</v>
      </c>
      <c r="B21" s="67" t="s">
        <v>10</v>
      </c>
      <c r="C21" s="67">
        <v>45</v>
      </c>
      <c r="D21" s="67">
        <v>41</v>
      </c>
      <c r="E21" s="67">
        <v>78</v>
      </c>
      <c r="F21" s="67">
        <v>65</v>
      </c>
      <c r="G21" s="67">
        <v>85</v>
      </c>
      <c r="H21" s="67">
        <v>99</v>
      </c>
      <c r="I21" s="4">
        <f t="shared" si="8"/>
        <v>413</v>
      </c>
      <c r="J21" s="4">
        <f t="shared" si="9"/>
        <v>68.833333333333329</v>
      </c>
      <c r="K21" s="4">
        <f t="shared" si="10"/>
        <v>99</v>
      </c>
      <c r="L21" s="4">
        <f t="shared" si="11"/>
        <v>41</v>
      </c>
      <c r="M21" s="4">
        <f t="shared" si="12"/>
        <v>68.833333333333329</v>
      </c>
      <c r="N21" s="4">
        <f t="shared" si="13"/>
        <v>4</v>
      </c>
      <c r="O21" s="4" t="str">
        <f t="shared" si="14"/>
        <v>PASS</v>
      </c>
    </row>
    <row r="22" spans="1:15" x14ac:dyDescent="0.3">
      <c r="A22" s="67">
        <v>4</v>
      </c>
      <c r="B22" s="67" t="s">
        <v>11</v>
      </c>
      <c r="C22" s="67">
        <v>77</v>
      </c>
      <c r="D22" s="67">
        <v>79</v>
      </c>
      <c r="E22" s="67">
        <v>71</v>
      </c>
      <c r="F22" s="67">
        <v>75</v>
      </c>
      <c r="G22" s="67">
        <v>87</v>
      </c>
      <c r="H22" s="67">
        <v>78</v>
      </c>
      <c r="I22" s="4">
        <f t="shared" si="8"/>
        <v>467</v>
      </c>
      <c r="J22" s="4">
        <f t="shared" si="9"/>
        <v>77.833333333333329</v>
      </c>
      <c r="K22" s="4">
        <f t="shared" si="10"/>
        <v>87</v>
      </c>
      <c r="L22" s="4">
        <f t="shared" si="11"/>
        <v>71</v>
      </c>
      <c r="M22" s="4">
        <f t="shared" si="12"/>
        <v>77.833333333333329</v>
      </c>
      <c r="N22" s="4">
        <f t="shared" si="13"/>
        <v>3</v>
      </c>
      <c r="O22" s="4" t="str">
        <f t="shared" si="14"/>
        <v>PASS</v>
      </c>
    </row>
    <row r="23" spans="1:15" x14ac:dyDescent="0.3">
      <c r="A23" s="67">
        <v>5</v>
      </c>
      <c r="B23" s="67" t="s">
        <v>12</v>
      </c>
      <c r="C23" s="67">
        <v>65</v>
      </c>
      <c r="D23" s="67">
        <v>61</v>
      </c>
      <c r="E23" s="67">
        <v>58</v>
      </c>
      <c r="F23" s="67">
        <v>45</v>
      </c>
      <c r="G23" s="67">
        <v>49</v>
      </c>
      <c r="H23" s="67">
        <v>55</v>
      </c>
      <c r="I23" s="4">
        <f t="shared" si="8"/>
        <v>333</v>
      </c>
      <c r="J23" s="4">
        <f t="shared" si="9"/>
        <v>55.5</v>
      </c>
      <c r="K23" s="4">
        <f t="shared" si="10"/>
        <v>65</v>
      </c>
      <c r="L23" s="4">
        <f t="shared" si="11"/>
        <v>45</v>
      </c>
      <c r="M23" s="4">
        <f t="shared" si="12"/>
        <v>55.5</v>
      </c>
      <c r="N23" s="4">
        <f t="shared" si="13"/>
        <v>5</v>
      </c>
      <c r="O23" s="4" t="str">
        <f t="shared" si="14"/>
        <v>PASS</v>
      </c>
    </row>
    <row r="24" spans="1:15" x14ac:dyDescent="0.3">
      <c r="A24" s="67">
        <v>6</v>
      </c>
      <c r="B24" s="67" t="s">
        <v>13</v>
      </c>
      <c r="C24" s="67">
        <v>66</v>
      </c>
      <c r="D24" s="67">
        <v>34</v>
      </c>
      <c r="E24" s="67">
        <v>59</v>
      </c>
      <c r="F24" s="67">
        <v>72</v>
      </c>
      <c r="G24" s="67">
        <v>62</v>
      </c>
      <c r="H24" s="67">
        <v>74</v>
      </c>
      <c r="I24" s="4">
        <f t="shared" si="8"/>
        <v>367</v>
      </c>
      <c r="J24" s="4">
        <f t="shared" si="9"/>
        <v>61.166666666666664</v>
      </c>
      <c r="K24" s="4">
        <f t="shared" si="10"/>
        <v>74</v>
      </c>
      <c r="L24" s="4">
        <f t="shared" si="11"/>
        <v>34</v>
      </c>
      <c r="M24" s="4">
        <f t="shared" si="12"/>
        <v>61.166666666666664</v>
      </c>
      <c r="N24" s="4">
        <f t="shared" si="13"/>
        <v>4</v>
      </c>
      <c r="O24" s="4" t="str">
        <f t="shared" si="14"/>
        <v>FAIL</v>
      </c>
    </row>
    <row r="25" spans="1:15" x14ac:dyDescent="0.3">
      <c r="A25" s="67">
        <v>7</v>
      </c>
      <c r="B25" s="67" t="s">
        <v>14</v>
      </c>
      <c r="C25" s="67">
        <v>59</v>
      </c>
      <c r="D25" s="67">
        <v>88</v>
      </c>
      <c r="E25" s="67">
        <v>74</v>
      </c>
      <c r="F25" s="67">
        <v>54</v>
      </c>
      <c r="G25" s="67">
        <v>79</v>
      </c>
      <c r="H25" s="67">
        <v>41</v>
      </c>
      <c r="I25" s="4">
        <f t="shared" si="8"/>
        <v>395</v>
      </c>
      <c r="J25" s="4">
        <f t="shared" si="9"/>
        <v>65.833333333333329</v>
      </c>
      <c r="K25" s="4">
        <f t="shared" si="10"/>
        <v>88</v>
      </c>
      <c r="L25" s="4">
        <f t="shared" si="11"/>
        <v>41</v>
      </c>
      <c r="M25" s="4">
        <f t="shared" si="12"/>
        <v>65.833333333333329</v>
      </c>
      <c r="N25" s="4">
        <f t="shared" si="13"/>
        <v>3</v>
      </c>
      <c r="O25" s="4" t="str">
        <f t="shared" si="14"/>
        <v>PASS</v>
      </c>
    </row>
    <row r="26" spans="1:15" x14ac:dyDescent="0.3">
      <c r="A26" s="67">
        <v>8</v>
      </c>
      <c r="B26" s="67" t="s">
        <v>15</v>
      </c>
      <c r="C26" s="67">
        <v>39</v>
      </c>
      <c r="D26" s="67">
        <v>38</v>
      </c>
      <c r="E26" s="67">
        <v>37</v>
      </c>
      <c r="F26" s="67">
        <v>36</v>
      </c>
      <c r="G26" s="67">
        <v>35</v>
      </c>
      <c r="H26" s="67">
        <v>34</v>
      </c>
      <c r="I26" s="4">
        <f t="shared" si="8"/>
        <v>219</v>
      </c>
      <c r="J26" s="4">
        <f t="shared" si="9"/>
        <v>36.5</v>
      </c>
      <c r="K26" s="4">
        <f t="shared" si="10"/>
        <v>39</v>
      </c>
      <c r="L26" s="4">
        <f t="shared" si="11"/>
        <v>34</v>
      </c>
      <c r="M26" s="4">
        <f t="shared" si="12"/>
        <v>36.5</v>
      </c>
      <c r="N26" s="4">
        <f t="shared" si="13"/>
        <v>3</v>
      </c>
      <c r="O26" s="4" t="str">
        <f t="shared" si="14"/>
        <v>FAIL</v>
      </c>
    </row>
    <row r="27" spans="1:15" x14ac:dyDescent="0.3">
      <c r="A27" s="67">
        <v>9</v>
      </c>
      <c r="B27" s="67" t="s">
        <v>16</v>
      </c>
      <c r="C27" s="67">
        <v>89</v>
      </c>
      <c r="D27" s="67">
        <v>90</v>
      </c>
      <c r="E27" s="67">
        <v>91</v>
      </c>
      <c r="F27" s="67">
        <v>92</v>
      </c>
      <c r="G27" s="67">
        <v>93</v>
      </c>
      <c r="H27" s="67">
        <v>94</v>
      </c>
      <c r="I27" s="4">
        <f t="shared" si="8"/>
        <v>549</v>
      </c>
      <c r="J27" s="4">
        <f t="shared" si="9"/>
        <v>91.5</v>
      </c>
      <c r="K27" s="4">
        <f t="shared" si="10"/>
        <v>94</v>
      </c>
      <c r="L27" s="4">
        <f t="shared" si="11"/>
        <v>89</v>
      </c>
      <c r="M27" s="4">
        <f t="shared" si="12"/>
        <v>91.5</v>
      </c>
      <c r="N27" s="4">
        <f t="shared" si="13"/>
        <v>1</v>
      </c>
      <c r="O27" s="4" t="str">
        <f t="shared" si="14"/>
        <v>PASS</v>
      </c>
    </row>
    <row r="28" spans="1:15" x14ac:dyDescent="0.3">
      <c r="A28" s="67">
        <v>10</v>
      </c>
      <c r="B28" s="67" t="s">
        <v>17</v>
      </c>
      <c r="C28" s="67">
        <v>87</v>
      </c>
      <c r="D28" s="67">
        <v>45</v>
      </c>
      <c r="E28" s="67">
        <v>55</v>
      </c>
      <c r="F28" s="67">
        <v>97</v>
      </c>
      <c r="G28" s="67">
        <v>98</v>
      </c>
      <c r="H28" s="67">
        <v>99</v>
      </c>
      <c r="I28" s="4">
        <f t="shared" si="8"/>
        <v>481</v>
      </c>
      <c r="J28" s="4">
        <f t="shared" si="9"/>
        <v>80.166666666666671</v>
      </c>
      <c r="K28" s="4">
        <f t="shared" si="10"/>
        <v>99</v>
      </c>
      <c r="L28" s="4">
        <f t="shared" si="11"/>
        <v>45</v>
      </c>
      <c r="M28" s="4">
        <f t="shared" si="12"/>
        <v>80.166666666666671</v>
      </c>
      <c r="N28" s="4">
        <f t="shared" si="13"/>
        <v>1</v>
      </c>
      <c r="O28" s="4" t="str">
        <f t="shared" si="14"/>
        <v>PASS</v>
      </c>
    </row>
  </sheetData>
  <mergeCells count="3">
    <mergeCell ref="A3:O3"/>
    <mergeCell ref="A1:O2"/>
    <mergeCell ref="A17:O17"/>
  </mergeCells>
  <conditionalFormatting sqref="O16">
    <cfRule type="containsText" dxfId="14" priority="9" operator="containsText" text="FAIL">
      <formula>NOT(ISERROR(SEARCH("FAIL",O16)))</formula>
    </cfRule>
    <cfRule type="containsText" dxfId="13" priority="10" operator="containsText" text="PASS">
      <formula>NOT(ISERROR(SEARCH("PASS",O16)))</formula>
    </cfRule>
  </conditionalFormatting>
  <conditionalFormatting sqref="M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M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:O28">
    <cfRule type="containsText" dxfId="12" priority="1" operator="containsText" text="PASS">
      <formula>NOT(ISERROR(SEARCH("PASS",O19)))</formula>
    </cfRule>
    <cfRule type="containsText" dxfId="11" priority="2" operator="containsText" text="FAIL">
      <formula>NOT(ISERROR(SEARCH("FAIL",O19)))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 M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21"/>
  <sheetViews>
    <sheetView topLeftCell="A6" zoomScaleNormal="100" workbookViewId="0">
      <selection activeCell="A4" sqref="A1:E1048576"/>
    </sheetView>
  </sheetViews>
  <sheetFormatPr defaultColWidth="8.85546875" defaultRowHeight="18.75" x14ac:dyDescent="0.3"/>
  <cols>
    <col min="1" max="1" width="16.7109375" style="4" customWidth="1"/>
    <col min="2" max="2" width="14" style="4" customWidth="1"/>
    <col min="3" max="3" width="13.140625" style="4" customWidth="1"/>
    <col min="4" max="4" width="18.28515625" style="4" customWidth="1"/>
    <col min="5" max="5" width="13.7109375" style="4" customWidth="1"/>
    <col min="6" max="6" width="2.28515625" style="4" bestFit="1" customWidth="1"/>
    <col min="7" max="7" width="2.28515625" style="21" bestFit="1" customWidth="1"/>
    <col min="8" max="8" width="2.28515625" style="4" bestFit="1" customWidth="1"/>
    <col min="9" max="9" width="14.85546875" style="4" customWidth="1"/>
    <col min="10" max="11" width="15.140625" style="4" bestFit="1" customWidth="1"/>
    <col min="12" max="12" width="8.85546875" style="4"/>
    <col min="13" max="13" width="9.85546875" style="4" bestFit="1" customWidth="1"/>
    <col min="14" max="16384" width="8.85546875" style="4"/>
  </cols>
  <sheetData>
    <row r="1" spans="1:11" x14ac:dyDescent="0.3">
      <c r="B1" s="120" t="s">
        <v>179</v>
      </c>
      <c r="C1" s="120"/>
      <c r="D1" s="120"/>
      <c r="I1" s="120" t="s">
        <v>180</v>
      </c>
      <c r="J1" s="120"/>
      <c r="K1" s="120"/>
    </row>
    <row r="2" spans="1:11" x14ac:dyDescent="0.3">
      <c r="B2" s="120"/>
      <c r="C2" s="120"/>
      <c r="D2" s="120"/>
      <c r="I2" s="120"/>
      <c r="J2" s="120"/>
      <c r="K2" s="120"/>
    </row>
    <row r="4" spans="1:11" ht="18" customHeight="1" x14ac:dyDescent="0.3">
      <c r="A4" s="19" t="s">
        <v>107</v>
      </c>
      <c r="B4" s="20" t="s">
        <v>108</v>
      </c>
      <c r="C4" s="19" t="s">
        <v>170</v>
      </c>
      <c r="D4" s="19" t="s">
        <v>110</v>
      </c>
      <c r="E4" s="19" t="s">
        <v>111</v>
      </c>
      <c r="I4" s="19" t="s">
        <v>107</v>
      </c>
      <c r="J4" s="55">
        <v>5600013</v>
      </c>
    </row>
    <row r="5" spans="1:11" x14ac:dyDescent="0.3">
      <c r="A5" s="18">
        <v>5600001</v>
      </c>
      <c r="B5" s="22">
        <v>5000</v>
      </c>
      <c r="C5" s="23" t="s">
        <v>112</v>
      </c>
      <c r="D5" s="23" t="s">
        <v>113</v>
      </c>
      <c r="E5" s="23" t="s">
        <v>114</v>
      </c>
      <c r="I5" s="20" t="s">
        <v>108</v>
      </c>
      <c r="J5" s="55">
        <f>VLOOKUP($J$4,$A$5:$E$21,ROW()-3,0)</f>
        <v>3171</v>
      </c>
    </row>
    <row r="6" spans="1:11" x14ac:dyDescent="0.3">
      <c r="A6" s="18">
        <v>5600002</v>
      </c>
      <c r="B6" s="22">
        <v>14571</v>
      </c>
      <c r="C6" s="23" t="s">
        <v>115</v>
      </c>
      <c r="D6" s="23" t="s">
        <v>113</v>
      </c>
      <c r="E6" s="23" t="s">
        <v>116</v>
      </c>
      <c r="I6" s="19" t="s">
        <v>109</v>
      </c>
      <c r="J6" s="55" t="str">
        <f t="shared" ref="J6:J8" si="0">VLOOKUP($J$4,$A$5:$E$21,ROW()-3,0)</f>
        <v>Checking</v>
      </c>
    </row>
    <row r="7" spans="1:11" x14ac:dyDescent="0.3">
      <c r="A7" s="18">
        <v>5600003</v>
      </c>
      <c r="B7" s="22">
        <v>500</v>
      </c>
      <c r="C7" s="23" t="s">
        <v>117</v>
      </c>
      <c r="D7" s="23" t="s">
        <v>113</v>
      </c>
      <c r="E7" s="23" t="s">
        <v>114</v>
      </c>
      <c r="I7" s="19" t="s">
        <v>110</v>
      </c>
      <c r="J7" s="55" t="str">
        <f t="shared" si="0"/>
        <v>Westside</v>
      </c>
    </row>
    <row r="8" spans="1:11" x14ac:dyDescent="0.3">
      <c r="A8" s="18">
        <v>5600004</v>
      </c>
      <c r="B8" s="22">
        <v>15000</v>
      </c>
      <c r="C8" s="23" t="s">
        <v>115</v>
      </c>
      <c r="D8" s="23" t="s">
        <v>113</v>
      </c>
      <c r="E8" s="23" t="s">
        <v>114</v>
      </c>
      <c r="I8" s="19" t="s">
        <v>111</v>
      </c>
      <c r="J8" s="55" t="str">
        <f t="shared" si="0"/>
        <v>Existing</v>
      </c>
    </row>
    <row r="9" spans="1:11" x14ac:dyDescent="0.3">
      <c r="A9" s="18">
        <v>5600005</v>
      </c>
      <c r="B9" s="22">
        <v>4623</v>
      </c>
      <c r="C9" s="23" t="s">
        <v>118</v>
      </c>
      <c r="D9" s="23" t="s">
        <v>119</v>
      </c>
      <c r="E9" s="23" t="s">
        <v>114</v>
      </c>
    </row>
    <row r="10" spans="1:11" x14ac:dyDescent="0.3">
      <c r="A10" s="18">
        <v>5600006</v>
      </c>
      <c r="B10" s="22">
        <v>8721</v>
      </c>
      <c r="C10" s="23" t="s">
        <v>118</v>
      </c>
      <c r="D10" s="23" t="s">
        <v>120</v>
      </c>
      <c r="E10" s="23" t="s">
        <v>116</v>
      </c>
    </row>
    <row r="11" spans="1:11" x14ac:dyDescent="0.3">
      <c r="A11" s="18">
        <v>5600007</v>
      </c>
      <c r="B11" s="22">
        <v>15276</v>
      </c>
      <c r="C11" s="23" t="s">
        <v>118</v>
      </c>
      <c r="D11" s="23" t="s">
        <v>119</v>
      </c>
      <c r="E11" s="23" t="s">
        <v>114</v>
      </c>
      <c r="I11" s="128" t="s">
        <v>333</v>
      </c>
      <c r="J11" s="128"/>
    </row>
    <row r="12" spans="1:11" x14ac:dyDescent="0.3">
      <c r="A12" s="18">
        <v>5600008</v>
      </c>
      <c r="B12" s="22">
        <v>5000</v>
      </c>
      <c r="C12" s="23" t="s">
        <v>118</v>
      </c>
      <c r="D12" s="23" t="s">
        <v>120</v>
      </c>
      <c r="E12" s="23" t="s">
        <v>114</v>
      </c>
      <c r="I12" s="19" t="s">
        <v>107</v>
      </c>
      <c r="J12" s="55">
        <v>5600013</v>
      </c>
    </row>
    <row r="13" spans="1:11" x14ac:dyDescent="0.3">
      <c r="A13" s="18">
        <v>5600009</v>
      </c>
      <c r="B13" s="22">
        <v>15759</v>
      </c>
      <c r="C13" s="23" t="s">
        <v>115</v>
      </c>
      <c r="D13" s="23" t="s">
        <v>120</v>
      </c>
      <c r="E13" s="23" t="s">
        <v>114</v>
      </c>
      <c r="I13" s="20" t="s">
        <v>108</v>
      </c>
      <c r="J13" s="55">
        <f>VLOOKUP($J$12,$A$4:$E$21,ROW()-11,0)</f>
        <v>3171</v>
      </c>
    </row>
    <row r="14" spans="1:11" x14ac:dyDescent="0.3">
      <c r="A14" s="18">
        <v>5600010</v>
      </c>
      <c r="B14" s="22">
        <v>12000</v>
      </c>
      <c r="C14" s="23" t="s">
        <v>115</v>
      </c>
      <c r="D14" s="23" t="s">
        <v>120</v>
      </c>
      <c r="E14" s="23" t="s">
        <v>114</v>
      </c>
      <c r="I14" s="19" t="s">
        <v>109</v>
      </c>
      <c r="J14" s="55" t="str">
        <f t="shared" ref="J14:J16" si="1">VLOOKUP($J$12,$A$4:$E$21,ROW()-11,0)</f>
        <v>Checking</v>
      </c>
    </row>
    <row r="15" spans="1:11" x14ac:dyDescent="0.3">
      <c r="A15" s="18">
        <v>5600011</v>
      </c>
      <c r="B15" s="22">
        <v>7177</v>
      </c>
      <c r="C15" s="23" t="s">
        <v>118</v>
      </c>
      <c r="D15" s="23" t="s">
        <v>119</v>
      </c>
      <c r="E15" s="23" t="s">
        <v>114</v>
      </c>
      <c r="I15" s="19" t="s">
        <v>110</v>
      </c>
      <c r="J15" s="55" t="str">
        <f t="shared" si="1"/>
        <v>Westside</v>
      </c>
    </row>
    <row r="16" spans="1:11" x14ac:dyDescent="0.3">
      <c r="A16" s="18">
        <v>5600012</v>
      </c>
      <c r="B16" s="22">
        <v>6837</v>
      </c>
      <c r="C16" s="23" t="s">
        <v>118</v>
      </c>
      <c r="D16" s="23" t="s">
        <v>120</v>
      </c>
      <c r="E16" s="23" t="s">
        <v>114</v>
      </c>
      <c r="I16" s="19" t="s">
        <v>111</v>
      </c>
      <c r="J16" s="55" t="str">
        <f t="shared" si="1"/>
        <v>Existing</v>
      </c>
    </row>
    <row r="17" spans="1:5" x14ac:dyDescent="0.3">
      <c r="A17" s="18">
        <v>5600013</v>
      </c>
      <c r="B17" s="22">
        <v>3171</v>
      </c>
      <c r="C17" s="23" t="s">
        <v>117</v>
      </c>
      <c r="D17" s="23" t="s">
        <v>120</v>
      </c>
      <c r="E17" s="23" t="s">
        <v>114</v>
      </c>
    </row>
    <row r="18" spans="1:5" x14ac:dyDescent="0.3">
      <c r="A18" s="18">
        <v>5600014</v>
      </c>
      <c r="B18" s="22">
        <v>50000</v>
      </c>
      <c r="C18" s="23" t="s">
        <v>118</v>
      </c>
      <c r="D18" s="23" t="s">
        <v>113</v>
      </c>
      <c r="E18" s="23" t="s">
        <v>114</v>
      </c>
    </row>
    <row r="19" spans="1:5" x14ac:dyDescent="0.3">
      <c r="A19" s="18">
        <v>5600015</v>
      </c>
      <c r="B19" s="22">
        <v>4690</v>
      </c>
      <c r="C19" s="23" t="s">
        <v>117</v>
      </c>
      <c r="D19" s="23" t="s">
        <v>119</v>
      </c>
      <c r="E19" s="23" t="s">
        <v>116</v>
      </c>
    </row>
    <row r="20" spans="1:5" x14ac:dyDescent="0.3">
      <c r="A20" s="18">
        <v>5600016</v>
      </c>
      <c r="B20" s="22">
        <v>12438</v>
      </c>
      <c r="C20" s="23" t="s">
        <v>117</v>
      </c>
      <c r="D20" s="23" t="s">
        <v>113</v>
      </c>
      <c r="E20" s="23" t="s">
        <v>114</v>
      </c>
    </row>
    <row r="21" spans="1:5" x14ac:dyDescent="0.3">
      <c r="A21" s="18">
        <v>5600017</v>
      </c>
      <c r="B21" s="22">
        <v>5000</v>
      </c>
      <c r="C21" s="23" t="s">
        <v>117</v>
      </c>
      <c r="D21" s="23" t="s">
        <v>119</v>
      </c>
      <c r="E21" s="23" t="s">
        <v>114</v>
      </c>
    </row>
  </sheetData>
  <mergeCells count="3">
    <mergeCell ref="B1:D2"/>
    <mergeCell ref="I1:K2"/>
    <mergeCell ref="I11:J11"/>
  </mergeCells>
  <dataValidations count="1">
    <dataValidation type="list" allowBlank="1" showInputMessage="1" showErrorMessage="1" sqref="J4:K4 M1 J12">
      <formula1>$A$5:$A$21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R19"/>
  <sheetViews>
    <sheetView workbookViewId="0">
      <selection activeCell="N14" sqref="N14"/>
    </sheetView>
  </sheetViews>
  <sheetFormatPr defaultColWidth="8.85546875" defaultRowHeight="18.75" x14ac:dyDescent="0.25"/>
  <cols>
    <col min="1" max="1" width="13.28515625" style="54" bestFit="1" customWidth="1"/>
    <col min="2" max="2" width="13.28515625" style="54" customWidth="1"/>
    <col min="3" max="3" width="10.85546875" style="54" customWidth="1"/>
    <col min="4" max="6" width="15.140625" style="54" bestFit="1" customWidth="1"/>
    <col min="7" max="18" width="10.28515625" style="54" bestFit="1" customWidth="1"/>
    <col min="19" max="16384" width="8.85546875" style="54"/>
  </cols>
  <sheetData>
    <row r="1" spans="1:18" x14ac:dyDescent="0.25">
      <c r="F1" s="120" t="s">
        <v>121</v>
      </c>
      <c r="G1" s="120"/>
      <c r="H1" s="120"/>
      <c r="I1" s="120"/>
      <c r="J1" s="120"/>
    </row>
    <row r="2" spans="1:18" x14ac:dyDescent="0.25">
      <c r="F2" s="129"/>
      <c r="G2" s="129"/>
      <c r="H2" s="129"/>
      <c r="I2" s="129"/>
      <c r="J2" s="129"/>
    </row>
    <row r="3" spans="1:18" x14ac:dyDescent="0.25">
      <c r="A3" s="75" t="s">
        <v>107</v>
      </c>
      <c r="B3" s="76">
        <v>5600001</v>
      </c>
      <c r="C3" s="76">
        <v>5600002</v>
      </c>
      <c r="D3" s="76">
        <v>5600003</v>
      </c>
      <c r="E3" s="76">
        <v>5600004</v>
      </c>
      <c r="F3" s="76">
        <v>5600005</v>
      </c>
      <c r="G3" s="76">
        <v>5600006</v>
      </c>
      <c r="H3" s="76">
        <v>5600007</v>
      </c>
      <c r="I3" s="76">
        <v>5600008</v>
      </c>
      <c r="J3" s="76">
        <v>5600009</v>
      </c>
      <c r="K3" s="76">
        <v>5600010</v>
      </c>
      <c r="L3" s="76">
        <v>5600011</v>
      </c>
      <c r="M3" s="76">
        <v>5600012</v>
      </c>
      <c r="N3" s="76">
        <v>5600013</v>
      </c>
      <c r="O3" s="76">
        <v>5600014</v>
      </c>
      <c r="P3" s="76">
        <v>5600015</v>
      </c>
      <c r="Q3" s="76">
        <v>5600016</v>
      </c>
      <c r="R3" s="76">
        <v>5600017</v>
      </c>
    </row>
    <row r="4" spans="1:18" s="55" customFormat="1" x14ac:dyDescent="0.3">
      <c r="A4" s="58" t="s">
        <v>108</v>
      </c>
      <c r="B4" s="55">
        <v>5000</v>
      </c>
      <c r="C4" s="55">
        <v>14571</v>
      </c>
      <c r="D4" s="55">
        <v>500</v>
      </c>
      <c r="E4" s="55">
        <v>15000</v>
      </c>
      <c r="F4" s="55">
        <v>4623</v>
      </c>
      <c r="G4" s="55">
        <v>8721</v>
      </c>
      <c r="H4" s="55">
        <v>15276</v>
      </c>
      <c r="I4" s="55">
        <v>5000</v>
      </c>
      <c r="J4" s="55">
        <v>15759</v>
      </c>
      <c r="K4" s="55">
        <v>12000</v>
      </c>
      <c r="L4" s="55">
        <v>7177</v>
      </c>
      <c r="M4" s="55">
        <v>6837</v>
      </c>
      <c r="N4" s="55">
        <v>3171</v>
      </c>
      <c r="O4" s="55">
        <v>50000</v>
      </c>
      <c r="P4" s="55">
        <v>4690</v>
      </c>
      <c r="Q4" s="55">
        <v>12438</v>
      </c>
      <c r="R4" s="55">
        <v>5000</v>
      </c>
    </row>
    <row r="5" spans="1:18" x14ac:dyDescent="0.25">
      <c r="A5" s="77" t="s">
        <v>109</v>
      </c>
      <c r="B5" s="78" t="s">
        <v>112</v>
      </c>
      <c r="C5" s="78" t="s">
        <v>115</v>
      </c>
      <c r="D5" s="78" t="s">
        <v>117</v>
      </c>
      <c r="E5" s="78" t="s">
        <v>115</v>
      </c>
      <c r="F5" s="78" t="s">
        <v>118</v>
      </c>
      <c r="G5" s="78" t="s">
        <v>118</v>
      </c>
      <c r="H5" s="78" t="s">
        <v>118</v>
      </c>
      <c r="I5" s="78" t="s">
        <v>118</v>
      </c>
      <c r="J5" s="78" t="s">
        <v>115</v>
      </c>
      <c r="K5" s="78" t="s">
        <v>115</v>
      </c>
      <c r="L5" s="78" t="s">
        <v>118</v>
      </c>
      <c r="M5" s="78" t="s">
        <v>118</v>
      </c>
      <c r="N5" s="78" t="s">
        <v>117</v>
      </c>
      <c r="O5" s="78" t="s">
        <v>118</v>
      </c>
      <c r="P5" s="78" t="s">
        <v>117</v>
      </c>
      <c r="Q5" s="78" t="s">
        <v>117</v>
      </c>
      <c r="R5" s="78" t="s">
        <v>117</v>
      </c>
    </row>
    <row r="6" spans="1:18" x14ac:dyDescent="0.25">
      <c r="A6" s="16" t="s">
        <v>110</v>
      </c>
      <c r="B6" s="24" t="s">
        <v>113</v>
      </c>
      <c r="C6" s="24" t="s">
        <v>113</v>
      </c>
      <c r="D6" s="24" t="s">
        <v>113</v>
      </c>
      <c r="E6" s="24" t="s">
        <v>113</v>
      </c>
      <c r="F6" s="24" t="s">
        <v>119</v>
      </c>
      <c r="G6" s="24" t="s">
        <v>120</v>
      </c>
      <c r="H6" s="24" t="s">
        <v>119</v>
      </c>
      <c r="I6" s="24" t="s">
        <v>120</v>
      </c>
      <c r="J6" s="24" t="s">
        <v>120</v>
      </c>
      <c r="K6" s="24" t="s">
        <v>120</v>
      </c>
      <c r="L6" s="24" t="s">
        <v>119</v>
      </c>
      <c r="M6" s="24" t="s">
        <v>120</v>
      </c>
      <c r="N6" s="24" t="s">
        <v>120</v>
      </c>
      <c r="O6" s="24" t="s">
        <v>113</v>
      </c>
      <c r="P6" s="24" t="s">
        <v>119</v>
      </c>
      <c r="Q6" s="24" t="s">
        <v>113</v>
      </c>
      <c r="R6" s="24" t="s">
        <v>119</v>
      </c>
    </row>
    <row r="7" spans="1:18" x14ac:dyDescent="0.25">
      <c r="A7" s="16" t="s">
        <v>111</v>
      </c>
      <c r="B7" s="24" t="s">
        <v>114</v>
      </c>
      <c r="C7" s="24" t="s">
        <v>116</v>
      </c>
      <c r="D7" s="24" t="s">
        <v>114</v>
      </c>
      <c r="E7" s="24" t="s">
        <v>114</v>
      </c>
      <c r="F7" s="24" t="s">
        <v>114</v>
      </c>
      <c r="G7" s="24" t="s">
        <v>116</v>
      </c>
      <c r="H7" s="24" t="s">
        <v>114</v>
      </c>
      <c r="I7" s="24" t="s">
        <v>114</v>
      </c>
      <c r="J7" s="24" t="s">
        <v>114</v>
      </c>
      <c r="K7" s="24" t="s">
        <v>114</v>
      </c>
      <c r="L7" s="24" t="s">
        <v>114</v>
      </c>
      <c r="M7" s="24" t="s">
        <v>114</v>
      </c>
      <c r="N7" s="24" t="s">
        <v>114</v>
      </c>
      <c r="O7" s="24" t="s">
        <v>114</v>
      </c>
      <c r="P7" s="24" t="s">
        <v>116</v>
      </c>
      <c r="Q7" s="24" t="s">
        <v>114</v>
      </c>
      <c r="R7" s="24" t="s">
        <v>114</v>
      </c>
    </row>
    <row r="9" spans="1:18" x14ac:dyDescent="0.25">
      <c r="A9" s="120" t="s">
        <v>122</v>
      </c>
      <c r="B9" s="120"/>
      <c r="C9" s="120"/>
      <c r="D9" s="120"/>
      <c r="E9" s="120"/>
    </row>
    <row r="11" spans="1:18" x14ac:dyDescent="0.25">
      <c r="A11" s="16" t="s">
        <v>107</v>
      </c>
      <c r="B11" s="17" t="s">
        <v>108</v>
      </c>
      <c r="C11" s="16" t="s">
        <v>109</v>
      </c>
      <c r="D11" s="16" t="s">
        <v>110</v>
      </c>
      <c r="E11" s="16" t="s">
        <v>111</v>
      </c>
    </row>
    <row r="12" spans="1:18" x14ac:dyDescent="0.3">
      <c r="A12" s="55">
        <v>5600007</v>
      </c>
      <c r="B12" s="55">
        <f>HLOOKUP($A$12,$A$3:$R$7,COLUMN(),0)</f>
        <v>15276</v>
      </c>
      <c r="C12" s="55" t="str">
        <f t="shared" ref="C12:E12" si="0">HLOOKUP($A$12,$A$3:$R$7,COLUMN(),0)</f>
        <v>Savings</v>
      </c>
      <c r="D12" s="55" t="str">
        <f t="shared" si="0"/>
        <v>North County</v>
      </c>
      <c r="E12" s="55" t="str">
        <f t="shared" si="0"/>
        <v>Existing</v>
      </c>
    </row>
    <row r="13" spans="1:18" x14ac:dyDescent="0.3">
      <c r="B13" s="4"/>
      <c r="C13" s="4"/>
      <c r="D13" s="4"/>
      <c r="E13" s="4"/>
      <c r="F13" s="4"/>
    </row>
    <row r="14" spans="1:18" x14ac:dyDescent="0.3">
      <c r="B14" s="4"/>
      <c r="C14" s="4"/>
      <c r="D14" s="4"/>
      <c r="E14" s="4"/>
      <c r="F14" s="4"/>
    </row>
    <row r="15" spans="1:18" x14ac:dyDescent="0.3">
      <c r="A15" s="121" t="s">
        <v>333</v>
      </c>
      <c r="B15" s="121"/>
      <c r="C15" s="121"/>
      <c r="D15" s="121"/>
      <c r="E15" s="121"/>
      <c r="F15" s="4"/>
    </row>
    <row r="16" spans="1:18" x14ac:dyDescent="0.3">
      <c r="A16" s="16" t="s">
        <v>107</v>
      </c>
      <c r="B16" s="17" t="s">
        <v>108</v>
      </c>
      <c r="C16" s="16" t="s">
        <v>109</v>
      </c>
      <c r="D16" s="16" t="s">
        <v>110</v>
      </c>
      <c r="E16" s="16" t="s">
        <v>111</v>
      </c>
      <c r="F16" s="4"/>
    </row>
    <row r="17" spans="1:6" x14ac:dyDescent="0.3">
      <c r="A17" s="62">
        <v>5600007</v>
      </c>
      <c r="B17" s="55">
        <f>HLOOKUP($A$17,$A$3:$R$7,COLUMN(),0)</f>
        <v>15276</v>
      </c>
      <c r="C17" s="55" t="str">
        <f t="shared" ref="C17:E17" si="1">HLOOKUP($A$17,$A$3:$R$7,COLUMN(),0)</f>
        <v>Savings</v>
      </c>
      <c r="D17" s="55" t="str">
        <f t="shared" si="1"/>
        <v>North County</v>
      </c>
      <c r="E17" s="55" t="str">
        <f t="shared" si="1"/>
        <v>Existing</v>
      </c>
      <c r="F17" s="4"/>
    </row>
    <row r="18" spans="1:6" x14ac:dyDescent="0.3">
      <c r="B18" s="4"/>
      <c r="C18" s="4"/>
      <c r="D18" s="4"/>
      <c r="E18" s="4"/>
      <c r="F18" s="4"/>
    </row>
    <row r="19" spans="1:6" x14ac:dyDescent="0.3">
      <c r="B19" s="4"/>
      <c r="C19" s="4"/>
      <c r="D19" s="4"/>
      <c r="E19" s="4"/>
      <c r="F19" s="4"/>
    </row>
  </sheetData>
  <mergeCells count="3">
    <mergeCell ref="F1:J2"/>
    <mergeCell ref="A9:E9"/>
    <mergeCell ref="A15:E15"/>
  </mergeCells>
  <dataValidations count="2">
    <dataValidation type="list" allowBlank="1" showInputMessage="1" showErrorMessage="1" sqref="A12 A17">
      <formula1>$A$3:$R$3</formula1>
    </dataValidation>
    <dataValidation type="list" allowBlank="1" showInputMessage="1" showErrorMessage="1" sqref="A14">
      <formula1>$B$3:$R$3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4"/>
  <sheetViews>
    <sheetView topLeftCell="A3" zoomScale="90" zoomScaleNormal="90" workbookViewId="0">
      <selection activeCell="E11" sqref="E11"/>
    </sheetView>
  </sheetViews>
  <sheetFormatPr defaultColWidth="8.85546875" defaultRowHeight="18.75" x14ac:dyDescent="0.3"/>
  <cols>
    <col min="1" max="1" width="18.5703125" style="26" bestFit="1" customWidth="1"/>
    <col min="2" max="2" width="21.140625" style="26" bestFit="1" customWidth="1"/>
    <col min="3" max="3" width="18.42578125" style="27" customWidth="1"/>
    <col min="4" max="4" width="8.85546875" style="26"/>
    <col min="5" max="5" width="21.140625" style="26" bestFit="1" customWidth="1"/>
    <col min="6" max="6" width="16.140625" style="26" bestFit="1" customWidth="1"/>
    <col min="7" max="7" width="8.85546875" style="26"/>
    <col min="8" max="8" width="21.140625" style="26" bestFit="1" customWidth="1"/>
    <col min="9" max="9" width="16.28515625" style="26" customWidth="1"/>
    <col min="10" max="16384" width="8.85546875" style="26"/>
  </cols>
  <sheetData>
    <row r="1" spans="1:9" x14ac:dyDescent="0.3">
      <c r="A1" s="130" t="s">
        <v>152</v>
      </c>
      <c r="B1" s="130"/>
      <c r="C1" s="130"/>
      <c r="E1" s="130" t="s">
        <v>141</v>
      </c>
      <c r="F1" s="130"/>
      <c r="H1" s="131" t="s">
        <v>333</v>
      </c>
      <c r="I1" s="131"/>
    </row>
    <row r="2" spans="1:9" x14ac:dyDescent="0.3">
      <c r="A2" s="130"/>
      <c r="B2" s="130"/>
      <c r="C2" s="130"/>
      <c r="E2" s="130"/>
      <c r="F2" s="130"/>
      <c r="H2" s="131"/>
      <c r="I2" s="131"/>
    </row>
    <row r="4" spans="1:9" x14ac:dyDescent="0.3">
      <c r="A4" s="79" t="s">
        <v>123</v>
      </c>
      <c r="B4" s="79" t="s">
        <v>124</v>
      </c>
      <c r="C4" s="80" t="s">
        <v>125</v>
      </c>
      <c r="E4" s="79" t="s">
        <v>124</v>
      </c>
      <c r="F4" s="79" t="s">
        <v>151</v>
      </c>
      <c r="H4" s="79" t="s">
        <v>124</v>
      </c>
      <c r="I4" s="79" t="s">
        <v>151</v>
      </c>
    </row>
    <row r="5" spans="1:9" x14ac:dyDescent="0.3">
      <c r="A5" s="55" t="s">
        <v>126</v>
      </c>
      <c r="B5" s="55" t="s">
        <v>127</v>
      </c>
      <c r="C5" s="81">
        <v>15000</v>
      </c>
      <c r="E5" s="55" t="s">
        <v>127</v>
      </c>
      <c r="F5" s="55">
        <f>SUMIF(B5:B24,E5,C5:C24)</f>
        <v>124000</v>
      </c>
      <c r="H5" s="55" t="s">
        <v>127</v>
      </c>
      <c r="I5" s="55">
        <f>SUMIF(B5:B24,H5,C5:C24)</f>
        <v>124000</v>
      </c>
    </row>
    <row r="6" spans="1:9" x14ac:dyDescent="0.3">
      <c r="A6" s="55" t="s">
        <v>128</v>
      </c>
      <c r="B6" s="55" t="s">
        <v>129</v>
      </c>
      <c r="C6" s="81">
        <v>15000</v>
      </c>
      <c r="E6" s="55" t="s">
        <v>129</v>
      </c>
      <c r="F6" s="55">
        <f t="shared" ref="F6:F8" si="0">SUMIF(B6:B25,E6,C6:C25)</f>
        <v>207000</v>
      </c>
      <c r="H6" s="55" t="s">
        <v>129</v>
      </c>
      <c r="I6" s="55">
        <f t="shared" ref="I6:I8" si="1">SUMIF(B6:B25,H6,C6:C25)</f>
        <v>207000</v>
      </c>
    </row>
    <row r="7" spans="1:9" x14ac:dyDescent="0.3">
      <c r="A7" s="55" t="s">
        <v>130</v>
      </c>
      <c r="B7" s="55" t="s">
        <v>131</v>
      </c>
      <c r="C7" s="81">
        <v>12000</v>
      </c>
      <c r="E7" s="55" t="s">
        <v>131</v>
      </c>
      <c r="F7" s="55">
        <f t="shared" si="0"/>
        <v>94000</v>
      </c>
      <c r="H7" s="55" t="s">
        <v>131</v>
      </c>
      <c r="I7" s="55">
        <f t="shared" si="1"/>
        <v>94000</v>
      </c>
    </row>
    <row r="8" spans="1:9" x14ac:dyDescent="0.3">
      <c r="A8" s="55" t="s">
        <v>132</v>
      </c>
      <c r="B8" s="55" t="s">
        <v>127</v>
      </c>
      <c r="C8" s="81">
        <v>12000</v>
      </c>
      <c r="E8" s="55" t="s">
        <v>150</v>
      </c>
      <c r="F8" s="55">
        <f t="shared" si="0"/>
        <v>102000</v>
      </c>
      <c r="H8" s="55" t="s">
        <v>150</v>
      </c>
      <c r="I8" s="55">
        <f t="shared" si="1"/>
        <v>102000</v>
      </c>
    </row>
    <row r="9" spans="1:9" x14ac:dyDescent="0.3">
      <c r="A9" s="55" t="s">
        <v>133</v>
      </c>
      <c r="B9" s="55" t="s">
        <v>127</v>
      </c>
      <c r="C9" s="81">
        <v>15000</v>
      </c>
    </row>
    <row r="10" spans="1:9" x14ac:dyDescent="0.3">
      <c r="A10" s="55" t="s">
        <v>134</v>
      </c>
      <c r="B10" s="55" t="s">
        <v>129</v>
      </c>
      <c r="C10" s="81">
        <v>12000</v>
      </c>
    </row>
    <row r="11" spans="1:9" x14ac:dyDescent="0.3">
      <c r="A11" s="55" t="s">
        <v>135</v>
      </c>
      <c r="B11" s="55" t="s">
        <v>131</v>
      </c>
      <c r="C11" s="81">
        <v>12000</v>
      </c>
    </row>
    <row r="12" spans="1:9" x14ac:dyDescent="0.3">
      <c r="A12" s="55" t="s">
        <v>136</v>
      </c>
      <c r="B12" s="55" t="s">
        <v>127</v>
      </c>
      <c r="C12" s="81">
        <v>15000</v>
      </c>
    </row>
    <row r="13" spans="1:9" x14ac:dyDescent="0.3">
      <c r="A13" s="55" t="s">
        <v>137</v>
      </c>
      <c r="B13" s="55" t="s">
        <v>127</v>
      </c>
      <c r="C13" s="81">
        <v>12000</v>
      </c>
    </row>
    <row r="14" spans="1:9" x14ac:dyDescent="0.3">
      <c r="A14" s="55" t="s">
        <v>138</v>
      </c>
      <c r="B14" s="55" t="s">
        <v>129</v>
      </c>
      <c r="C14" s="81">
        <v>75000</v>
      </c>
      <c r="F14" s="28"/>
    </row>
    <row r="15" spans="1:9" x14ac:dyDescent="0.3">
      <c r="A15" s="55" t="s">
        <v>139</v>
      </c>
      <c r="B15" s="55" t="s">
        <v>131</v>
      </c>
      <c r="C15" s="81">
        <v>25000</v>
      </c>
    </row>
    <row r="16" spans="1:9" x14ac:dyDescent="0.3">
      <c r="A16" s="55" t="s">
        <v>140</v>
      </c>
      <c r="B16" s="55" t="s">
        <v>127</v>
      </c>
      <c r="C16" s="81">
        <v>35000</v>
      </c>
    </row>
    <row r="17" spans="1:3" x14ac:dyDescent="0.3">
      <c r="A17" s="55" t="s">
        <v>142</v>
      </c>
      <c r="B17" s="55" t="s">
        <v>129</v>
      </c>
      <c r="C17" s="82">
        <v>25000</v>
      </c>
    </row>
    <row r="18" spans="1:3" x14ac:dyDescent="0.3">
      <c r="A18" s="55" t="s">
        <v>143</v>
      </c>
      <c r="B18" s="55" t="s">
        <v>150</v>
      </c>
      <c r="C18" s="82">
        <v>35000</v>
      </c>
    </row>
    <row r="19" spans="1:3" x14ac:dyDescent="0.3">
      <c r="A19" s="55" t="s">
        <v>144</v>
      </c>
      <c r="B19" s="55" t="s">
        <v>129</v>
      </c>
      <c r="C19" s="82">
        <v>65000</v>
      </c>
    </row>
    <row r="20" spans="1:3" x14ac:dyDescent="0.3">
      <c r="A20" s="55" t="s">
        <v>145</v>
      </c>
      <c r="B20" s="55" t="s">
        <v>127</v>
      </c>
      <c r="C20" s="82">
        <v>20000</v>
      </c>
    </row>
    <row r="21" spans="1:3" x14ac:dyDescent="0.3">
      <c r="A21" s="55" t="s">
        <v>146</v>
      </c>
      <c r="B21" s="55" t="s">
        <v>150</v>
      </c>
      <c r="C21" s="82">
        <v>55000</v>
      </c>
    </row>
    <row r="22" spans="1:3" x14ac:dyDescent="0.3">
      <c r="A22" s="55" t="s">
        <v>147</v>
      </c>
      <c r="B22" s="55" t="s">
        <v>131</v>
      </c>
      <c r="C22" s="82">
        <v>45000</v>
      </c>
    </row>
    <row r="23" spans="1:3" x14ac:dyDescent="0.3">
      <c r="A23" s="55" t="s">
        <v>148</v>
      </c>
      <c r="B23" s="55" t="s">
        <v>150</v>
      </c>
      <c r="C23" s="82">
        <v>12000</v>
      </c>
    </row>
    <row r="24" spans="1:3" x14ac:dyDescent="0.3">
      <c r="A24" s="55" t="s">
        <v>149</v>
      </c>
      <c r="B24" s="55" t="s">
        <v>129</v>
      </c>
      <c r="C24" s="82">
        <v>15000</v>
      </c>
    </row>
  </sheetData>
  <mergeCells count="3">
    <mergeCell ref="E1:F2"/>
    <mergeCell ref="A1:C2"/>
    <mergeCell ref="H1:I2"/>
  </mergeCells>
  <phoneticPr fontId="9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24"/>
  <sheetViews>
    <sheetView topLeftCell="D1" zoomScale="130" zoomScaleNormal="130" workbookViewId="0">
      <selection activeCell="F13" sqref="F13"/>
    </sheetView>
  </sheetViews>
  <sheetFormatPr defaultColWidth="8.85546875" defaultRowHeight="18.75" x14ac:dyDescent="0.3"/>
  <cols>
    <col min="1" max="1" width="13.28515625" style="26" bestFit="1" customWidth="1"/>
    <col min="2" max="2" width="17.5703125" style="26" bestFit="1" customWidth="1"/>
    <col min="3" max="3" width="13.85546875" style="26" bestFit="1" customWidth="1"/>
    <col min="4" max="4" width="12.28515625" style="26" customWidth="1"/>
    <col min="5" max="5" width="8.85546875" style="26"/>
    <col min="6" max="6" width="19" style="26" bestFit="1" customWidth="1"/>
    <col min="7" max="7" width="13.28515625" style="26" customWidth="1"/>
    <col min="8" max="8" width="19" style="26" bestFit="1" customWidth="1"/>
    <col min="9" max="9" width="13" style="26" customWidth="1"/>
    <col min="10" max="10" width="19" style="26" bestFit="1" customWidth="1"/>
    <col min="11" max="11" width="10.7109375" style="26" customWidth="1"/>
    <col min="12" max="12" width="13.140625" style="26" customWidth="1"/>
    <col min="13" max="16384" width="8.85546875" style="26"/>
  </cols>
  <sheetData>
    <row r="1" spans="1:12" x14ac:dyDescent="0.3">
      <c r="A1" s="130" t="s">
        <v>161</v>
      </c>
      <c r="B1" s="130"/>
      <c r="C1" s="130"/>
      <c r="D1" s="130"/>
      <c r="F1" s="130" t="s">
        <v>164</v>
      </c>
      <c r="G1" s="130"/>
      <c r="H1" s="130"/>
      <c r="J1" s="130" t="s">
        <v>426</v>
      </c>
      <c r="K1" s="130"/>
      <c r="L1" s="130"/>
    </row>
    <row r="2" spans="1:12" x14ac:dyDescent="0.3">
      <c r="A2" s="130"/>
      <c r="B2" s="130"/>
      <c r="C2" s="130"/>
      <c r="D2" s="130"/>
      <c r="F2" s="130"/>
      <c r="G2" s="130"/>
      <c r="H2" s="130"/>
      <c r="J2" s="130"/>
      <c r="K2" s="130"/>
      <c r="L2" s="130"/>
    </row>
    <row r="3" spans="1:12" x14ac:dyDescent="0.3">
      <c r="B3" s="26">
        <v>2</v>
      </c>
      <c r="C3" s="26">
        <v>4</v>
      </c>
      <c r="D3" s="26">
        <v>1</v>
      </c>
    </row>
    <row r="4" spans="1:12" x14ac:dyDescent="0.3">
      <c r="A4" s="56" t="s">
        <v>153</v>
      </c>
      <c r="B4" s="56" t="s">
        <v>154</v>
      </c>
      <c r="C4" s="56" t="s">
        <v>155</v>
      </c>
      <c r="D4" s="56" t="s">
        <v>108</v>
      </c>
      <c r="F4" s="47" t="s">
        <v>154</v>
      </c>
      <c r="G4" s="47" t="s">
        <v>157</v>
      </c>
      <c r="H4" s="47" t="s">
        <v>159</v>
      </c>
      <c r="J4" s="47" t="s">
        <v>154</v>
      </c>
      <c r="K4" s="47" t="s">
        <v>157</v>
      </c>
      <c r="L4" s="47" t="s">
        <v>159</v>
      </c>
    </row>
    <row r="5" spans="1:12" x14ac:dyDescent="0.3">
      <c r="A5" s="73">
        <v>43739</v>
      </c>
      <c r="B5" s="55" t="s">
        <v>156</v>
      </c>
      <c r="C5" s="55" t="s">
        <v>157</v>
      </c>
      <c r="D5" s="55">
        <v>5000</v>
      </c>
      <c r="E5" s="26">
        <v>3</v>
      </c>
      <c r="F5" s="55" t="s">
        <v>156</v>
      </c>
      <c r="G5" s="55">
        <f>SUMIFS($D$5:$D$24,$B$5:$B$24,$F5,$C$5:$C$24,G$4)</f>
        <v>9500</v>
      </c>
      <c r="H5" s="55">
        <f>SUMIFS($D$5:$D$24,$B$5:$B$24,$F5,$C$5:$C$24,H$4)</f>
        <v>7748</v>
      </c>
      <c r="J5" s="113" t="s">
        <v>156</v>
      </c>
      <c r="K5" s="113">
        <f t="shared" ref="K5:L8" si="0">COUNTIFS($B$5:$B$24,$J5,$C$5:$C$24,K$4)</f>
        <v>2</v>
      </c>
      <c r="L5" s="113">
        <f t="shared" si="0"/>
        <v>3</v>
      </c>
    </row>
    <row r="6" spans="1:12" x14ac:dyDescent="0.3">
      <c r="A6" s="73">
        <v>43740</v>
      </c>
      <c r="B6" s="55" t="s">
        <v>158</v>
      </c>
      <c r="C6" s="55" t="s">
        <v>159</v>
      </c>
      <c r="D6" s="55">
        <v>6000</v>
      </c>
      <c r="F6" s="55" t="s">
        <v>158</v>
      </c>
      <c r="G6" s="55">
        <f>SUMIFS($D$5:$D$24,$B$5:$B$24,$F6,$C$5:$C$24,G$4)</f>
        <v>9756</v>
      </c>
      <c r="H6" s="55">
        <f t="shared" ref="G6:H8" si="1">SUMIFS($D$5:$D$24,$B$5:$B$24,$F6,$C$5:$C$24,H$4)</f>
        <v>11100</v>
      </c>
      <c r="J6" s="113" t="s">
        <v>158</v>
      </c>
      <c r="K6" s="113">
        <f t="shared" si="0"/>
        <v>2</v>
      </c>
      <c r="L6" s="113">
        <f t="shared" si="0"/>
        <v>3</v>
      </c>
    </row>
    <row r="7" spans="1:12" x14ac:dyDescent="0.3">
      <c r="A7" s="73">
        <v>43741</v>
      </c>
      <c r="B7" s="55" t="s">
        <v>156</v>
      </c>
      <c r="C7" s="55" t="s">
        <v>157</v>
      </c>
      <c r="D7" s="55">
        <v>4500</v>
      </c>
      <c r="F7" s="55" t="s">
        <v>160</v>
      </c>
      <c r="G7" s="55">
        <f t="shared" si="1"/>
        <v>17489</v>
      </c>
      <c r="H7" s="55">
        <f t="shared" si="1"/>
        <v>0</v>
      </c>
      <c r="J7" s="113" t="s">
        <v>160</v>
      </c>
      <c r="K7" s="113">
        <f t="shared" si="0"/>
        <v>5</v>
      </c>
      <c r="L7" s="113">
        <f t="shared" si="0"/>
        <v>0</v>
      </c>
    </row>
    <row r="8" spans="1:12" x14ac:dyDescent="0.3">
      <c r="A8" s="73">
        <v>43742</v>
      </c>
      <c r="B8" s="55" t="s">
        <v>158</v>
      </c>
      <c r="C8" s="55" t="s">
        <v>157</v>
      </c>
      <c r="D8" s="55">
        <v>6500</v>
      </c>
      <c r="F8" s="55" t="s">
        <v>162</v>
      </c>
      <c r="G8" s="55">
        <f t="shared" si="1"/>
        <v>7367</v>
      </c>
      <c r="H8" s="55">
        <f t="shared" si="1"/>
        <v>460</v>
      </c>
      <c r="J8" s="113" t="s">
        <v>162</v>
      </c>
      <c r="K8" s="113">
        <f t="shared" si="0"/>
        <v>3</v>
      </c>
      <c r="L8" s="113">
        <f t="shared" si="0"/>
        <v>1</v>
      </c>
    </row>
    <row r="9" spans="1:12" x14ac:dyDescent="0.3">
      <c r="A9" s="73">
        <v>43743</v>
      </c>
      <c r="B9" s="55" t="s">
        <v>156</v>
      </c>
      <c r="C9" s="55" t="s">
        <v>159</v>
      </c>
      <c r="D9" s="55">
        <v>4500</v>
      </c>
      <c r="J9"/>
      <c r="K9"/>
      <c r="L9"/>
    </row>
    <row r="10" spans="1:12" x14ac:dyDescent="0.3">
      <c r="A10" s="73">
        <v>43744</v>
      </c>
      <c r="B10" s="55" t="s">
        <v>160</v>
      </c>
      <c r="C10" s="55" t="s">
        <v>157</v>
      </c>
      <c r="D10" s="55">
        <v>6000</v>
      </c>
    </row>
    <row r="11" spans="1:12" x14ac:dyDescent="0.3">
      <c r="A11" s="73">
        <v>43745</v>
      </c>
      <c r="B11" s="55" t="s">
        <v>158</v>
      </c>
      <c r="C11" s="55" t="s">
        <v>159</v>
      </c>
      <c r="D11" s="55">
        <v>4500</v>
      </c>
      <c r="H11" s="130" t="s">
        <v>427</v>
      </c>
      <c r="I11" s="130"/>
      <c r="J11" s="130"/>
    </row>
    <row r="12" spans="1:12" x14ac:dyDescent="0.3">
      <c r="A12" s="73">
        <v>43746</v>
      </c>
      <c r="B12" s="55" t="s">
        <v>158</v>
      </c>
      <c r="C12" s="55" t="s">
        <v>159</v>
      </c>
      <c r="D12" s="55">
        <v>600</v>
      </c>
      <c r="H12" s="130"/>
      <c r="I12" s="130"/>
      <c r="J12" s="130"/>
    </row>
    <row r="13" spans="1:12" x14ac:dyDescent="0.3">
      <c r="A13" s="73">
        <v>43747</v>
      </c>
      <c r="B13" s="55" t="s">
        <v>160</v>
      </c>
      <c r="C13" s="55" t="s">
        <v>157</v>
      </c>
      <c r="D13" s="55">
        <v>1500</v>
      </c>
    </row>
    <row r="14" spans="1:12" x14ac:dyDescent="0.3">
      <c r="A14" s="73">
        <v>43748</v>
      </c>
      <c r="B14" s="55" t="s">
        <v>160</v>
      </c>
      <c r="C14" s="55" t="s">
        <v>157</v>
      </c>
      <c r="D14" s="55">
        <v>1450</v>
      </c>
      <c r="H14" s="47" t="s">
        <v>154</v>
      </c>
      <c r="I14" s="47" t="s">
        <v>157</v>
      </c>
      <c r="J14" s="47" t="s">
        <v>159</v>
      </c>
    </row>
    <row r="15" spans="1:12" x14ac:dyDescent="0.3">
      <c r="A15" s="73">
        <v>43749</v>
      </c>
      <c r="B15" s="55" t="s">
        <v>156</v>
      </c>
      <c r="C15" s="55" t="s">
        <v>159</v>
      </c>
      <c r="D15" s="55">
        <v>650</v>
      </c>
      <c r="H15" s="113" t="s">
        <v>156</v>
      </c>
      <c r="I15" s="113"/>
      <c r="J15" s="113"/>
    </row>
    <row r="16" spans="1:12" x14ac:dyDescent="0.3">
      <c r="A16" s="73">
        <v>43750</v>
      </c>
      <c r="B16" s="55" t="s">
        <v>160</v>
      </c>
      <c r="C16" s="55" t="s">
        <v>157</v>
      </c>
      <c r="D16" s="55">
        <v>2560</v>
      </c>
      <c r="H16" s="113" t="s">
        <v>158</v>
      </c>
      <c r="I16" s="113"/>
      <c r="J16" s="113"/>
    </row>
    <row r="17" spans="1:10" x14ac:dyDescent="0.3">
      <c r="A17" s="73">
        <v>43751</v>
      </c>
      <c r="B17" s="55" t="s">
        <v>162</v>
      </c>
      <c r="C17" s="55" t="s">
        <v>157</v>
      </c>
      <c r="D17" s="55">
        <v>1215</v>
      </c>
      <c r="H17" s="113" t="s">
        <v>160</v>
      </c>
      <c r="I17" s="113"/>
      <c r="J17" s="113"/>
    </row>
    <row r="18" spans="1:10" x14ac:dyDescent="0.3">
      <c r="A18" s="73">
        <v>43752</v>
      </c>
      <c r="B18" s="55" t="s">
        <v>156</v>
      </c>
      <c r="C18" s="55" t="s">
        <v>159</v>
      </c>
      <c r="D18" s="55">
        <v>2598</v>
      </c>
      <c r="H18" s="113" t="s">
        <v>162</v>
      </c>
      <c r="I18" s="113"/>
      <c r="J18" s="113"/>
    </row>
    <row r="19" spans="1:10" x14ac:dyDescent="0.3">
      <c r="A19" s="73">
        <v>43753</v>
      </c>
      <c r="B19" s="55" t="s">
        <v>158</v>
      </c>
      <c r="C19" s="55" t="s">
        <v>157</v>
      </c>
      <c r="D19" s="55">
        <v>3256</v>
      </c>
    </row>
    <row r="20" spans="1:10" x14ac:dyDescent="0.3">
      <c r="A20" s="73">
        <v>43754</v>
      </c>
      <c r="B20" s="55" t="s">
        <v>162</v>
      </c>
      <c r="C20" s="55" t="s">
        <v>159</v>
      </c>
      <c r="D20" s="55">
        <v>460</v>
      </c>
    </row>
    <row r="21" spans="1:10" x14ac:dyDescent="0.3">
      <c r="A21" s="73">
        <v>43755</v>
      </c>
      <c r="B21" s="55" t="s">
        <v>160</v>
      </c>
      <c r="C21" s="55" t="s">
        <v>157</v>
      </c>
      <c r="D21" s="55">
        <v>5979</v>
      </c>
    </row>
    <row r="22" spans="1:10" x14ac:dyDescent="0.3">
      <c r="A22" s="73">
        <v>43756</v>
      </c>
      <c r="B22" s="55" t="s">
        <v>162</v>
      </c>
      <c r="C22" s="55" t="s">
        <v>157</v>
      </c>
      <c r="D22" s="55">
        <v>4589</v>
      </c>
    </row>
    <row r="23" spans="1:10" x14ac:dyDescent="0.3">
      <c r="A23" s="73">
        <v>43757</v>
      </c>
      <c r="B23" s="55" t="s">
        <v>156</v>
      </c>
      <c r="C23" s="55" t="s">
        <v>163</v>
      </c>
      <c r="D23" s="55">
        <v>6325</v>
      </c>
    </row>
    <row r="24" spans="1:10" x14ac:dyDescent="0.3">
      <c r="A24" s="73">
        <v>43758</v>
      </c>
      <c r="B24" s="55" t="s">
        <v>162</v>
      </c>
      <c r="C24" s="55" t="s">
        <v>157</v>
      </c>
      <c r="D24" s="55">
        <v>1563</v>
      </c>
    </row>
  </sheetData>
  <mergeCells count="4">
    <mergeCell ref="A1:D2"/>
    <mergeCell ref="F1:H2"/>
    <mergeCell ref="J1:L2"/>
    <mergeCell ref="H11:J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24"/>
  <sheetViews>
    <sheetView workbookViewId="0">
      <selection activeCell="G5" sqref="G5"/>
    </sheetView>
  </sheetViews>
  <sheetFormatPr defaultColWidth="8.85546875" defaultRowHeight="18.75" x14ac:dyDescent="0.3"/>
  <cols>
    <col min="1" max="1" width="16" style="4" customWidth="1"/>
    <col min="2" max="2" width="19.42578125" style="4" customWidth="1"/>
    <col min="3" max="3" width="13.85546875" style="4" bestFit="1" customWidth="1"/>
    <col min="4" max="4" width="11.42578125" style="4" customWidth="1"/>
    <col min="5" max="5" width="8.85546875" style="4"/>
    <col min="6" max="6" width="17.5703125" style="4" bestFit="1" customWidth="1"/>
    <col min="7" max="7" width="12.7109375" style="4" customWidth="1"/>
    <col min="8" max="8" width="8.85546875" style="4"/>
    <col min="9" max="9" width="17.5703125" style="4" bestFit="1" customWidth="1"/>
    <col min="10" max="10" width="11.85546875" style="4" customWidth="1"/>
    <col min="11" max="16384" width="8.85546875" style="4"/>
  </cols>
  <sheetData>
    <row r="1" spans="1:10" x14ac:dyDescent="0.3">
      <c r="A1" s="130" t="s">
        <v>165</v>
      </c>
      <c r="B1" s="130"/>
      <c r="C1" s="130"/>
      <c r="D1" s="130"/>
      <c r="F1" s="120" t="s">
        <v>167</v>
      </c>
      <c r="G1" s="120"/>
      <c r="I1" s="121" t="s">
        <v>333</v>
      </c>
      <c r="J1" s="121"/>
    </row>
    <row r="2" spans="1:10" x14ac:dyDescent="0.3">
      <c r="A2" s="130"/>
      <c r="B2" s="130"/>
      <c r="C2" s="130"/>
      <c r="D2" s="130"/>
      <c r="F2" s="120"/>
      <c r="G2" s="120"/>
      <c r="I2" s="121"/>
      <c r="J2" s="121"/>
    </row>
    <row r="3" spans="1:10" x14ac:dyDescent="0.3">
      <c r="A3" s="26"/>
      <c r="B3" s="26"/>
      <c r="C3" s="26"/>
      <c r="D3" s="26"/>
    </row>
    <row r="4" spans="1:10" x14ac:dyDescent="0.3">
      <c r="A4" s="56" t="s">
        <v>153</v>
      </c>
      <c r="B4" s="56" t="s">
        <v>154</v>
      </c>
      <c r="C4" s="56" t="s">
        <v>155</v>
      </c>
      <c r="D4" s="56" t="s">
        <v>108</v>
      </c>
      <c r="F4" s="56" t="s">
        <v>154</v>
      </c>
      <c r="G4" s="56" t="s">
        <v>166</v>
      </c>
      <c r="I4" s="56" t="s">
        <v>154</v>
      </c>
      <c r="J4" s="56" t="s">
        <v>166</v>
      </c>
    </row>
    <row r="5" spans="1:10" x14ac:dyDescent="0.3">
      <c r="A5" s="73">
        <v>43739</v>
      </c>
      <c r="B5" s="55" t="s">
        <v>156</v>
      </c>
      <c r="C5" s="55" t="s">
        <v>157</v>
      </c>
      <c r="D5" s="55">
        <v>5000</v>
      </c>
      <c r="F5" s="55" t="s">
        <v>156</v>
      </c>
      <c r="G5" s="55">
        <f>COUNTIF($B$5:$B$24,$F5)</f>
        <v>6</v>
      </c>
      <c r="I5" s="55" t="s">
        <v>156</v>
      </c>
      <c r="J5" s="55">
        <f>COUNTIF(B5:B24,F5)</f>
        <v>6</v>
      </c>
    </row>
    <row r="6" spans="1:10" x14ac:dyDescent="0.3">
      <c r="A6" s="73">
        <v>43740</v>
      </c>
      <c r="B6" s="55" t="s">
        <v>158</v>
      </c>
      <c r="C6" s="55" t="s">
        <v>159</v>
      </c>
      <c r="D6" s="55">
        <v>6000</v>
      </c>
      <c r="F6" s="55" t="s">
        <v>158</v>
      </c>
      <c r="G6" s="55">
        <f t="shared" ref="G6:G8" si="0">COUNTIF($B$5:$B$24,$F6)</f>
        <v>5</v>
      </c>
      <c r="I6" s="55" t="s">
        <v>158</v>
      </c>
      <c r="J6" s="55">
        <f t="shared" ref="J6:J8" si="1">COUNTIF(B6:B25,F6)</f>
        <v>5</v>
      </c>
    </row>
    <row r="7" spans="1:10" x14ac:dyDescent="0.3">
      <c r="A7" s="73">
        <v>43741</v>
      </c>
      <c r="B7" s="55" t="s">
        <v>156</v>
      </c>
      <c r="C7" s="55" t="s">
        <v>157</v>
      </c>
      <c r="D7" s="55">
        <v>4500</v>
      </c>
      <c r="F7" s="55" t="s">
        <v>160</v>
      </c>
      <c r="G7" s="55">
        <f t="shared" si="0"/>
        <v>5</v>
      </c>
      <c r="I7" s="55" t="s">
        <v>160</v>
      </c>
      <c r="J7" s="55">
        <f t="shared" si="1"/>
        <v>5</v>
      </c>
    </row>
    <row r="8" spans="1:10" x14ac:dyDescent="0.3">
      <c r="A8" s="73">
        <v>43742</v>
      </c>
      <c r="B8" s="55" t="s">
        <v>158</v>
      </c>
      <c r="C8" s="55" t="s">
        <v>157</v>
      </c>
      <c r="D8" s="55">
        <v>6500</v>
      </c>
      <c r="F8" s="55" t="s">
        <v>162</v>
      </c>
      <c r="G8" s="55">
        <f t="shared" si="0"/>
        <v>4</v>
      </c>
      <c r="I8" s="55" t="s">
        <v>162</v>
      </c>
      <c r="J8" s="55">
        <f t="shared" si="1"/>
        <v>4</v>
      </c>
    </row>
    <row r="9" spans="1:10" x14ac:dyDescent="0.3">
      <c r="A9" s="73">
        <v>43743</v>
      </c>
      <c r="B9" s="55" t="s">
        <v>156</v>
      </c>
      <c r="C9" s="55" t="s">
        <v>159</v>
      </c>
      <c r="D9" s="55">
        <v>4500</v>
      </c>
    </row>
    <row r="10" spans="1:10" x14ac:dyDescent="0.3">
      <c r="A10" s="73">
        <v>43744</v>
      </c>
      <c r="B10" s="55" t="s">
        <v>160</v>
      </c>
      <c r="C10" s="55" t="s">
        <v>157</v>
      </c>
      <c r="D10" s="55">
        <v>6000</v>
      </c>
    </row>
    <row r="11" spans="1:10" x14ac:dyDescent="0.3">
      <c r="A11" s="73">
        <v>43745</v>
      </c>
      <c r="B11" s="55" t="s">
        <v>158</v>
      </c>
      <c r="C11" s="55" t="s">
        <v>159</v>
      </c>
      <c r="D11" s="55">
        <v>4500</v>
      </c>
    </row>
    <row r="12" spans="1:10" x14ac:dyDescent="0.3">
      <c r="A12" s="73">
        <v>43746</v>
      </c>
      <c r="B12" s="55" t="s">
        <v>158</v>
      </c>
      <c r="C12" s="55" t="s">
        <v>159</v>
      </c>
      <c r="D12" s="55">
        <v>600</v>
      </c>
    </row>
    <row r="13" spans="1:10" x14ac:dyDescent="0.3">
      <c r="A13" s="73">
        <v>43747</v>
      </c>
      <c r="B13" s="55" t="s">
        <v>160</v>
      </c>
      <c r="C13" s="55" t="s">
        <v>157</v>
      </c>
      <c r="D13" s="55">
        <v>1500</v>
      </c>
    </row>
    <row r="14" spans="1:10" x14ac:dyDescent="0.3">
      <c r="A14" s="73">
        <v>43748</v>
      </c>
      <c r="B14" s="55" t="s">
        <v>160</v>
      </c>
      <c r="C14" s="55" t="s">
        <v>157</v>
      </c>
      <c r="D14" s="55">
        <v>1450</v>
      </c>
    </row>
    <row r="15" spans="1:10" x14ac:dyDescent="0.3">
      <c r="A15" s="73">
        <v>43749</v>
      </c>
      <c r="B15" s="55" t="s">
        <v>156</v>
      </c>
      <c r="C15" s="55" t="s">
        <v>159</v>
      </c>
      <c r="D15" s="55">
        <v>650</v>
      </c>
    </row>
    <row r="16" spans="1:10" x14ac:dyDescent="0.3">
      <c r="A16" s="73">
        <v>43750</v>
      </c>
      <c r="B16" s="55" t="s">
        <v>160</v>
      </c>
      <c r="C16" s="55" t="s">
        <v>157</v>
      </c>
      <c r="D16" s="55">
        <v>2560</v>
      </c>
    </row>
    <row r="17" spans="1:4" x14ac:dyDescent="0.3">
      <c r="A17" s="73">
        <v>43751</v>
      </c>
      <c r="B17" s="55" t="s">
        <v>162</v>
      </c>
      <c r="C17" s="55" t="s">
        <v>157</v>
      </c>
      <c r="D17" s="55">
        <v>1215</v>
      </c>
    </row>
    <row r="18" spans="1:4" x14ac:dyDescent="0.3">
      <c r="A18" s="73">
        <v>43752</v>
      </c>
      <c r="B18" s="55" t="s">
        <v>156</v>
      </c>
      <c r="C18" s="55" t="s">
        <v>159</v>
      </c>
      <c r="D18" s="55">
        <v>2598</v>
      </c>
    </row>
    <row r="19" spans="1:4" x14ac:dyDescent="0.3">
      <c r="A19" s="73">
        <v>43753</v>
      </c>
      <c r="B19" s="55" t="s">
        <v>158</v>
      </c>
      <c r="C19" s="55" t="s">
        <v>157</v>
      </c>
      <c r="D19" s="55">
        <v>3256</v>
      </c>
    </row>
    <row r="20" spans="1:4" x14ac:dyDescent="0.3">
      <c r="A20" s="73">
        <v>43754</v>
      </c>
      <c r="B20" s="55" t="s">
        <v>162</v>
      </c>
      <c r="C20" s="55" t="s">
        <v>159</v>
      </c>
      <c r="D20" s="55">
        <v>460</v>
      </c>
    </row>
    <row r="21" spans="1:4" x14ac:dyDescent="0.3">
      <c r="A21" s="73">
        <v>43755</v>
      </c>
      <c r="B21" s="55" t="s">
        <v>160</v>
      </c>
      <c r="C21" s="55" t="s">
        <v>157</v>
      </c>
      <c r="D21" s="55">
        <v>5979</v>
      </c>
    </row>
    <row r="22" spans="1:4" x14ac:dyDescent="0.3">
      <c r="A22" s="73">
        <v>43756</v>
      </c>
      <c r="B22" s="55" t="s">
        <v>162</v>
      </c>
      <c r="C22" s="55" t="s">
        <v>157</v>
      </c>
      <c r="D22" s="55">
        <v>4589</v>
      </c>
    </row>
    <row r="23" spans="1:4" x14ac:dyDescent="0.3">
      <c r="A23" s="73">
        <v>43757</v>
      </c>
      <c r="B23" s="55" t="s">
        <v>156</v>
      </c>
      <c r="C23" s="55" t="s">
        <v>163</v>
      </c>
      <c r="D23" s="55">
        <v>6325</v>
      </c>
    </row>
    <row r="24" spans="1:4" x14ac:dyDescent="0.3">
      <c r="A24" s="73">
        <v>43758</v>
      </c>
      <c r="B24" s="55" t="s">
        <v>162</v>
      </c>
      <c r="C24" s="55" t="s">
        <v>157</v>
      </c>
      <c r="D24" s="55">
        <v>1563</v>
      </c>
    </row>
  </sheetData>
  <mergeCells count="3">
    <mergeCell ref="A1:D2"/>
    <mergeCell ref="F1:G2"/>
    <mergeCell ref="I1:J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L23"/>
  <sheetViews>
    <sheetView workbookViewId="0">
      <selection activeCell="I12" sqref="I12"/>
    </sheetView>
  </sheetViews>
  <sheetFormatPr defaultColWidth="8.85546875" defaultRowHeight="18.75" x14ac:dyDescent="0.3"/>
  <cols>
    <col min="1" max="1" width="13.28515625" style="4" bestFit="1" customWidth="1"/>
    <col min="2" max="2" width="17.5703125" style="4" bestFit="1" customWidth="1"/>
    <col min="3" max="3" width="15" style="4" customWidth="1"/>
    <col min="4" max="4" width="13.140625" style="4" customWidth="1"/>
    <col min="5" max="5" width="8.85546875" style="4"/>
    <col min="6" max="6" width="17.5703125" style="4" bestFit="1" customWidth="1"/>
    <col min="7" max="7" width="8.85546875" style="4" customWidth="1"/>
    <col min="8" max="8" width="10" style="4" customWidth="1"/>
    <col min="9" max="9" width="8.85546875" style="4"/>
    <col min="10" max="10" width="17.5703125" style="4" bestFit="1" customWidth="1"/>
    <col min="11" max="12" width="9.28515625" style="4" customWidth="1"/>
    <col min="13" max="16384" width="8.85546875" style="4"/>
  </cols>
  <sheetData>
    <row r="1" spans="1:12" x14ac:dyDescent="0.3">
      <c r="A1" s="130" t="s">
        <v>168</v>
      </c>
      <c r="B1" s="130"/>
      <c r="C1" s="130"/>
      <c r="D1" s="130"/>
      <c r="F1" s="120" t="s">
        <v>169</v>
      </c>
      <c r="G1" s="120"/>
      <c r="H1" s="120"/>
      <c r="J1" s="121" t="s">
        <v>333</v>
      </c>
      <c r="K1" s="121"/>
      <c r="L1" s="121"/>
    </row>
    <row r="2" spans="1:12" ht="13.15" customHeight="1" x14ac:dyDescent="0.3">
      <c r="A2" s="130"/>
      <c r="B2" s="130"/>
      <c r="C2" s="130"/>
      <c r="D2" s="130"/>
      <c r="F2" s="120"/>
      <c r="G2" s="120"/>
      <c r="H2" s="120"/>
      <c r="J2" s="121"/>
      <c r="K2" s="121"/>
      <c r="L2" s="121"/>
    </row>
    <row r="3" spans="1:12" x14ac:dyDescent="0.3">
      <c r="A3" s="56" t="s">
        <v>153</v>
      </c>
      <c r="B3" s="56" t="s">
        <v>154</v>
      </c>
      <c r="C3" s="56" t="s">
        <v>155</v>
      </c>
      <c r="D3" s="56" t="s">
        <v>108</v>
      </c>
      <c r="F3" s="56" t="s">
        <v>154</v>
      </c>
      <c r="G3" s="56" t="s">
        <v>157</v>
      </c>
      <c r="H3" s="56" t="s">
        <v>159</v>
      </c>
      <c r="J3" s="56" t="s">
        <v>154</v>
      </c>
      <c r="K3" s="56" t="s">
        <v>157</v>
      </c>
      <c r="L3" s="56" t="s">
        <v>159</v>
      </c>
    </row>
    <row r="4" spans="1:12" x14ac:dyDescent="0.3">
      <c r="A4" s="73">
        <v>43739</v>
      </c>
      <c r="B4" s="55" t="s">
        <v>156</v>
      </c>
      <c r="C4" s="55" t="s">
        <v>157</v>
      </c>
      <c r="D4" s="55">
        <v>5000</v>
      </c>
      <c r="F4" s="55" t="s">
        <v>156</v>
      </c>
      <c r="G4" s="55">
        <f>COUNTIFS($B$4:$B$23,$F4,$C$4:$C$23,G$3)</f>
        <v>2</v>
      </c>
      <c r="H4" s="55">
        <f>COUNTIFS($B$4:$B$23,$F4,$C$4:$C$23,H$3)</f>
        <v>3</v>
      </c>
      <c r="J4" s="55" t="s">
        <v>156</v>
      </c>
      <c r="K4" s="55">
        <f>COUNTIFS($B$4:$B$23,$J4,$C$4:$C$23,K$3)</f>
        <v>2</v>
      </c>
      <c r="L4" s="55">
        <f>COUNTIFS($B$4:$B$23,$J4,$C$4:$C$23,L$3)</f>
        <v>3</v>
      </c>
    </row>
    <row r="5" spans="1:12" x14ac:dyDescent="0.3">
      <c r="A5" s="73">
        <v>43740</v>
      </c>
      <c r="B5" s="55" t="s">
        <v>158</v>
      </c>
      <c r="C5" s="55" t="s">
        <v>159</v>
      </c>
      <c r="D5" s="55">
        <v>6000</v>
      </c>
      <c r="F5" s="55" t="s">
        <v>158</v>
      </c>
      <c r="G5" s="55">
        <f t="shared" ref="G5:H7" si="0">COUNTIFS($B$4:$B$23,$F5,$C$4:$C$23,G$3)</f>
        <v>2</v>
      </c>
      <c r="H5" s="55">
        <f t="shared" si="0"/>
        <v>3</v>
      </c>
      <c r="J5" s="55" t="s">
        <v>158</v>
      </c>
      <c r="K5" s="55">
        <f t="shared" ref="K5:L7" si="1">COUNTIFS($B$4:$B$23,$J5,$C$4:$C$23,K$3)</f>
        <v>2</v>
      </c>
      <c r="L5" s="55">
        <f t="shared" si="1"/>
        <v>3</v>
      </c>
    </row>
    <row r="6" spans="1:12" x14ac:dyDescent="0.3">
      <c r="A6" s="73">
        <v>43741</v>
      </c>
      <c r="B6" s="55" t="s">
        <v>156</v>
      </c>
      <c r="C6" s="55" t="s">
        <v>157</v>
      </c>
      <c r="D6" s="55">
        <v>4500</v>
      </c>
      <c r="F6" s="55" t="s">
        <v>160</v>
      </c>
      <c r="G6" s="55">
        <f t="shared" si="0"/>
        <v>5</v>
      </c>
      <c r="H6" s="55">
        <f t="shared" si="0"/>
        <v>0</v>
      </c>
      <c r="J6" s="55" t="s">
        <v>160</v>
      </c>
      <c r="K6" s="55">
        <f t="shared" si="1"/>
        <v>5</v>
      </c>
      <c r="L6" s="55">
        <f t="shared" si="1"/>
        <v>0</v>
      </c>
    </row>
    <row r="7" spans="1:12" x14ac:dyDescent="0.3">
      <c r="A7" s="73">
        <v>43742</v>
      </c>
      <c r="B7" s="55" t="s">
        <v>158</v>
      </c>
      <c r="C7" s="55" t="s">
        <v>157</v>
      </c>
      <c r="D7" s="55">
        <v>6500</v>
      </c>
      <c r="F7" s="55" t="s">
        <v>162</v>
      </c>
      <c r="G7" s="55">
        <f t="shared" si="0"/>
        <v>3</v>
      </c>
      <c r="H7" s="55">
        <f t="shared" si="0"/>
        <v>1</v>
      </c>
      <c r="J7" s="55" t="s">
        <v>162</v>
      </c>
      <c r="K7" s="55">
        <f t="shared" si="1"/>
        <v>3</v>
      </c>
      <c r="L7" s="55">
        <f t="shared" si="1"/>
        <v>1</v>
      </c>
    </row>
    <row r="8" spans="1:12" x14ac:dyDescent="0.3">
      <c r="A8" s="73">
        <v>43743</v>
      </c>
      <c r="B8" s="55" t="s">
        <v>156</v>
      </c>
      <c r="C8" s="55" t="s">
        <v>159</v>
      </c>
      <c r="D8" s="55">
        <v>4500</v>
      </c>
    </row>
    <row r="9" spans="1:12" x14ac:dyDescent="0.3">
      <c r="A9" s="73">
        <v>43744</v>
      </c>
      <c r="B9" s="55" t="s">
        <v>160</v>
      </c>
      <c r="C9" s="55" t="s">
        <v>157</v>
      </c>
      <c r="D9" s="55">
        <v>6000</v>
      </c>
    </row>
    <row r="10" spans="1:12" x14ac:dyDescent="0.3">
      <c r="A10" s="73">
        <v>43745</v>
      </c>
      <c r="B10" s="55" t="s">
        <v>158</v>
      </c>
      <c r="C10" s="55" t="s">
        <v>159</v>
      </c>
      <c r="D10" s="55">
        <v>4500</v>
      </c>
    </row>
    <row r="11" spans="1:12" x14ac:dyDescent="0.3">
      <c r="A11" s="73">
        <v>43746</v>
      </c>
      <c r="B11" s="55" t="s">
        <v>158</v>
      </c>
      <c r="C11" s="55" t="s">
        <v>159</v>
      </c>
      <c r="D11" s="55">
        <v>600</v>
      </c>
    </row>
    <row r="12" spans="1:12" x14ac:dyDescent="0.3">
      <c r="A12" s="73">
        <v>43747</v>
      </c>
      <c r="B12" s="55" t="s">
        <v>160</v>
      </c>
      <c r="C12" s="55" t="s">
        <v>157</v>
      </c>
      <c r="D12" s="55">
        <v>1500</v>
      </c>
    </row>
    <row r="13" spans="1:12" x14ac:dyDescent="0.3">
      <c r="A13" s="73">
        <v>43748</v>
      </c>
      <c r="B13" s="55" t="s">
        <v>160</v>
      </c>
      <c r="C13" s="55" t="s">
        <v>157</v>
      </c>
      <c r="D13" s="55">
        <v>1450</v>
      </c>
    </row>
    <row r="14" spans="1:12" x14ac:dyDescent="0.3">
      <c r="A14" s="73">
        <v>43749</v>
      </c>
      <c r="B14" s="55" t="s">
        <v>156</v>
      </c>
      <c r="C14" s="55" t="s">
        <v>159</v>
      </c>
      <c r="D14" s="55">
        <v>650</v>
      </c>
    </row>
    <row r="15" spans="1:12" x14ac:dyDescent="0.3">
      <c r="A15" s="73">
        <v>43750</v>
      </c>
      <c r="B15" s="55" t="s">
        <v>160</v>
      </c>
      <c r="C15" s="55" t="s">
        <v>157</v>
      </c>
      <c r="D15" s="55">
        <v>2560</v>
      </c>
    </row>
    <row r="16" spans="1:12" x14ac:dyDescent="0.3">
      <c r="A16" s="73">
        <v>43751</v>
      </c>
      <c r="B16" s="55" t="s">
        <v>162</v>
      </c>
      <c r="C16" s="55" t="s">
        <v>157</v>
      </c>
      <c r="D16" s="55">
        <v>1215</v>
      </c>
    </row>
    <row r="17" spans="1:4" x14ac:dyDescent="0.3">
      <c r="A17" s="73">
        <v>43752</v>
      </c>
      <c r="B17" s="55" t="s">
        <v>156</v>
      </c>
      <c r="C17" s="55" t="s">
        <v>159</v>
      </c>
      <c r="D17" s="55">
        <v>2598</v>
      </c>
    </row>
    <row r="18" spans="1:4" x14ac:dyDescent="0.3">
      <c r="A18" s="73">
        <v>43753</v>
      </c>
      <c r="B18" s="55" t="s">
        <v>158</v>
      </c>
      <c r="C18" s="55" t="s">
        <v>157</v>
      </c>
      <c r="D18" s="55">
        <v>3256</v>
      </c>
    </row>
    <row r="19" spans="1:4" x14ac:dyDescent="0.3">
      <c r="A19" s="73">
        <v>43754</v>
      </c>
      <c r="B19" s="55" t="s">
        <v>162</v>
      </c>
      <c r="C19" s="55" t="s">
        <v>159</v>
      </c>
      <c r="D19" s="55">
        <v>460</v>
      </c>
    </row>
    <row r="20" spans="1:4" x14ac:dyDescent="0.3">
      <c r="A20" s="73">
        <v>43755</v>
      </c>
      <c r="B20" s="55" t="s">
        <v>160</v>
      </c>
      <c r="C20" s="55" t="s">
        <v>157</v>
      </c>
      <c r="D20" s="55">
        <v>5979</v>
      </c>
    </row>
    <row r="21" spans="1:4" x14ac:dyDescent="0.3">
      <c r="A21" s="73">
        <v>43756</v>
      </c>
      <c r="B21" s="55" t="s">
        <v>162</v>
      </c>
      <c r="C21" s="55" t="s">
        <v>157</v>
      </c>
      <c r="D21" s="55">
        <v>4589</v>
      </c>
    </row>
    <row r="22" spans="1:4" x14ac:dyDescent="0.3">
      <c r="A22" s="73">
        <v>43757</v>
      </c>
      <c r="B22" s="55" t="s">
        <v>156</v>
      </c>
      <c r="C22" s="55" t="s">
        <v>163</v>
      </c>
      <c r="D22" s="55">
        <v>6325</v>
      </c>
    </row>
    <row r="23" spans="1:4" x14ac:dyDescent="0.3">
      <c r="A23" s="73">
        <v>43758</v>
      </c>
      <c r="B23" s="55" t="s">
        <v>162</v>
      </c>
      <c r="C23" s="55" t="s">
        <v>157</v>
      </c>
      <c r="D23" s="55">
        <v>1563</v>
      </c>
    </row>
  </sheetData>
  <mergeCells count="3">
    <mergeCell ref="A1:D2"/>
    <mergeCell ref="F1:H2"/>
    <mergeCell ref="J1:L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D17"/>
  <sheetViews>
    <sheetView workbookViewId="0">
      <selection activeCell="V16" sqref="V16"/>
    </sheetView>
  </sheetViews>
  <sheetFormatPr defaultColWidth="6.7109375" defaultRowHeight="18.75" x14ac:dyDescent="0.25"/>
  <cols>
    <col min="1" max="20" width="6.7109375" style="53"/>
    <col min="21" max="21" width="14.42578125" style="53" customWidth="1"/>
    <col min="22" max="22" width="13.85546875" style="53" customWidth="1"/>
    <col min="23" max="16384" width="6.7109375" style="53"/>
  </cols>
  <sheetData>
    <row r="1" spans="1:30" x14ac:dyDescent="0.25">
      <c r="E1" s="120" t="s">
        <v>173</v>
      </c>
      <c r="F1" s="120"/>
      <c r="G1" s="120"/>
      <c r="H1" s="120"/>
      <c r="I1" s="120"/>
      <c r="J1" s="120"/>
      <c r="K1" s="120"/>
      <c r="L1" s="120"/>
      <c r="M1" s="120"/>
      <c r="N1" s="120"/>
      <c r="U1" s="120" t="s">
        <v>174</v>
      </c>
      <c r="V1" s="120"/>
      <c r="W1" s="120"/>
      <c r="X1" s="120"/>
      <c r="Y1" s="120"/>
      <c r="Z1" s="120"/>
      <c r="AA1" s="120"/>
      <c r="AB1" s="52"/>
      <c r="AC1" s="52"/>
      <c r="AD1" s="52"/>
    </row>
    <row r="2" spans="1:30" x14ac:dyDescent="0.25">
      <c r="E2" s="120"/>
      <c r="F2" s="120"/>
      <c r="G2" s="120"/>
      <c r="H2" s="120"/>
      <c r="I2" s="120"/>
      <c r="J2" s="120"/>
      <c r="K2" s="120"/>
      <c r="L2" s="120"/>
      <c r="M2" s="120"/>
      <c r="N2" s="120"/>
      <c r="U2" s="120"/>
      <c r="V2" s="120"/>
      <c r="W2" s="120"/>
      <c r="X2" s="120"/>
      <c r="Y2" s="120"/>
      <c r="Z2" s="120"/>
      <c r="AA2" s="120"/>
      <c r="AB2" s="52"/>
      <c r="AC2" s="52"/>
      <c r="AD2" s="52"/>
    </row>
    <row r="3" spans="1:30" ht="19.5" thickBot="1" x14ac:dyDescent="0.3"/>
    <row r="4" spans="1:30" ht="19.5" thickBot="1" x14ac:dyDescent="0.3">
      <c r="A4" s="132" t="s">
        <v>171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4"/>
      <c r="U4" s="57" t="s">
        <v>175</v>
      </c>
      <c r="V4" s="62">
        <f>COUNTA(A5:S17)</f>
        <v>144</v>
      </c>
    </row>
    <row r="5" spans="1:30" x14ac:dyDescent="0.25">
      <c r="A5" s="63" t="s">
        <v>13</v>
      </c>
      <c r="B5" s="63" t="s">
        <v>13</v>
      </c>
      <c r="C5" s="63" t="s">
        <v>13</v>
      </c>
      <c r="D5" s="63" t="s">
        <v>13</v>
      </c>
      <c r="E5" s="63" t="s">
        <v>13</v>
      </c>
      <c r="F5" s="63" t="s">
        <v>13</v>
      </c>
      <c r="G5" s="63" t="s">
        <v>13</v>
      </c>
      <c r="H5" s="63" t="s">
        <v>13</v>
      </c>
      <c r="I5" s="63" t="s">
        <v>13</v>
      </c>
      <c r="J5" s="63" t="s">
        <v>13</v>
      </c>
      <c r="K5" s="63" t="s">
        <v>13</v>
      </c>
      <c r="L5" s="63" t="s">
        <v>13</v>
      </c>
      <c r="M5" s="63" t="s">
        <v>13</v>
      </c>
      <c r="N5" s="63" t="s">
        <v>13</v>
      </c>
      <c r="O5" s="63" t="s">
        <v>13</v>
      </c>
      <c r="P5" s="63" t="s">
        <v>13</v>
      </c>
      <c r="Q5" s="63" t="s">
        <v>13</v>
      </c>
      <c r="R5" s="63" t="s">
        <v>13</v>
      </c>
      <c r="S5" s="63" t="s">
        <v>13</v>
      </c>
      <c r="U5" s="57" t="s">
        <v>176</v>
      </c>
      <c r="V5" s="62" t="s">
        <v>402</v>
      </c>
    </row>
    <row r="6" spans="1:30" x14ac:dyDescent="0.25">
      <c r="A6" s="62" t="s">
        <v>172</v>
      </c>
      <c r="B6" s="62" t="s">
        <v>172</v>
      </c>
      <c r="C6" s="62" t="s">
        <v>172</v>
      </c>
      <c r="D6" s="62" t="s">
        <v>172</v>
      </c>
      <c r="E6" s="62"/>
      <c r="F6" s="62"/>
      <c r="G6" s="62"/>
      <c r="H6" s="62"/>
      <c r="I6" s="62" t="s">
        <v>172</v>
      </c>
      <c r="J6" s="62" t="s">
        <v>172</v>
      </c>
      <c r="K6" s="62" t="s">
        <v>172</v>
      </c>
      <c r="L6" s="62"/>
      <c r="M6" s="62"/>
      <c r="N6" s="62"/>
      <c r="O6" s="62"/>
      <c r="P6" s="62"/>
      <c r="Q6" s="62" t="s">
        <v>172</v>
      </c>
      <c r="R6" s="62" t="s">
        <v>172</v>
      </c>
      <c r="S6" s="62" t="s">
        <v>172</v>
      </c>
      <c r="U6" s="64"/>
      <c r="V6" s="62"/>
    </row>
    <row r="7" spans="1:30" x14ac:dyDescent="0.25">
      <c r="A7" s="62" t="s">
        <v>13</v>
      </c>
      <c r="B7" s="62" t="s">
        <v>13</v>
      </c>
      <c r="C7" s="62" t="s">
        <v>13</v>
      </c>
      <c r="D7" s="62" t="s">
        <v>13</v>
      </c>
      <c r="E7" s="62"/>
      <c r="F7" s="62" t="s">
        <v>13</v>
      </c>
      <c r="G7" s="62" t="s">
        <v>172</v>
      </c>
      <c r="H7" s="62"/>
      <c r="I7" s="62" t="s">
        <v>13</v>
      </c>
      <c r="J7" s="62" t="s">
        <v>13</v>
      </c>
      <c r="K7" s="62" t="s">
        <v>13</v>
      </c>
      <c r="L7" s="62"/>
      <c r="M7" s="62" t="s">
        <v>172</v>
      </c>
      <c r="N7" s="62"/>
      <c r="O7" s="62"/>
      <c r="P7" s="62"/>
      <c r="Q7" s="62" t="s">
        <v>13</v>
      </c>
      <c r="R7" s="62" t="s">
        <v>13</v>
      </c>
      <c r="S7" s="62" t="s">
        <v>13</v>
      </c>
      <c r="U7" s="57" t="s">
        <v>177</v>
      </c>
      <c r="V7" s="62">
        <f>COUNTIF(A5:S17,"M")</f>
        <v>60</v>
      </c>
    </row>
    <row r="8" spans="1:30" x14ac:dyDescent="0.25">
      <c r="A8" s="62" t="s">
        <v>172</v>
      </c>
      <c r="B8" s="62" t="s">
        <v>172</v>
      </c>
      <c r="C8" s="62" t="s">
        <v>172</v>
      </c>
      <c r="D8" s="62" t="s">
        <v>172</v>
      </c>
      <c r="E8" s="62"/>
      <c r="F8" s="62"/>
      <c r="G8" s="62"/>
      <c r="H8" s="62"/>
      <c r="I8" s="62" t="s">
        <v>172</v>
      </c>
      <c r="J8" s="62" t="s">
        <v>172</v>
      </c>
      <c r="K8" s="62" t="s">
        <v>172</v>
      </c>
      <c r="L8" s="62"/>
      <c r="M8" s="62" t="s">
        <v>13</v>
      </c>
      <c r="N8" s="62"/>
      <c r="O8" s="62" t="s">
        <v>172</v>
      </c>
      <c r="P8" s="62"/>
      <c r="Q8" s="62"/>
      <c r="R8" s="62" t="s">
        <v>172</v>
      </c>
      <c r="S8" s="62" t="s">
        <v>172</v>
      </c>
      <c r="U8" s="57" t="s">
        <v>178</v>
      </c>
      <c r="V8" s="62">
        <f>COUNTIF(A5:S17,"F")</f>
        <v>84</v>
      </c>
    </row>
    <row r="9" spans="1:30" x14ac:dyDescent="0.25">
      <c r="A9" s="62" t="s">
        <v>13</v>
      </c>
      <c r="B9" s="62" t="s">
        <v>13</v>
      </c>
      <c r="C9" s="62" t="s">
        <v>13</v>
      </c>
      <c r="D9" s="62" t="s">
        <v>13</v>
      </c>
      <c r="E9" s="62"/>
      <c r="F9" s="62"/>
      <c r="G9" s="62"/>
      <c r="H9" s="62"/>
      <c r="I9" s="62" t="s">
        <v>13</v>
      </c>
      <c r="J9" s="62"/>
      <c r="K9" s="62"/>
      <c r="L9" s="62"/>
      <c r="M9" s="62"/>
      <c r="N9" s="62"/>
      <c r="O9" s="62" t="s">
        <v>13</v>
      </c>
      <c r="P9" s="62"/>
      <c r="Q9" s="62"/>
      <c r="R9" s="62" t="s">
        <v>13</v>
      </c>
      <c r="S9" s="62" t="s">
        <v>13</v>
      </c>
      <c r="U9" s="65"/>
      <c r="V9" s="41"/>
    </row>
    <row r="10" spans="1:30" x14ac:dyDescent="0.25">
      <c r="A10" s="62" t="s">
        <v>13</v>
      </c>
      <c r="B10" s="62" t="s">
        <v>13</v>
      </c>
      <c r="C10" s="62" t="s">
        <v>13</v>
      </c>
      <c r="D10" s="62" t="s">
        <v>13</v>
      </c>
      <c r="E10" s="62" t="s">
        <v>13</v>
      </c>
      <c r="F10" s="62" t="s">
        <v>13</v>
      </c>
      <c r="G10" s="62" t="s">
        <v>13</v>
      </c>
      <c r="H10" s="62" t="s">
        <v>13</v>
      </c>
      <c r="I10" s="62" t="s">
        <v>13</v>
      </c>
      <c r="J10" s="62"/>
      <c r="K10" s="62"/>
      <c r="L10" s="62"/>
      <c r="M10" s="62"/>
      <c r="N10" s="62" t="s">
        <v>13</v>
      </c>
      <c r="O10" s="62" t="s">
        <v>13</v>
      </c>
      <c r="P10" s="62"/>
      <c r="Q10" s="62"/>
      <c r="R10" s="62" t="s">
        <v>13</v>
      </c>
      <c r="S10" s="62" t="s">
        <v>13</v>
      </c>
      <c r="U10" s="65"/>
      <c r="V10" s="41"/>
    </row>
    <row r="11" spans="1:30" x14ac:dyDescent="0.25">
      <c r="A11" s="62" t="s">
        <v>13</v>
      </c>
      <c r="B11" s="62" t="s">
        <v>13</v>
      </c>
      <c r="C11" s="62" t="s">
        <v>13</v>
      </c>
      <c r="D11" s="62" t="s">
        <v>13</v>
      </c>
      <c r="E11" s="62" t="s">
        <v>13</v>
      </c>
      <c r="F11" s="62" t="s">
        <v>13</v>
      </c>
      <c r="G11" s="62" t="s">
        <v>13</v>
      </c>
      <c r="H11" s="62" t="s">
        <v>13</v>
      </c>
      <c r="I11" s="62" t="s">
        <v>13</v>
      </c>
      <c r="J11" s="62"/>
      <c r="K11" s="62"/>
      <c r="L11" s="62"/>
      <c r="M11" s="62"/>
      <c r="N11" s="62" t="s">
        <v>13</v>
      </c>
      <c r="O11" s="62" t="s">
        <v>13</v>
      </c>
      <c r="P11" s="62"/>
      <c r="Q11" s="62"/>
      <c r="R11" s="62" t="s">
        <v>13</v>
      </c>
      <c r="S11" s="62" t="s">
        <v>13</v>
      </c>
      <c r="U11" s="65"/>
      <c r="V11" s="41"/>
    </row>
    <row r="12" spans="1:30" x14ac:dyDescent="0.25">
      <c r="A12" s="62" t="s">
        <v>13</v>
      </c>
      <c r="B12" s="62" t="s">
        <v>13</v>
      </c>
      <c r="C12" s="62" t="s">
        <v>13</v>
      </c>
      <c r="D12" s="62" t="s">
        <v>13</v>
      </c>
      <c r="E12" s="62" t="s">
        <v>13</v>
      </c>
      <c r="F12" s="62" t="s">
        <v>13</v>
      </c>
      <c r="G12" s="62" t="s">
        <v>13</v>
      </c>
      <c r="H12" s="62" t="s">
        <v>13</v>
      </c>
      <c r="I12" s="62" t="s">
        <v>13</v>
      </c>
      <c r="J12" s="62" t="s">
        <v>13</v>
      </c>
      <c r="K12" s="62" t="s">
        <v>13</v>
      </c>
      <c r="L12" s="62" t="s">
        <v>13</v>
      </c>
      <c r="M12" s="62" t="s">
        <v>13</v>
      </c>
      <c r="N12" s="62" t="s">
        <v>13</v>
      </c>
      <c r="O12" s="62" t="s">
        <v>13</v>
      </c>
      <c r="P12" s="62"/>
      <c r="Q12" s="62"/>
      <c r="R12" s="62" t="s">
        <v>13</v>
      </c>
      <c r="S12" s="62" t="s">
        <v>13</v>
      </c>
      <c r="U12" s="126" t="s">
        <v>333</v>
      </c>
      <c r="V12" s="126"/>
    </row>
    <row r="13" spans="1:30" x14ac:dyDescent="0.25">
      <c r="A13" s="62" t="s">
        <v>172</v>
      </c>
      <c r="B13" s="62" t="s">
        <v>172</v>
      </c>
      <c r="C13" s="62"/>
      <c r="D13" s="62"/>
      <c r="E13" s="62"/>
      <c r="F13" s="62"/>
      <c r="G13" s="62"/>
      <c r="H13" s="62"/>
      <c r="I13" s="62"/>
      <c r="J13" s="62" t="s">
        <v>172</v>
      </c>
      <c r="K13" s="62" t="s">
        <v>172</v>
      </c>
      <c r="L13" s="62" t="s">
        <v>172</v>
      </c>
      <c r="M13" s="62" t="s">
        <v>172</v>
      </c>
      <c r="N13" s="62" t="s">
        <v>172</v>
      </c>
      <c r="O13" s="62" t="s">
        <v>172</v>
      </c>
      <c r="P13" s="62"/>
      <c r="Q13" s="62"/>
      <c r="R13" s="62" t="s">
        <v>172</v>
      </c>
      <c r="S13" s="62" t="s">
        <v>172</v>
      </c>
      <c r="U13" s="57" t="s">
        <v>175</v>
      </c>
      <c r="V13" s="62">
        <f>COUNTA(A5:S17)</f>
        <v>144</v>
      </c>
    </row>
    <row r="14" spans="1:30" x14ac:dyDescent="0.25">
      <c r="A14" s="62" t="s">
        <v>172</v>
      </c>
      <c r="B14" s="62" t="s">
        <v>172</v>
      </c>
      <c r="C14" s="62"/>
      <c r="D14" s="62"/>
      <c r="E14" s="64" t="s">
        <v>172</v>
      </c>
      <c r="F14" s="64" t="s">
        <v>13</v>
      </c>
      <c r="G14" s="64"/>
      <c r="H14" s="62"/>
      <c r="I14" s="62"/>
      <c r="J14" s="62" t="s">
        <v>172</v>
      </c>
      <c r="K14" s="62" t="s">
        <v>172</v>
      </c>
      <c r="L14" s="62"/>
      <c r="M14" s="62"/>
      <c r="N14" s="62"/>
      <c r="O14" s="62"/>
      <c r="P14" s="62"/>
      <c r="Q14" s="62"/>
      <c r="R14" s="62" t="s">
        <v>172</v>
      </c>
      <c r="S14" s="62" t="s">
        <v>172</v>
      </c>
      <c r="U14" s="57" t="s">
        <v>176</v>
      </c>
      <c r="V14" s="62">
        <f>COUNTBLANK(A5:S17)</f>
        <v>103</v>
      </c>
    </row>
    <row r="15" spans="1:30" x14ac:dyDescent="0.25">
      <c r="A15" s="62" t="s">
        <v>172</v>
      </c>
      <c r="B15" s="62" t="s">
        <v>172</v>
      </c>
      <c r="C15" s="62"/>
      <c r="D15" s="62"/>
      <c r="E15" s="64"/>
      <c r="F15" s="64"/>
      <c r="G15" s="64"/>
      <c r="H15" s="62"/>
      <c r="I15" s="62"/>
      <c r="J15" s="62" t="s">
        <v>172</v>
      </c>
      <c r="K15" s="62" t="s">
        <v>172</v>
      </c>
      <c r="L15" s="62"/>
      <c r="M15" s="62"/>
      <c r="N15" s="62"/>
      <c r="O15" s="62"/>
      <c r="P15" s="62" t="s">
        <v>172</v>
      </c>
      <c r="Q15" s="62" t="s">
        <v>13</v>
      </c>
      <c r="R15" s="62" t="s">
        <v>172</v>
      </c>
      <c r="S15" s="62" t="s">
        <v>172</v>
      </c>
      <c r="U15" s="64"/>
      <c r="V15" s="62"/>
    </row>
    <row r="16" spans="1:30" x14ac:dyDescent="0.25">
      <c r="A16" s="62" t="s">
        <v>172</v>
      </c>
      <c r="B16" s="62" t="s">
        <v>172</v>
      </c>
      <c r="C16" s="62"/>
      <c r="D16" s="62"/>
      <c r="E16" s="64"/>
      <c r="F16" s="64"/>
      <c r="G16" s="64"/>
      <c r="H16" s="62"/>
      <c r="I16" s="62"/>
      <c r="J16" s="62" t="s">
        <v>172</v>
      </c>
      <c r="K16" s="62" t="s">
        <v>172</v>
      </c>
      <c r="L16" s="62"/>
      <c r="M16" s="62"/>
      <c r="N16" s="62"/>
      <c r="O16" s="62"/>
      <c r="P16" s="62"/>
      <c r="Q16" s="62"/>
      <c r="R16" s="62" t="s">
        <v>172</v>
      </c>
      <c r="S16" s="62" t="s">
        <v>172</v>
      </c>
      <c r="U16" s="57" t="s">
        <v>177</v>
      </c>
      <c r="V16" s="62">
        <f>COUNTIF(A5:S17,"M")</f>
        <v>60</v>
      </c>
    </row>
    <row r="17" spans="1:22" x14ac:dyDescent="0.25">
      <c r="A17" s="62" t="s">
        <v>172</v>
      </c>
      <c r="B17" s="62" t="s">
        <v>172</v>
      </c>
      <c r="C17" s="62"/>
      <c r="D17" s="62"/>
      <c r="E17" s="64"/>
      <c r="F17" s="64"/>
      <c r="G17" s="64"/>
      <c r="H17" s="62"/>
      <c r="I17" s="62"/>
      <c r="J17" s="62" t="s">
        <v>172</v>
      </c>
      <c r="K17" s="62" t="s">
        <v>172</v>
      </c>
      <c r="L17" s="62"/>
      <c r="M17" s="62"/>
      <c r="N17" s="62" t="s">
        <v>172</v>
      </c>
      <c r="O17" s="62" t="s">
        <v>172</v>
      </c>
      <c r="P17" s="62"/>
      <c r="Q17" s="62"/>
      <c r="R17" s="62" t="s">
        <v>172</v>
      </c>
      <c r="S17" s="62" t="s">
        <v>172</v>
      </c>
      <c r="U17" s="57" t="s">
        <v>178</v>
      </c>
      <c r="V17" s="62">
        <f>COUNTIF(A5:S17,"F")</f>
        <v>84</v>
      </c>
    </row>
  </sheetData>
  <mergeCells count="4">
    <mergeCell ref="A4:S4"/>
    <mergeCell ref="E1:N2"/>
    <mergeCell ref="U1:AA2"/>
    <mergeCell ref="U12:V12"/>
  </mergeCells>
  <conditionalFormatting sqref="A5:S17">
    <cfRule type="cellIs" dxfId="10" priority="2" operator="equal">
      <formula>"M"</formula>
    </cfRule>
    <cfRule type="cellIs" dxfId="9" priority="3" operator="equal">
      <formula>"F"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24"/>
  <sheetViews>
    <sheetView workbookViewId="0">
      <selection activeCell="H14" sqref="H14"/>
    </sheetView>
  </sheetViews>
  <sheetFormatPr defaultColWidth="8.85546875" defaultRowHeight="18.75" x14ac:dyDescent="0.3"/>
  <cols>
    <col min="1" max="1" width="13.28515625" style="4" bestFit="1" customWidth="1"/>
    <col min="2" max="2" width="17.5703125" style="4" bestFit="1" customWidth="1"/>
    <col min="3" max="3" width="13.85546875" style="4" bestFit="1" customWidth="1"/>
    <col min="4" max="4" width="13.28515625" style="4" customWidth="1"/>
    <col min="5" max="5" width="8.85546875" style="4"/>
    <col min="6" max="6" width="17.5703125" style="4" bestFit="1" customWidth="1"/>
    <col min="7" max="7" width="11.140625" style="4" customWidth="1"/>
    <col min="8" max="8" width="13.42578125" style="4" customWidth="1"/>
    <col min="9" max="9" width="17.5703125" style="4" bestFit="1" customWidth="1"/>
    <col min="10" max="10" width="14.5703125" style="4" customWidth="1"/>
    <col min="11" max="16384" width="8.85546875" style="4"/>
  </cols>
  <sheetData>
    <row r="1" spans="1:10" x14ac:dyDescent="0.3">
      <c r="A1" s="130" t="s">
        <v>181</v>
      </c>
      <c r="B1" s="130"/>
      <c r="C1" s="130"/>
      <c r="D1" s="130"/>
      <c r="F1" s="120" t="s">
        <v>182</v>
      </c>
      <c r="G1" s="120"/>
      <c r="H1" s="120"/>
      <c r="I1" s="121" t="s">
        <v>333</v>
      </c>
      <c r="J1" s="121"/>
    </row>
    <row r="2" spans="1:10" x14ac:dyDescent="0.3">
      <c r="A2" s="130"/>
      <c r="B2" s="130"/>
      <c r="C2" s="130"/>
      <c r="D2" s="130"/>
      <c r="F2" s="120"/>
      <c r="G2" s="120"/>
      <c r="H2" s="120"/>
      <c r="I2" s="121"/>
      <c r="J2" s="121"/>
    </row>
    <row r="3" spans="1:10" x14ac:dyDescent="0.3">
      <c r="A3" s="26"/>
      <c r="B3" s="26">
        <v>1</v>
      </c>
      <c r="C3" s="26"/>
      <c r="D3" s="26">
        <v>3</v>
      </c>
    </row>
    <row r="4" spans="1:10" x14ac:dyDescent="0.3">
      <c r="A4" s="56" t="s">
        <v>153</v>
      </c>
      <c r="B4" s="56" t="s">
        <v>154</v>
      </c>
      <c r="C4" s="56" t="s">
        <v>155</v>
      </c>
      <c r="D4" s="56" t="s">
        <v>108</v>
      </c>
      <c r="F4" s="56" t="s">
        <v>154</v>
      </c>
      <c r="G4" s="56" t="s">
        <v>108</v>
      </c>
      <c r="H4" s="34"/>
      <c r="I4" s="56" t="s">
        <v>154</v>
      </c>
      <c r="J4" s="56" t="s">
        <v>108</v>
      </c>
    </row>
    <row r="5" spans="1:10" x14ac:dyDescent="0.3">
      <c r="A5" s="73">
        <v>43739</v>
      </c>
      <c r="B5" s="55" t="s">
        <v>156</v>
      </c>
      <c r="C5" s="55" t="s">
        <v>157</v>
      </c>
      <c r="D5" s="55">
        <v>5000</v>
      </c>
      <c r="E5" s="66">
        <v>2</v>
      </c>
      <c r="F5" s="55" t="s">
        <v>156</v>
      </c>
      <c r="G5" s="55">
        <f>AVERAGEIF($B$5:$B$24,$F5,$D$5:$D$24)</f>
        <v>3928.8333333333335</v>
      </c>
      <c r="I5" s="55" t="s">
        <v>156</v>
      </c>
      <c r="J5" s="55">
        <f>AVERAGEIF($B$5:$B$24,$I5,$D$5:$D$24)</f>
        <v>3928.8333333333335</v>
      </c>
    </row>
    <row r="6" spans="1:10" x14ac:dyDescent="0.3">
      <c r="A6" s="73">
        <v>43740</v>
      </c>
      <c r="B6" s="55" t="s">
        <v>158</v>
      </c>
      <c r="C6" s="55" t="s">
        <v>159</v>
      </c>
      <c r="D6" s="55">
        <v>6000</v>
      </c>
      <c r="F6" s="55" t="s">
        <v>158</v>
      </c>
      <c r="G6" s="55">
        <f t="shared" ref="G6:G8" si="0">AVERAGEIF($B$5:$B$24,$F6,$D$5:$D$24)</f>
        <v>4171.2</v>
      </c>
      <c r="I6" s="55" t="s">
        <v>158</v>
      </c>
      <c r="J6" s="55">
        <f t="shared" ref="J6:J8" si="1">AVERAGEIF($B$5:$B$24,$I6,$D$5:$D$24)</f>
        <v>4171.2</v>
      </c>
    </row>
    <row r="7" spans="1:10" x14ac:dyDescent="0.3">
      <c r="A7" s="73">
        <v>43741</v>
      </c>
      <c r="B7" s="55" t="s">
        <v>156</v>
      </c>
      <c r="C7" s="55" t="s">
        <v>157</v>
      </c>
      <c r="D7" s="55">
        <v>4500</v>
      </c>
      <c r="F7" s="55" t="s">
        <v>160</v>
      </c>
      <c r="G7" s="55">
        <f t="shared" si="0"/>
        <v>3497.8</v>
      </c>
      <c r="I7" s="55" t="s">
        <v>160</v>
      </c>
      <c r="J7" s="55">
        <f t="shared" si="1"/>
        <v>3497.8</v>
      </c>
    </row>
    <row r="8" spans="1:10" x14ac:dyDescent="0.3">
      <c r="A8" s="73">
        <v>43742</v>
      </c>
      <c r="B8" s="55" t="s">
        <v>158</v>
      </c>
      <c r="C8" s="55" t="s">
        <v>157</v>
      </c>
      <c r="D8" s="55">
        <v>6500</v>
      </c>
      <c r="F8" s="55" t="s">
        <v>162</v>
      </c>
      <c r="G8" s="55">
        <f t="shared" si="0"/>
        <v>1956.75</v>
      </c>
      <c r="I8" s="55" t="s">
        <v>162</v>
      </c>
      <c r="J8" s="55">
        <f t="shared" si="1"/>
        <v>1956.75</v>
      </c>
    </row>
    <row r="9" spans="1:10" x14ac:dyDescent="0.3">
      <c r="A9" s="73">
        <v>43743</v>
      </c>
      <c r="B9" s="55" t="s">
        <v>156</v>
      </c>
      <c r="C9" s="55" t="s">
        <v>159</v>
      </c>
      <c r="D9" s="55">
        <v>4500</v>
      </c>
    </row>
    <row r="10" spans="1:10" x14ac:dyDescent="0.3">
      <c r="A10" s="73">
        <v>43744</v>
      </c>
      <c r="B10" s="55" t="s">
        <v>160</v>
      </c>
      <c r="C10" s="55" t="s">
        <v>157</v>
      </c>
      <c r="D10" s="55">
        <v>6000</v>
      </c>
    </row>
    <row r="11" spans="1:10" x14ac:dyDescent="0.3">
      <c r="A11" s="73">
        <v>43745</v>
      </c>
      <c r="B11" s="55" t="s">
        <v>158</v>
      </c>
      <c r="C11" s="55" t="s">
        <v>159</v>
      </c>
      <c r="D11" s="55">
        <v>4500</v>
      </c>
    </row>
    <row r="12" spans="1:10" x14ac:dyDescent="0.3">
      <c r="A12" s="73">
        <v>43746</v>
      </c>
      <c r="B12" s="55" t="s">
        <v>158</v>
      </c>
      <c r="C12" s="55" t="s">
        <v>159</v>
      </c>
      <c r="D12" s="55">
        <v>600</v>
      </c>
    </row>
    <row r="13" spans="1:10" x14ac:dyDescent="0.3">
      <c r="A13" s="73">
        <v>43747</v>
      </c>
      <c r="B13" s="55" t="s">
        <v>160</v>
      </c>
      <c r="C13" s="55" t="s">
        <v>157</v>
      </c>
      <c r="D13" s="55">
        <v>1500</v>
      </c>
    </row>
    <row r="14" spans="1:10" x14ac:dyDescent="0.3">
      <c r="A14" s="73">
        <v>43748</v>
      </c>
      <c r="B14" s="55" t="s">
        <v>160</v>
      </c>
      <c r="C14" s="55" t="s">
        <v>157</v>
      </c>
      <c r="D14" s="55">
        <v>1450</v>
      </c>
    </row>
    <row r="15" spans="1:10" x14ac:dyDescent="0.3">
      <c r="A15" s="73">
        <v>43749</v>
      </c>
      <c r="B15" s="55" t="s">
        <v>156</v>
      </c>
      <c r="C15" s="55" t="s">
        <v>159</v>
      </c>
      <c r="D15" s="55">
        <v>650</v>
      </c>
    </row>
    <row r="16" spans="1:10" x14ac:dyDescent="0.3">
      <c r="A16" s="73">
        <v>43750</v>
      </c>
      <c r="B16" s="55" t="s">
        <v>160</v>
      </c>
      <c r="C16" s="55" t="s">
        <v>157</v>
      </c>
      <c r="D16" s="55">
        <v>2560</v>
      </c>
    </row>
    <row r="17" spans="1:4" x14ac:dyDescent="0.3">
      <c r="A17" s="73">
        <v>43751</v>
      </c>
      <c r="B17" s="55" t="s">
        <v>162</v>
      </c>
      <c r="C17" s="55" t="s">
        <v>157</v>
      </c>
      <c r="D17" s="55">
        <v>1215</v>
      </c>
    </row>
    <row r="18" spans="1:4" x14ac:dyDescent="0.3">
      <c r="A18" s="73">
        <v>43752</v>
      </c>
      <c r="B18" s="55" t="s">
        <v>156</v>
      </c>
      <c r="C18" s="55" t="s">
        <v>159</v>
      </c>
      <c r="D18" s="55">
        <v>2598</v>
      </c>
    </row>
    <row r="19" spans="1:4" x14ac:dyDescent="0.3">
      <c r="A19" s="73">
        <v>43753</v>
      </c>
      <c r="B19" s="55" t="s">
        <v>158</v>
      </c>
      <c r="C19" s="55" t="s">
        <v>157</v>
      </c>
      <c r="D19" s="55">
        <v>3256</v>
      </c>
    </row>
    <row r="20" spans="1:4" x14ac:dyDescent="0.3">
      <c r="A20" s="73">
        <v>43754</v>
      </c>
      <c r="B20" s="55" t="s">
        <v>162</v>
      </c>
      <c r="C20" s="55" t="s">
        <v>159</v>
      </c>
      <c r="D20" s="55">
        <v>460</v>
      </c>
    </row>
    <row r="21" spans="1:4" x14ac:dyDescent="0.3">
      <c r="A21" s="73">
        <v>43755</v>
      </c>
      <c r="B21" s="55" t="s">
        <v>160</v>
      </c>
      <c r="C21" s="55" t="s">
        <v>157</v>
      </c>
      <c r="D21" s="55">
        <v>5979</v>
      </c>
    </row>
    <row r="22" spans="1:4" x14ac:dyDescent="0.3">
      <c r="A22" s="73">
        <v>43756</v>
      </c>
      <c r="B22" s="55" t="s">
        <v>162</v>
      </c>
      <c r="C22" s="55" t="s">
        <v>157</v>
      </c>
      <c r="D22" s="55">
        <v>4589</v>
      </c>
    </row>
    <row r="23" spans="1:4" x14ac:dyDescent="0.3">
      <c r="A23" s="73">
        <v>43757</v>
      </c>
      <c r="B23" s="55" t="s">
        <v>156</v>
      </c>
      <c r="C23" s="55" t="s">
        <v>163</v>
      </c>
      <c r="D23" s="55">
        <v>6325</v>
      </c>
    </row>
    <row r="24" spans="1:4" x14ac:dyDescent="0.3">
      <c r="A24" s="73">
        <v>43758</v>
      </c>
      <c r="B24" s="55" t="s">
        <v>162</v>
      </c>
      <c r="C24" s="55" t="s">
        <v>157</v>
      </c>
      <c r="D24" s="55">
        <v>1563</v>
      </c>
    </row>
  </sheetData>
  <mergeCells count="3">
    <mergeCell ref="A1:D2"/>
    <mergeCell ref="F1:H2"/>
    <mergeCell ref="I1:J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L24"/>
  <sheetViews>
    <sheetView workbookViewId="0">
      <selection activeCell="G11" sqref="G11"/>
    </sheetView>
  </sheetViews>
  <sheetFormatPr defaultColWidth="8.85546875" defaultRowHeight="18.75" x14ac:dyDescent="0.3"/>
  <cols>
    <col min="1" max="1" width="13.28515625" style="1" bestFit="1" customWidth="1"/>
    <col min="2" max="2" width="17.5703125" style="1" bestFit="1" customWidth="1"/>
    <col min="3" max="3" width="13.85546875" style="1" bestFit="1" customWidth="1"/>
    <col min="4" max="4" width="12.5703125" style="1" customWidth="1"/>
    <col min="5" max="5" width="8.85546875" style="1"/>
    <col min="6" max="6" width="17.5703125" style="1" bestFit="1" customWidth="1"/>
    <col min="7" max="7" width="11.140625" style="1" customWidth="1"/>
    <col min="8" max="8" width="10.7109375" style="1" customWidth="1"/>
    <col min="9" max="9" width="8.85546875" style="1"/>
    <col min="10" max="10" width="17.5703125" style="1" bestFit="1" customWidth="1"/>
    <col min="11" max="11" width="11.28515625" style="1" customWidth="1"/>
    <col min="12" max="12" width="11.7109375" style="1" customWidth="1"/>
    <col min="13" max="16384" width="8.85546875" style="1"/>
  </cols>
  <sheetData>
    <row r="1" spans="1:12" x14ac:dyDescent="0.3">
      <c r="A1" s="130" t="s">
        <v>183</v>
      </c>
      <c r="B1" s="130"/>
      <c r="C1" s="130"/>
      <c r="D1" s="130"/>
      <c r="F1" s="120" t="s">
        <v>184</v>
      </c>
      <c r="G1" s="120"/>
      <c r="H1" s="120"/>
      <c r="J1" s="121" t="s">
        <v>333</v>
      </c>
      <c r="K1" s="121"/>
      <c r="L1" s="121"/>
    </row>
    <row r="2" spans="1:12" x14ac:dyDescent="0.3">
      <c r="A2" s="130"/>
      <c r="B2" s="130"/>
      <c r="C2" s="130"/>
      <c r="D2" s="130"/>
      <c r="F2" s="120"/>
      <c r="G2" s="120"/>
      <c r="H2" s="120"/>
      <c r="J2" s="121"/>
      <c r="K2" s="121"/>
      <c r="L2" s="121"/>
    </row>
    <row r="3" spans="1:12" x14ac:dyDescent="0.3">
      <c r="A3" s="26"/>
      <c r="B3" s="26"/>
      <c r="C3" s="26"/>
      <c r="D3" s="26"/>
    </row>
    <row r="4" spans="1:12" x14ac:dyDescent="0.3">
      <c r="A4" s="56" t="s">
        <v>153</v>
      </c>
      <c r="B4" s="56" t="s">
        <v>154</v>
      </c>
      <c r="C4" s="56" t="s">
        <v>155</v>
      </c>
      <c r="D4" s="56" t="s">
        <v>108</v>
      </c>
      <c r="F4" s="56" t="s">
        <v>154</v>
      </c>
      <c r="G4" s="56" t="s">
        <v>157</v>
      </c>
      <c r="H4" s="56" t="s">
        <v>159</v>
      </c>
      <c r="J4" s="56" t="s">
        <v>154</v>
      </c>
      <c r="K4" s="56" t="s">
        <v>157</v>
      </c>
      <c r="L4" s="56" t="s">
        <v>159</v>
      </c>
    </row>
    <row r="5" spans="1:12" x14ac:dyDescent="0.3">
      <c r="A5" s="73">
        <v>43739</v>
      </c>
      <c r="B5" s="55" t="s">
        <v>156</v>
      </c>
      <c r="C5" s="55" t="s">
        <v>157</v>
      </c>
      <c r="D5" s="55">
        <v>5000</v>
      </c>
      <c r="F5" s="55" t="s">
        <v>156</v>
      </c>
      <c r="G5" s="29">
        <f>AVERAGEIFS($D$5:$D$24,$B$5:$B$24,$F5,$C$5:$C$24,G$4)</f>
        <v>4750</v>
      </c>
      <c r="H5" s="29">
        <f>AVERAGEIFS($D$5:$D$24,$B$5:$B$24,$F5,$C$5:$C$24,H$4)</f>
        <v>2582.6666666666665</v>
      </c>
      <c r="J5" s="55" t="s">
        <v>156</v>
      </c>
      <c r="K5" s="29">
        <f>AVERAGEIFS($D$5:$D$24,$B$5:$B$24,$J5,$C$5:$C$24,K$4)</f>
        <v>4750</v>
      </c>
      <c r="L5" s="29">
        <f>AVERAGEIFS($D$5:$D$24,$B$5:$B$24,$J5,$C$5:$C$24,L$4)</f>
        <v>2582.6666666666665</v>
      </c>
    </row>
    <row r="6" spans="1:12" x14ac:dyDescent="0.3">
      <c r="A6" s="73">
        <v>43740</v>
      </c>
      <c r="B6" s="55" t="s">
        <v>158</v>
      </c>
      <c r="C6" s="55" t="s">
        <v>159</v>
      </c>
      <c r="D6" s="55">
        <v>6000</v>
      </c>
      <c r="F6" s="55" t="s">
        <v>158</v>
      </c>
      <c r="G6" s="29">
        <f t="shared" ref="G6:H8" si="0">AVERAGEIFS($D$5:$D$24,$B$5:$B$24,$F6,$C$5:$C$24,G$4)</f>
        <v>4878</v>
      </c>
      <c r="H6" s="29">
        <f t="shared" si="0"/>
        <v>3700</v>
      </c>
      <c r="J6" s="55" t="s">
        <v>158</v>
      </c>
      <c r="K6" s="29">
        <f t="shared" ref="K6:L8" si="1">AVERAGEIFS($D$5:$D$24,$B$5:$B$24,$J6,$C$5:$C$24,K$4)</f>
        <v>4878</v>
      </c>
      <c r="L6" s="29">
        <f t="shared" si="1"/>
        <v>3700</v>
      </c>
    </row>
    <row r="7" spans="1:12" x14ac:dyDescent="0.3">
      <c r="A7" s="73">
        <v>43741</v>
      </c>
      <c r="B7" s="55" t="s">
        <v>156</v>
      </c>
      <c r="C7" s="55" t="s">
        <v>157</v>
      </c>
      <c r="D7" s="55">
        <v>4500</v>
      </c>
      <c r="F7" s="55" t="s">
        <v>160</v>
      </c>
      <c r="G7" s="29">
        <f t="shared" si="0"/>
        <v>3497.8</v>
      </c>
      <c r="H7" s="29" t="e">
        <f t="shared" si="0"/>
        <v>#DIV/0!</v>
      </c>
      <c r="J7" s="55" t="s">
        <v>160</v>
      </c>
      <c r="K7" s="29">
        <f t="shared" si="1"/>
        <v>3497.8</v>
      </c>
      <c r="L7" s="29" t="e">
        <f t="shared" si="1"/>
        <v>#DIV/0!</v>
      </c>
    </row>
    <row r="8" spans="1:12" x14ac:dyDescent="0.3">
      <c r="A8" s="73">
        <v>43742</v>
      </c>
      <c r="B8" s="55" t="s">
        <v>158</v>
      </c>
      <c r="C8" s="55" t="s">
        <v>157</v>
      </c>
      <c r="D8" s="55">
        <v>6500</v>
      </c>
      <c r="F8" s="55" t="s">
        <v>162</v>
      </c>
      <c r="G8" s="29">
        <f t="shared" si="0"/>
        <v>2455.6666666666665</v>
      </c>
      <c r="H8" s="29">
        <f t="shared" si="0"/>
        <v>460</v>
      </c>
      <c r="J8" s="55" t="s">
        <v>162</v>
      </c>
      <c r="K8" s="29">
        <f t="shared" si="1"/>
        <v>2455.6666666666665</v>
      </c>
      <c r="L8" s="29">
        <f t="shared" si="1"/>
        <v>460</v>
      </c>
    </row>
    <row r="9" spans="1:12" x14ac:dyDescent="0.3">
      <c r="A9" s="73">
        <v>43743</v>
      </c>
      <c r="B9" s="55" t="s">
        <v>156</v>
      </c>
      <c r="C9" s="55" t="s">
        <v>159</v>
      </c>
      <c r="D9" s="55">
        <v>4500</v>
      </c>
    </row>
    <row r="10" spans="1:12" x14ac:dyDescent="0.3">
      <c r="A10" s="73">
        <v>43744</v>
      </c>
      <c r="B10" s="55" t="s">
        <v>160</v>
      </c>
      <c r="C10" s="55" t="s">
        <v>157</v>
      </c>
      <c r="D10" s="55">
        <v>6000</v>
      </c>
    </row>
    <row r="11" spans="1:12" x14ac:dyDescent="0.3">
      <c r="A11" s="73">
        <v>43745</v>
      </c>
      <c r="B11" s="55" t="s">
        <v>158</v>
      </c>
      <c r="C11" s="55" t="s">
        <v>159</v>
      </c>
      <c r="D11" s="55">
        <v>4500</v>
      </c>
    </row>
    <row r="12" spans="1:12" x14ac:dyDescent="0.3">
      <c r="A12" s="73">
        <v>43746</v>
      </c>
      <c r="B12" s="55" t="s">
        <v>158</v>
      </c>
      <c r="C12" s="55" t="s">
        <v>159</v>
      </c>
      <c r="D12" s="55">
        <v>600</v>
      </c>
    </row>
    <row r="13" spans="1:12" x14ac:dyDescent="0.3">
      <c r="A13" s="73">
        <v>43747</v>
      </c>
      <c r="B13" s="55" t="s">
        <v>160</v>
      </c>
      <c r="C13" s="55" t="s">
        <v>157</v>
      </c>
      <c r="D13" s="55">
        <v>1500</v>
      </c>
    </row>
    <row r="14" spans="1:12" x14ac:dyDescent="0.3">
      <c r="A14" s="73">
        <v>43748</v>
      </c>
      <c r="B14" s="55" t="s">
        <v>160</v>
      </c>
      <c r="C14" s="55" t="s">
        <v>157</v>
      </c>
      <c r="D14" s="55">
        <v>1450</v>
      </c>
    </row>
    <row r="15" spans="1:12" x14ac:dyDescent="0.3">
      <c r="A15" s="73">
        <v>43749</v>
      </c>
      <c r="B15" s="55" t="s">
        <v>156</v>
      </c>
      <c r="C15" s="55" t="s">
        <v>159</v>
      </c>
      <c r="D15" s="55">
        <v>650</v>
      </c>
    </row>
    <row r="16" spans="1:12" x14ac:dyDescent="0.3">
      <c r="A16" s="73">
        <v>43750</v>
      </c>
      <c r="B16" s="55" t="s">
        <v>160</v>
      </c>
      <c r="C16" s="55" t="s">
        <v>157</v>
      </c>
      <c r="D16" s="55">
        <v>2560</v>
      </c>
    </row>
    <row r="17" spans="1:4" x14ac:dyDescent="0.3">
      <c r="A17" s="73">
        <v>43751</v>
      </c>
      <c r="B17" s="55" t="s">
        <v>162</v>
      </c>
      <c r="C17" s="55" t="s">
        <v>157</v>
      </c>
      <c r="D17" s="55">
        <v>1215</v>
      </c>
    </row>
    <row r="18" spans="1:4" x14ac:dyDescent="0.3">
      <c r="A18" s="73">
        <v>43752</v>
      </c>
      <c r="B18" s="55" t="s">
        <v>156</v>
      </c>
      <c r="C18" s="55" t="s">
        <v>159</v>
      </c>
      <c r="D18" s="55">
        <v>2598</v>
      </c>
    </row>
    <row r="19" spans="1:4" x14ac:dyDescent="0.3">
      <c r="A19" s="73">
        <v>43753</v>
      </c>
      <c r="B19" s="55" t="s">
        <v>158</v>
      </c>
      <c r="C19" s="55" t="s">
        <v>157</v>
      </c>
      <c r="D19" s="55">
        <v>3256</v>
      </c>
    </row>
    <row r="20" spans="1:4" x14ac:dyDescent="0.3">
      <c r="A20" s="73">
        <v>43754</v>
      </c>
      <c r="B20" s="55" t="s">
        <v>162</v>
      </c>
      <c r="C20" s="55" t="s">
        <v>159</v>
      </c>
      <c r="D20" s="55">
        <v>460</v>
      </c>
    </row>
    <row r="21" spans="1:4" x14ac:dyDescent="0.3">
      <c r="A21" s="73">
        <v>43755</v>
      </c>
      <c r="B21" s="55" t="s">
        <v>160</v>
      </c>
      <c r="C21" s="55" t="s">
        <v>157</v>
      </c>
      <c r="D21" s="55">
        <v>5979</v>
      </c>
    </row>
    <row r="22" spans="1:4" x14ac:dyDescent="0.3">
      <c r="A22" s="73">
        <v>43756</v>
      </c>
      <c r="B22" s="55" t="s">
        <v>162</v>
      </c>
      <c r="C22" s="55" t="s">
        <v>157</v>
      </c>
      <c r="D22" s="55">
        <v>4589</v>
      </c>
    </row>
    <row r="23" spans="1:4" x14ac:dyDescent="0.3">
      <c r="A23" s="73">
        <v>43757</v>
      </c>
      <c r="B23" s="55" t="s">
        <v>156</v>
      </c>
      <c r="C23" s="55" t="s">
        <v>163</v>
      </c>
      <c r="D23" s="55">
        <v>6325</v>
      </c>
    </row>
    <row r="24" spans="1:4" x14ac:dyDescent="0.3">
      <c r="A24" s="73">
        <v>43758</v>
      </c>
      <c r="B24" s="55" t="s">
        <v>162</v>
      </c>
      <c r="C24" s="55" t="s">
        <v>157</v>
      </c>
      <c r="D24" s="55">
        <v>1563</v>
      </c>
    </row>
  </sheetData>
  <mergeCells count="3">
    <mergeCell ref="A1:D2"/>
    <mergeCell ref="F1:H2"/>
    <mergeCell ref="J1:L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24"/>
  <sheetViews>
    <sheetView workbookViewId="0">
      <selection activeCell="F11" sqref="F11"/>
    </sheetView>
  </sheetViews>
  <sheetFormatPr defaultColWidth="8.85546875" defaultRowHeight="18.75" x14ac:dyDescent="0.3"/>
  <cols>
    <col min="1" max="1" width="13.28515625" style="4" bestFit="1" customWidth="1"/>
    <col min="2" max="2" width="17.5703125" style="4" bestFit="1" customWidth="1"/>
    <col min="3" max="3" width="13.140625" style="4" customWidth="1"/>
    <col min="4" max="4" width="14" style="4" customWidth="1"/>
    <col min="5" max="5" width="15.5703125" style="4" bestFit="1" customWidth="1"/>
    <col min="6" max="6" width="8.85546875" style="4"/>
    <col min="7" max="7" width="12.28515625" style="4" customWidth="1"/>
    <col min="8" max="16384" width="8.85546875" style="4"/>
  </cols>
  <sheetData>
    <row r="1" spans="1:8" x14ac:dyDescent="0.3">
      <c r="A1" s="130" t="s">
        <v>183</v>
      </c>
      <c r="B1" s="130"/>
      <c r="C1" s="130"/>
      <c r="D1" s="130"/>
      <c r="F1" s="120" t="s">
        <v>222</v>
      </c>
      <c r="G1" s="120"/>
      <c r="H1" s="120"/>
    </row>
    <row r="2" spans="1:8" x14ac:dyDescent="0.3">
      <c r="A2" s="130"/>
      <c r="B2" s="130"/>
      <c r="C2" s="130"/>
      <c r="D2" s="130"/>
      <c r="F2" s="120"/>
      <c r="G2" s="120"/>
      <c r="H2" s="120"/>
    </row>
    <row r="3" spans="1:8" x14ac:dyDescent="0.3">
      <c r="A3" s="26"/>
      <c r="B3" s="26"/>
      <c r="C3" s="26"/>
      <c r="D3" s="26"/>
    </row>
    <row r="4" spans="1:8" x14ac:dyDescent="0.3">
      <c r="A4" s="56" t="s">
        <v>153</v>
      </c>
      <c r="B4" s="56" t="s">
        <v>154</v>
      </c>
      <c r="C4" s="56" t="s">
        <v>155</v>
      </c>
      <c r="D4" s="56" t="s">
        <v>108</v>
      </c>
      <c r="G4" s="30" t="s">
        <v>223</v>
      </c>
    </row>
    <row r="5" spans="1:8" x14ac:dyDescent="0.3">
      <c r="A5" s="73">
        <v>43739</v>
      </c>
      <c r="B5" s="55" t="s">
        <v>156</v>
      </c>
      <c r="C5" s="55" t="s">
        <v>157</v>
      </c>
      <c r="D5" s="55">
        <v>5000</v>
      </c>
      <c r="G5" s="4" t="s">
        <v>328</v>
      </c>
    </row>
    <row r="6" spans="1:8" x14ac:dyDescent="0.3">
      <c r="A6" s="73">
        <v>43740</v>
      </c>
      <c r="B6" s="55" t="s">
        <v>158</v>
      </c>
      <c r="C6" s="55" t="s">
        <v>159</v>
      </c>
      <c r="D6" s="55">
        <v>6000</v>
      </c>
      <c r="G6" s="4" t="s">
        <v>329</v>
      </c>
    </row>
    <row r="7" spans="1:8" x14ac:dyDescent="0.3">
      <c r="A7" s="73">
        <v>43741</v>
      </c>
      <c r="B7" s="55" t="s">
        <v>156</v>
      </c>
      <c r="C7" s="55" t="s">
        <v>157</v>
      </c>
      <c r="D7" s="55">
        <v>4500</v>
      </c>
      <c r="G7" s="4" t="s">
        <v>330</v>
      </c>
    </row>
    <row r="8" spans="1:8" x14ac:dyDescent="0.3">
      <c r="A8" s="73">
        <v>43742</v>
      </c>
      <c r="B8" s="55" t="s">
        <v>158</v>
      </c>
      <c r="C8" s="55" t="s">
        <v>157</v>
      </c>
      <c r="D8" s="55">
        <v>6500</v>
      </c>
    </row>
    <row r="9" spans="1:8" x14ac:dyDescent="0.3">
      <c r="A9" s="73">
        <v>43743</v>
      </c>
      <c r="B9" s="55" t="s">
        <v>156</v>
      </c>
      <c r="C9" s="55" t="s">
        <v>159</v>
      </c>
      <c r="D9" s="55">
        <v>4500</v>
      </c>
    </row>
    <row r="10" spans="1:8" x14ac:dyDescent="0.3">
      <c r="A10" s="73">
        <v>43744</v>
      </c>
      <c r="B10" s="55" t="s">
        <v>160</v>
      </c>
      <c r="C10" s="55" t="s">
        <v>157</v>
      </c>
      <c r="D10" s="55">
        <v>6000</v>
      </c>
    </row>
    <row r="11" spans="1:8" x14ac:dyDescent="0.3">
      <c r="A11" s="73">
        <v>43745</v>
      </c>
      <c r="B11" s="55" t="s">
        <v>158</v>
      </c>
      <c r="C11" s="55" t="s">
        <v>159</v>
      </c>
      <c r="D11" s="55">
        <v>4500</v>
      </c>
      <c r="F11" s="115"/>
    </row>
    <row r="12" spans="1:8" x14ac:dyDescent="0.3">
      <c r="A12" s="73">
        <v>43746</v>
      </c>
      <c r="B12" s="55" t="s">
        <v>158</v>
      </c>
      <c r="C12" s="55" t="s">
        <v>159</v>
      </c>
      <c r="D12" s="55">
        <v>600</v>
      </c>
    </row>
    <row r="13" spans="1:8" x14ac:dyDescent="0.3">
      <c r="A13" s="73">
        <v>43747</v>
      </c>
      <c r="B13" s="55" t="s">
        <v>160</v>
      </c>
      <c r="C13" s="55" t="s">
        <v>157</v>
      </c>
      <c r="D13" s="55">
        <v>1500</v>
      </c>
    </row>
    <row r="14" spans="1:8" x14ac:dyDescent="0.3">
      <c r="A14" s="73">
        <v>43748</v>
      </c>
      <c r="B14" s="55" t="s">
        <v>160</v>
      </c>
      <c r="C14" s="55" t="s">
        <v>157</v>
      </c>
      <c r="D14" s="55">
        <v>1450</v>
      </c>
    </row>
    <row r="15" spans="1:8" x14ac:dyDescent="0.3">
      <c r="A15" s="73">
        <v>43749</v>
      </c>
      <c r="B15" s="55" t="s">
        <v>156</v>
      </c>
      <c r="C15" s="55" t="s">
        <v>159</v>
      </c>
      <c r="D15" s="55">
        <v>650</v>
      </c>
    </row>
    <row r="16" spans="1:8" x14ac:dyDescent="0.3">
      <c r="A16" s="73">
        <v>43750</v>
      </c>
      <c r="B16" s="55" t="s">
        <v>160</v>
      </c>
      <c r="C16" s="55" t="s">
        <v>157</v>
      </c>
      <c r="D16" s="55">
        <v>2560</v>
      </c>
    </row>
    <row r="17" spans="1:4" x14ac:dyDescent="0.3">
      <c r="A17" s="73">
        <v>43751</v>
      </c>
      <c r="B17" s="55" t="s">
        <v>162</v>
      </c>
      <c r="C17" s="55" t="s">
        <v>157</v>
      </c>
      <c r="D17" s="55">
        <v>1215</v>
      </c>
    </row>
    <row r="18" spans="1:4" x14ac:dyDescent="0.3">
      <c r="A18" s="73">
        <v>43752</v>
      </c>
      <c r="B18" s="55" t="s">
        <v>156</v>
      </c>
      <c r="C18" s="55" t="s">
        <v>159</v>
      </c>
      <c r="D18" s="55">
        <v>2598</v>
      </c>
    </row>
    <row r="19" spans="1:4" x14ac:dyDescent="0.3">
      <c r="A19" s="73">
        <v>43753</v>
      </c>
      <c r="B19" s="55" t="s">
        <v>158</v>
      </c>
      <c r="C19" s="55" t="s">
        <v>157</v>
      </c>
      <c r="D19" s="55">
        <v>3256</v>
      </c>
    </row>
    <row r="20" spans="1:4" x14ac:dyDescent="0.3">
      <c r="A20" s="73">
        <v>43754</v>
      </c>
      <c r="B20" s="55" t="s">
        <v>162</v>
      </c>
      <c r="C20" s="55" t="s">
        <v>159</v>
      </c>
      <c r="D20" s="55">
        <v>460</v>
      </c>
    </row>
    <row r="21" spans="1:4" x14ac:dyDescent="0.3">
      <c r="A21" s="73">
        <v>43755</v>
      </c>
      <c r="B21" s="55" t="s">
        <v>160</v>
      </c>
      <c r="C21" s="55" t="s">
        <v>157</v>
      </c>
      <c r="D21" s="55">
        <v>5979</v>
      </c>
    </row>
    <row r="22" spans="1:4" x14ac:dyDescent="0.3">
      <c r="A22" s="73">
        <v>43756</v>
      </c>
      <c r="B22" s="55" t="s">
        <v>162</v>
      </c>
      <c r="C22" s="55" t="s">
        <v>157</v>
      </c>
      <c r="D22" s="55">
        <v>4589</v>
      </c>
    </row>
    <row r="23" spans="1:4" x14ac:dyDescent="0.3">
      <c r="A23" s="73">
        <v>43757</v>
      </c>
      <c r="B23" s="55" t="s">
        <v>156</v>
      </c>
      <c r="C23" s="55" t="s">
        <v>163</v>
      </c>
      <c r="D23" s="55">
        <v>6325</v>
      </c>
    </row>
    <row r="24" spans="1:4" x14ac:dyDescent="0.3">
      <c r="A24" s="73">
        <v>43758</v>
      </c>
      <c r="B24" s="55" t="s">
        <v>162</v>
      </c>
      <c r="C24" s="55" t="s">
        <v>157</v>
      </c>
      <c r="D24" s="55">
        <v>1563</v>
      </c>
    </row>
  </sheetData>
  <mergeCells count="2">
    <mergeCell ref="A1:D2"/>
    <mergeCell ref="F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1"/>
  <sheetViews>
    <sheetView topLeftCell="B4" zoomScale="150" zoomScaleNormal="150" workbookViewId="0">
      <selection activeCell="I5" sqref="I5"/>
    </sheetView>
  </sheetViews>
  <sheetFormatPr defaultColWidth="8.85546875" defaultRowHeight="18.75" x14ac:dyDescent="0.3"/>
  <cols>
    <col min="1" max="1" width="13.28515625" style="4" bestFit="1" customWidth="1"/>
    <col min="2" max="2" width="16.7109375" style="4" bestFit="1" customWidth="1"/>
    <col min="3" max="3" width="11.140625" style="4" bestFit="1" customWidth="1"/>
    <col min="4" max="4" width="11.7109375" style="4" bestFit="1" customWidth="1"/>
    <col min="5" max="5" width="11.140625" style="4" bestFit="1" customWidth="1"/>
    <col min="6" max="6" width="18.140625" style="4" customWidth="1"/>
    <col min="7" max="7" width="8.85546875" style="4"/>
    <col min="8" max="8" width="15.85546875" style="1" customWidth="1"/>
    <col min="9" max="9" width="17.28515625" style="4" customWidth="1"/>
    <col min="10" max="10" width="8.85546875" style="4"/>
    <col min="11" max="11" width="12.140625" style="4" bestFit="1" customWidth="1"/>
    <col min="12" max="12" width="17.7109375" style="4" customWidth="1"/>
    <col min="13" max="16384" width="8.85546875" style="4"/>
  </cols>
  <sheetData>
    <row r="1" spans="2:12" x14ac:dyDescent="0.3">
      <c r="C1" s="120" t="s">
        <v>219</v>
      </c>
      <c r="D1" s="120"/>
      <c r="E1" s="120"/>
      <c r="H1" s="120" t="s">
        <v>220</v>
      </c>
      <c r="I1" s="120"/>
      <c r="K1" s="121" t="s">
        <v>333</v>
      </c>
      <c r="L1" s="121"/>
    </row>
    <row r="2" spans="2:12" x14ac:dyDescent="0.3">
      <c r="C2" s="120"/>
      <c r="D2" s="120"/>
      <c r="E2" s="120"/>
      <c r="H2" s="120"/>
      <c r="I2" s="120"/>
    </row>
    <row r="3" spans="2:12" x14ac:dyDescent="0.3">
      <c r="H3" s="38"/>
      <c r="I3" s="38"/>
      <c r="K3"/>
      <c r="L3"/>
    </row>
    <row r="4" spans="2:12" x14ac:dyDescent="0.3">
      <c r="B4" s="119" t="s">
        <v>185</v>
      </c>
      <c r="C4" s="119"/>
      <c r="D4" s="119"/>
      <c r="E4" s="119"/>
      <c r="F4" s="119"/>
      <c r="I4" s="37" t="s">
        <v>224</v>
      </c>
      <c r="K4"/>
      <c r="L4" s="37" t="s">
        <v>224</v>
      </c>
    </row>
    <row r="5" spans="2:12" x14ac:dyDescent="0.3">
      <c r="B5" s="33" t="s">
        <v>186</v>
      </c>
      <c r="C5" s="33" t="s">
        <v>187</v>
      </c>
      <c r="D5" s="33" t="s">
        <v>188</v>
      </c>
      <c r="E5" s="33" t="s">
        <v>189</v>
      </c>
      <c r="F5" s="33" t="s">
        <v>190</v>
      </c>
      <c r="H5" s="35" t="s">
        <v>221</v>
      </c>
      <c r="I5" s="30" t="s">
        <v>189</v>
      </c>
      <c r="K5" s="35" t="s">
        <v>221</v>
      </c>
      <c r="L5" t="s">
        <v>188</v>
      </c>
    </row>
    <row r="6" spans="2:12" x14ac:dyDescent="0.3">
      <c r="B6" s="31">
        <v>0.29166666666666669</v>
      </c>
      <c r="C6" s="32" t="s">
        <v>191</v>
      </c>
      <c r="D6" s="32" t="s">
        <v>192</v>
      </c>
      <c r="E6" s="32" t="s">
        <v>193</v>
      </c>
      <c r="F6" s="32" t="s">
        <v>194</v>
      </c>
      <c r="H6" s="36">
        <v>0.33333333333333298</v>
      </c>
      <c r="I6" s="4" t="str">
        <f>INDEX(B5:F12,MATCH(H6,B5:B12,0),MATCH(I5,B5:F5,0))</f>
        <v>Excel</v>
      </c>
      <c r="K6" s="142">
        <v>0.41666666666666702</v>
      </c>
      <c r="L6"/>
    </row>
    <row r="7" spans="2:12" x14ac:dyDescent="0.3">
      <c r="B7" s="31">
        <v>0.33333333333333298</v>
      </c>
      <c r="C7" s="32" t="s">
        <v>192</v>
      </c>
      <c r="D7" s="32" t="s">
        <v>195</v>
      </c>
      <c r="E7" s="32" t="s">
        <v>192</v>
      </c>
      <c r="F7" s="32" t="s">
        <v>193</v>
      </c>
    </row>
    <row r="8" spans="2:12" x14ac:dyDescent="0.3">
      <c r="B8" s="31">
        <v>0.375</v>
      </c>
      <c r="C8" s="32" t="s">
        <v>194</v>
      </c>
      <c r="D8" s="32" t="s">
        <v>193</v>
      </c>
      <c r="E8" s="32" t="s">
        <v>193</v>
      </c>
      <c r="F8" s="32" t="s">
        <v>192</v>
      </c>
    </row>
    <row r="9" spans="2:12" x14ac:dyDescent="0.3">
      <c r="B9" s="31">
        <v>0.41666666666666702</v>
      </c>
      <c r="C9" s="32" t="s">
        <v>193</v>
      </c>
      <c r="D9" s="32" t="s">
        <v>191</v>
      </c>
      <c r="E9" s="32" t="s">
        <v>194</v>
      </c>
      <c r="F9" s="32" t="s">
        <v>191</v>
      </c>
    </row>
    <row r="10" spans="2:12" x14ac:dyDescent="0.3">
      <c r="B10" s="31">
        <v>0.45833333333333298</v>
      </c>
      <c r="C10" s="32" t="s">
        <v>191</v>
      </c>
      <c r="D10" s="32" t="s">
        <v>192</v>
      </c>
      <c r="E10" s="32" t="s">
        <v>191</v>
      </c>
      <c r="F10" s="32" t="s">
        <v>192</v>
      </c>
    </row>
    <row r="11" spans="2:12" x14ac:dyDescent="0.3">
      <c r="B11" s="31">
        <v>0.5</v>
      </c>
      <c r="C11" s="32" t="s">
        <v>192</v>
      </c>
      <c r="D11" s="32" t="s">
        <v>193</v>
      </c>
      <c r="E11" s="32" t="s">
        <v>192</v>
      </c>
      <c r="F11" s="32" t="s">
        <v>191</v>
      </c>
    </row>
    <row r="12" spans="2:12" x14ac:dyDescent="0.3">
      <c r="B12" s="31">
        <v>0.54166666666666696</v>
      </c>
      <c r="C12" s="32" t="s">
        <v>194</v>
      </c>
      <c r="D12" s="32" t="s">
        <v>195</v>
      </c>
      <c r="E12" s="32" t="s">
        <v>193</v>
      </c>
      <c r="F12" s="32" t="s">
        <v>192</v>
      </c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</sheetData>
  <mergeCells count="4">
    <mergeCell ref="B4:F4"/>
    <mergeCell ref="C1:E2"/>
    <mergeCell ref="H1:I2"/>
    <mergeCell ref="K1:L1"/>
  </mergeCells>
  <dataValidations count="4">
    <dataValidation type="list" allowBlank="1" showInputMessage="1" showErrorMessage="1" sqref="I5 L5">
      <formula1>$C$5:$F$5</formula1>
    </dataValidation>
    <dataValidation type="time" operator="greaterThan" allowBlank="1" showInputMessage="1" showErrorMessage="1" sqref="H7:H9">
      <formula1>B7</formula1>
    </dataValidation>
    <dataValidation type="list" operator="greaterThan" allowBlank="1" showInputMessage="1" showErrorMessage="1" sqref="H6">
      <formula1>$B$6:$B$12</formula1>
    </dataValidation>
    <dataValidation type="list" allowBlank="1" showInputMessage="1" showErrorMessage="1" sqref="K6">
      <formula1>$B$6:$B$12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2:M22"/>
  <sheetViews>
    <sheetView workbookViewId="0">
      <selection activeCell="H13" sqref="H13"/>
    </sheetView>
  </sheetViews>
  <sheetFormatPr defaultColWidth="8.85546875" defaultRowHeight="18.75" x14ac:dyDescent="0.25"/>
  <cols>
    <col min="1" max="1" width="8.85546875" style="46"/>
    <col min="2" max="2" width="18" style="46" bestFit="1" customWidth="1"/>
    <col min="3" max="5" width="8.85546875" style="46"/>
    <col min="6" max="6" width="13.7109375" style="46" bestFit="1" customWidth="1"/>
    <col min="7" max="16384" width="8.85546875" style="46"/>
  </cols>
  <sheetData>
    <row r="2" spans="1:13" x14ac:dyDescent="0.25">
      <c r="A2" s="68" t="s">
        <v>196</v>
      </c>
      <c r="B2" s="68" t="s">
        <v>197</v>
      </c>
      <c r="C2" s="68" t="s">
        <v>198</v>
      </c>
      <c r="D2" s="68" t="s">
        <v>323</v>
      </c>
      <c r="F2" s="51" t="s">
        <v>324</v>
      </c>
    </row>
    <row r="3" spans="1:13" x14ac:dyDescent="0.25">
      <c r="A3" s="62">
        <v>1</v>
      </c>
      <c r="B3" s="62" t="s">
        <v>199</v>
      </c>
      <c r="C3" s="62">
        <v>29</v>
      </c>
      <c r="D3" s="62">
        <v>29</v>
      </c>
      <c r="F3" s="46">
        <f>FREQUENCY(C3:C22,D3:D11)</f>
        <v>3</v>
      </c>
      <c r="L3" s="54"/>
    </row>
    <row r="4" spans="1:13" x14ac:dyDescent="0.25">
      <c r="A4" s="62">
        <v>2</v>
      </c>
      <c r="B4" s="62" t="s">
        <v>200</v>
      </c>
      <c r="C4" s="62">
        <v>20</v>
      </c>
      <c r="D4" s="62">
        <v>20</v>
      </c>
      <c r="F4" s="54"/>
      <c r="L4" s="54"/>
      <c r="M4" s="54"/>
    </row>
    <row r="5" spans="1:13" x14ac:dyDescent="0.25">
      <c r="A5" s="62">
        <v>3</v>
      </c>
      <c r="B5" s="62" t="s">
        <v>201</v>
      </c>
      <c r="C5" s="62">
        <v>33</v>
      </c>
      <c r="D5" s="62">
        <v>33</v>
      </c>
      <c r="F5" s="54"/>
      <c r="L5" s="54"/>
      <c r="M5" s="54"/>
    </row>
    <row r="6" spans="1:13" x14ac:dyDescent="0.25">
      <c r="A6" s="62">
        <v>4</v>
      </c>
      <c r="B6" s="62" t="s">
        <v>202</v>
      </c>
      <c r="C6" s="62">
        <v>20</v>
      </c>
      <c r="D6" s="62">
        <v>21</v>
      </c>
      <c r="F6" s="54"/>
      <c r="L6" s="54"/>
      <c r="M6" s="54"/>
    </row>
    <row r="7" spans="1:13" x14ac:dyDescent="0.25">
      <c r="A7" s="62">
        <v>5</v>
      </c>
      <c r="B7" s="62" t="s">
        <v>203</v>
      </c>
      <c r="C7" s="62">
        <v>29</v>
      </c>
      <c r="D7" s="62">
        <v>34</v>
      </c>
      <c r="F7" s="54"/>
      <c r="L7" s="54"/>
      <c r="M7" s="54"/>
    </row>
    <row r="8" spans="1:13" x14ac:dyDescent="0.25">
      <c r="A8" s="62">
        <v>6</v>
      </c>
      <c r="B8" s="62" t="s">
        <v>204</v>
      </c>
      <c r="C8" s="62">
        <v>33</v>
      </c>
      <c r="D8" s="62">
        <v>28</v>
      </c>
      <c r="F8" s="54"/>
      <c r="L8" s="54"/>
      <c r="M8" s="54"/>
    </row>
    <row r="9" spans="1:13" x14ac:dyDescent="0.25">
      <c r="A9" s="62">
        <v>7</v>
      </c>
      <c r="B9" s="62" t="s">
        <v>205</v>
      </c>
      <c r="C9" s="62">
        <v>21</v>
      </c>
      <c r="D9" s="62">
        <v>27</v>
      </c>
      <c r="F9" s="54"/>
      <c r="L9" s="54"/>
      <c r="M9" s="54"/>
    </row>
    <row r="10" spans="1:13" x14ac:dyDescent="0.25">
      <c r="A10" s="62">
        <v>8</v>
      </c>
      <c r="B10" s="62" t="s">
        <v>206</v>
      </c>
      <c r="C10" s="62">
        <v>29</v>
      </c>
      <c r="D10" s="62">
        <v>22</v>
      </c>
      <c r="F10" s="54"/>
      <c r="L10" s="54"/>
      <c r="M10" s="54"/>
    </row>
    <row r="11" spans="1:13" x14ac:dyDescent="0.25">
      <c r="A11" s="62">
        <v>9</v>
      </c>
      <c r="B11" s="62" t="s">
        <v>207</v>
      </c>
      <c r="C11" s="62">
        <v>34</v>
      </c>
      <c r="D11" s="62">
        <v>23</v>
      </c>
      <c r="F11" s="54"/>
      <c r="L11" s="54"/>
      <c r="M11" s="54"/>
    </row>
    <row r="12" spans="1:13" x14ac:dyDescent="0.3">
      <c r="A12" s="62">
        <v>10</v>
      </c>
      <c r="B12" s="62" t="s">
        <v>208</v>
      </c>
      <c r="C12" s="62">
        <v>28</v>
      </c>
      <c r="D12" s="29"/>
      <c r="L12" s="54"/>
      <c r="M12" s="54"/>
    </row>
    <row r="13" spans="1:13" x14ac:dyDescent="0.3">
      <c r="A13" s="62">
        <v>11</v>
      </c>
      <c r="B13" s="62" t="s">
        <v>209</v>
      </c>
      <c r="C13" s="62">
        <v>20</v>
      </c>
      <c r="D13" s="29"/>
      <c r="L13"/>
    </row>
    <row r="14" spans="1:13" x14ac:dyDescent="0.3">
      <c r="A14" s="62">
        <v>12</v>
      </c>
      <c r="B14" s="62" t="s">
        <v>210</v>
      </c>
      <c r="C14" s="62">
        <v>27</v>
      </c>
      <c r="D14" s="29"/>
      <c r="L14"/>
    </row>
    <row r="15" spans="1:13" x14ac:dyDescent="0.3">
      <c r="A15" s="62">
        <v>13</v>
      </c>
      <c r="B15" s="62" t="s">
        <v>211</v>
      </c>
      <c r="C15" s="62">
        <v>21</v>
      </c>
      <c r="D15" s="29"/>
      <c r="L15"/>
    </row>
    <row r="16" spans="1:13" x14ac:dyDescent="0.3">
      <c r="A16" s="62">
        <v>14</v>
      </c>
      <c r="B16" s="62" t="s">
        <v>212</v>
      </c>
      <c r="C16" s="62">
        <v>28</v>
      </c>
      <c r="D16" s="29"/>
      <c r="L16"/>
    </row>
    <row r="17" spans="1:12" x14ac:dyDescent="0.3">
      <c r="A17" s="62">
        <v>15</v>
      </c>
      <c r="B17" s="62" t="s">
        <v>213</v>
      </c>
      <c r="C17" s="62">
        <v>27</v>
      </c>
      <c r="D17" s="29"/>
      <c r="L17"/>
    </row>
    <row r="18" spans="1:12" x14ac:dyDescent="0.3">
      <c r="A18" s="62">
        <v>16</v>
      </c>
      <c r="B18" s="62" t="s">
        <v>214</v>
      </c>
      <c r="C18" s="62">
        <v>20</v>
      </c>
      <c r="D18" s="29"/>
    </row>
    <row r="19" spans="1:12" x14ac:dyDescent="0.3">
      <c r="A19" s="62">
        <v>17</v>
      </c>
      <c r="B19" s="62" t="s">
        <v>215</v>
      </c>
      <c r="C19" s="62">
        <v>22</v>
      </c>
      <c r="D19" s="29"/>
    </row>
    <row r="20" spans="1:12" x14ac:dyDescent="0.3">
      <c r="A20" s="62">
        <v>18</v>
      </c>
      <c r="B20" s="62" t="s">
        <v>216</v>
      </c>
      <c r="C20" s="62">
        <v>23</v>
      </c>
      <c r="D20" s="29"/>
    </row>
    <row r="21" spans="1:12" x14ac:dyDescent="0.3">
      <c r="A21" s="62">
        <v>19</v>
      </c>
      <c r="B21" s="62" t="s">
        <v>217</v>
      </c>
      <c r="C21" s="62">
        <v>27</v>
      </c>
      <c r="D21" s="29"/>
    </row>
    <row r="22" spans="1:12" x14ac:dyDescent="0.3">
      <c r="A22" s="62">
        <v>20</v>
      </c>
      <c r="B22" s="62" t="s">
        <v>218</v>
      </c>
      <c r="C22" s="62">
        <v>23</v>
      </c>
      <c r="D22" s="2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2:L25"/>
  <sheetViews>
    <sheetView workbookViewId="0">
      <selection activeCell="G6" sqref="G6"/>
    </sheetView>
  </sheetViews>
  <sheetFormatPr defaultColWidth="8.85546875" defaultRowHeight="18.75" x14ac:dyDescent="0.3"/>
  <cols>
    <col min="1" max="1" width="13.28515625" style="26" bestFit="1" customWidth="1"/>
    <col min="2" max="2" width="13.5703125" style="26" bestFit="1" customWidth="1"/>
    <col min="3" max="3" width="10.42578125" style="26" customWidth="1"/>
    <col min="4" max="4" width="11" style="26" customWidth="1"/>
    <col min="5" max="6" width="8.85546875" style="26"/>
    <col min="7" max="7" width="14.140625" style="26" customWidth="1"/>
    <col min="8" max="10" width="8.85546875" style="26"/>
    <col min="11" max="11" width="14.28515625" style="26" customWidth="1"/>
    <col min="12" max="16384" width="8.85546875" style="26"/>
  </cols>
  <sheetData>
    <row r="2" spans="1:12" x14ac:dyDescent="0.3">
      <c r="B2" s="130" t="s">
        <v>245</v>
      </c>
      <c r="C2" s="130"/>
      <c r="F2" s="130" t="s">
        <v>246</v>
      </c>
      <c r="G2" s="130"/>
      <c r="H2" s="130"/>
      <c r="J2" s="131" t="s">
        <v>333</v>
      </c>
      <c r="K2" s="131"/>
      <c r="L2" s="131"/>
    </row>
    <row r="3" spans="1:12" x14ac:dyDescent="0.3">
      <c r="B3" s="130"/>
      <c r="C3" s="130"/>
      <c r="F3" s="130"/>
      <c r="G3" s="130"/>
      <c r="H3" s="130"/>
      <c r="J3" s="131"/>
      <c r="K3" s="131"/>
      <c r="L3" s="131"/>
    </row>
    <row r="5" spans="1:12" x14ac:dyDescent="0.3">
      <c r="A5" s="56" t="s">
        <v>153</v>
      </c>
      <c r="B5" s="56" t="s">
        <v>225</v>
      </c>
      <c r="C5" s="56" t="s">
        <v>226</v>
      </c>
      <c r="D5" s="56" t="s">
        <v>71</v>
      </c>
      <c r="G5" s="56" t="s">
        <v>247</v>
      </c>
      <c r="K5" s="56" t="s">
        <v>247</v>
      </c>
    </row>
    <row r="6" spans="1:12" x14ac:dyDescent="0.3">
      <c r="A6" s="73">
        <v>43739</v>
      </c>
      <c r="B6" s="55" t="s">
        <v>227</v>
      </c>
      <c r="C6" s="55">
        <v>500</v>
      </c>
      <c r="D6" s="55">
        <v>450</v>
      </c>
      <c r="G6" s="55">
        <f>SUMPRODUCT(C6*D6)</f>
        <v>225000</v>
      </c>
      <c r="K6" s="55">
        <f>SUMPRODUCT(C6*D6)</f>
        <v>225000</v>
      </c>
    </row>
    <row r="7" spans="1:12" x14ac:dyDescent="0.3">
      <c r="A7" s="73">
        <v>43740</v>
      </c>
      <c r="B7" s="55" t="s">
        <v>228</v>
      </c>
      <c r="C7" s="55">
        <v>600</v>
      </c>
      <c r="D7" s="55">
        <v>950</v>
      </c>
      <c r="G7" s="55">
        <f t="shared" ref="G7:G25" si="0">SUMPRODUCT(C7*D7)</f>
        <v>570000</v>
      </c>
      <c r="K7" s="55">
        <f t="shared" ref="K7:K25" si="1">SUMPRODUCT(C7*D7)</f>
        <v>570000</v>
      </c>
    </row>
    <row r="8" spans="1:12" x14ac:dyDescent="0.3">
      <c r="A8" s="73">
        <v>43741</v>
      </c>
      <c r="B8" s="55" t="s">
        <v>229</v>
      </c>
      <c r="C8" s="55">
        <v>450</v>
      </c>
      <c r="D8" s="55">
        <v>350</v>
      </c>
      <c r="G8" s="55">
        <f t="shared" si="0"/>
        <v>157500</v>
      </c>
      <c r="K8" s="55">
        <f t="shared" si="1"/>
        <v>157500</v>
      </c>
    </row>
    <row r="9" spans="1:12" x14ac:dyDescent="0.3">
      <c r="A9" s="73">
        <v>43742</v>
      </c>
      <c r="B9" s="55" t="s">
        <v>230</v>
      </c>
      <c r="C9" s="55">
        <v>350</v>
      </c>
      <c r="D9" s="55">
        <v>350</v>
      </c>
      <c r="G9" s="55">
        <f t="shared" si="0"/>
        <v>122500</v>
      </c>
      <c r="K9" s="55">
        <f t="shared" si="1"/>
        <v>122500</v>
      </c>
    </row>
    <row r="10" spans="1:12" x14ac:dyDescent="0.3">
      <c r="A10" s="73">
        <v>43743</v>
      </c>
      <c r="B10" s="55" t="s">
        <v>231</v>
      </c>
      <c r="C10" s="55">
        <v>650</v>
      </c>
      <c r="D10" s="55">
        <v>250</v>
      </c>
      <c r="G10" s="55">
        <f t="shared" si="0"/>
        <v>162500</v>
      </c>
      <c r="K10" s="55">
        <f t="shared" si="1"/>
        <v>162500</v>
      </c>
    </row>
    <row r="11" spans="1:12" x14ac:dyDescent="0.3">
      <c r="A11" s="73">
        <v>43744</v>
      </c>
      <c r="B11" s="55" t="s">
        <v>232</v>
      </c>
      <c r="C11" s="55">
        <v>120</v>
      </c>
      <c r="D11" s="55">
        <v>850</v>
      </c>
      <c r="G11" s="55">
        <f t="shared" si="0"/>
        <v>102000</v>
      </c>
      <c r="K11" s="55">
        <f t="shared" si="1"/>
        <v>102000</v>
      </c>
    </row>
    <row r="12" spans="1:12" x14ac:dyDescent="0.3">
      <c r="A12" s="73">
        <v>43745</v>
      </c>
      <c r="B12" s="55" t="s">
        <v>233</v>
      </c>
      <c r="C12" s="55">
        <v>250</v>
      </c>
      <c r="D12" s="55">
        <v>3500</v>
      </c>
      <c r="G12" s="55">
        <f t="shared" si="0"/>
        <v>875000</v>
      </c>
      <c r="K12" s="55">
        <f t="shared" si="1"/>
        <v>875000</v>
      </c>
    </row>
    <row r="13" spans="1:12" x14ac:dyDescent="0.3">
      <c r="A13" s="73">
        <v>43746</v>
      </c>
      <c r="B13" s="55" t="s">
        <v>234</v>
      </c>
      <c r="C13" s="55">
        <v>150</v>
      </c>
      <c r="D13" s="55">
        <v>2500</v>
      </c>
      <c r="G13" s="55">
        <f t="shared" si="0"/>
        <v>375000</v>
      </c>
      <c r="K13" s="55">
        <f t="shared" si="1"/>
        <v>375000</v>
      </c>
    </row>
    <row r="14" spans="1:12" x14ac:dyDescent="0.3">
      <c r="A14" s="73">
        <v>43747</v>
      </c>
      <c r="B14" s="55" t="s">
        <v>235</v>
      </c>
      <c r="C14" s="55">
        <v>250</v>
      </c>
      <c r="D14" s="55">
        <v>2500</v>
      </c>
      <c r="G14" s="55">
        <f t="shared" si="0"/>
        <v>625000</v>
      </c>
      <c r="K14" s="55">
        <f t="shared" si="1"/>
        <v>625000</v>
      </c>
    </row>
    <row r="15" spans="1:12" x14ac:dyDescent="0.3">
      <c r="A15" s="73">
        <v>43748</v>
      </c>
      <c r="B15" s="55" t="s">
        <v>236</v>
      </c>
      <c r="C15" s="55">
        <v>360</v>
      </c>
      <c r="D15" s="55">
        <v>3500</v>
      </c>
      <c r="G15" s="55">
        <f t="shared" si="0"/>
        <v>1260000</v>
      </c>
      <c r="K15" s="55">
        <f t="shared" si="1"/>
        <v>1260000</v>
      </c>
    </row>
    <row r="16" spans="1:12" x14ac:dyDescent="0.3">
      <c r="A16" s="73">
        <v>43749</v>
      </c>
      <c r="B16" s="55" t="s">
        <v>237</v>
      </c>
      <c r="C16" s="55">
        <v>120</v>
      </c>
      <c r="D16" s="55">
        <v>1800</v>
      </c>
      <c r="G16" s="55">
        <f t="shared" si="0"/>
        <v>216000</v>
      </c>
      <c r="K16" s="55">
        <f t="shared" si="1"/>
        <v>216000</v>
      </c>
    </row>
    <row r="17" spans="1:11" x14ac:dyDescent="0.3">
      <c r="A17" s="73">
        <v>43750</v>
      </c>
      <c r="B17" s="55" t="s">
        <v>238</v>
      </c>
      <c r="C17" s="55">
        <v>210</v>
      </c>
      <c r="D17" s="55">
        <v>1200</v>
      </c>
      <c r="G17" s="55">
        <f t="shared" si="0"/>
        <v>252000</v>
      </c>
      <c r="K17" s="55">
        <f t="shared" si="1"/>
        <v>252000</v>
      </c>
    </row>
    <row r="18" spans="1:11" x14ac:dyDescent="0.3">
      <c r="A18" s="73">
        <v>43751</v>
      </c>
      <c r="B18" s="55" t="s">
        <v>239</v>
      </c>
      <c r="C18" s="55">
        <v>120</v>
      </c>
      <c r="D18" s="55">
        <v>5000</v>
      </c>
      <c r="G18" s="55">
        <f t="shared" si="0"/>
        <v>600000</v>
      </c>
      <c r="K18" s="55">
        <f t="shared" si="1"/>
        <v>600000</v>
      </c>
    </row>
    <row r="19" spans="1:11" x14ac:dyDescent="0.3">
      <c r="A19" s="73">
        <v>43752</v>
      </c>
      <c r="B19" s="55" t="s">
        <v>240</v>
      </c>
      <c r="C19" s="55">
        <v>5</v>
      </c>
      <c r="D19" s="55">
        <v>15000</v>
      </c>
      <c r="G19" s="55">
        <f t="shared" si="0"/>
        <v>75000</v>
      </c>
      <c r="K19" s="55">
        <f t="shared" si="1"/>
        <v>75000</v>
      </c>
    </row>
    <row r="20" spans="1:11" x14ac:dyDescent="0.3">
      <c r="A20" s="73">
        <v>43753</v>
      </c>
      <c r="B20" s="55" t="s">
        <v>232</v>
      </c>
      <c r="C20" s="55">
        <v>40</v>
      </c>
      <c r="D20" s="55">
        <v>3000</v>
      </c>
      <c r="G20" s="55">
        <f t="shared" si="0"/>
        <v>120000</v>
      </c>
      <c r="K20" s="55">
        <f t="shared" si="1"/>
        <v>120000</v>
      </c>
    </row>
    <row r="21" spans="1:11" x14ac:dyDescent="0.3">
      <c r="A21" s="73">
        <v>43754</v>
      </c>
      <c r="B21" s="55" t="s">
        <v>241</v>
      </c>
      <c r="C21" s="55">
        <v>450</v>
      </c>
      <c r="D21" s="55">
        <v>50</v>
      </c>
      <c r="G21" s="55">
        <f t="shared" si="0"/>
        <v>22500</v>
      </c>
      <c r="K21" s="55">
        <f t="shared" si="1"/>
        <v>22500</v>
      </c>
    </row>
    <row r="22" spans="1:11" x14ac:dyDescent="0.3">
      <c r="A22" s="73">
        <v>43755</v>
      </c>
      <c r="B22" s="55" t="s">
        <v>229</v>
      </c>
      <c r="C22" s="55">
        <v>350</v>
      </c>
      <c r="D22" s="55">
        <v>850</v>
      </c>
      <c r="G22" s="55">
        <f t="shared" si="0"/>
        <v>297500</v>
      </c>
      <c r="K22" s="55">
        <f t="shared" si="1"/>
        <v>297500</v>
      </c>
    </row>
    <row r="23" spans="1:11" x14ac:dyDescent="0.3">
      <c r="A23" s="73">
        <v>43756</v>
      </c>
      <c r="B23" s="55" t="s">
        <v>242</v>
      </c>
      <c r="C23" s="55">
        <v>800</v>
      </c>
      <c r="D23" s="55">
        <v>40</v>
      </c>
      <c r="G23" s="55">
        <f>SUMPRODUCT(C23*D23)</f>
        <v>32000</v>
      </c>
      <c r="K23" s="55">
        <f t="shared" si="1"/>
        <v>32000</v>
      </c>
    </row>
    <row r="24" spans="1:11" x14ac:dyDescent="0.3">
      <c r="A24" s="73">
        <v>43757</v>
      </c>
      <c r="B24" s="55" t="s">
        <v>243</v>
      </c>
      <c r="C24" s="55">
        <v>800</v>
      </c>
      <c r="D24" s="55">
        <v>50</v>
      </c>
      <c r="G24" s="55">
        <f t="shared" si="0"/>
        <v>40000</v>
      </c>
      <c r="K24" s="55">
        <f t="shared" si="1"/>
        <v>40000</v>
      </c>
    </row>
    <row r="25" spans="1:11" x14ac:dyDescent="0.3">
      <c r="A25" s="73">
        <v>43758</v>
      </c>
      <c r="B25" s="55" t="s">
        <v>244</v>
      </c>
      <c r="C25" s="55">
        <v>950</v>
      </c>
      <c r="D25" s="55">
        <v>5</v>
      </c>
      <c r="G25" s="55">
        <f t="shared" si="0"/>
        <v>4750</v>
      </c>
      <c r="K25" s="55">
        <f t="shared" si="1"/>
        <v>4750</v>
      </c>
    </row>
  </sheetData>
  <mergeCells count="3">
    <mergeCell ref="B2:C3"/>
    <mergeCell ref="F2:H3"/>
    <mergeCell ref="J2:L3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K23"/>
  <sheetViews>
    <sheetView topLeftCell="C3" zoomScale="150" zoomScaleNormal="150" workbookViewId="0">
      <selection activeCell="H5" sqref="H5"/>
    </sheetView>
  </sheetViews>
  <sheetFormatPr defaultRowHeight="15" x14ac:dyDescent="0.25"/>
  <cols>
    <col min="1" max="1" width="14.85546875" bestFit="1" customWidth="1"/>
    <col min="2" max="2" width="20.7109375" bestFit="1" customWidth="1"/>
    <col min="3" max="3" width="16.85546875" bestFit="1" customWidth="1"/>
    <col min="4" max="4" width="17.28515625" bestFit="1" customWidth="1"/>
    <col min="5" max="5" width="13.85546875" bestFit="1" customWidth="1"/>
    <col min="6" max="6" width="17.85546875" bestFit="1" customWidth="1"/>
    <col min="7" max="7" width="16" bestFit="1" customWidth="1"/>
    <col min="8" max="8" width="15.42578125" bestFit="1" customWidth="1"/>
  </cols>
  <sheetData>
    <row r="1" spans="1:11" ht="18.75" x14ac:dyDescent="0.25">
      <c r="A1" s="130" t="s">
        <v>260</v>
      </c>
      <c r="B1" s="130"/>
      <c r="C1" s="130"/>
      <c r="D1" s="114"/>
    </row>
    <row r="2" spans="1:11" ht="18.75" x14ac:dyDescent="0.25">
      <c r="A2" s="130"/>
      <c r="B2" s="130"/>
      <c r="C2" s="130"/>
      <c r="D2" s="114"/>
    </row>
    <row r="3" spans="1:11" ht="18.75" x14ac:dyDescent="0.25">
      <c r="A3" s="68" t="s">
        <v>153</v>
      </c>
      <c r="B3" s="68" t="s">
        <v>248</v>
      </c>
      <c r="C3" s="68" t="s">
        <v>54</v>
      </c>
      <c r="D3" s="68" t="s">
        <v>263</v>
      </c>
      <c r="E3" s="68" t="s">
        <v>429</v>
      </c>
      <c r="F3" s="68" t="s">
        <v>430</v>
      </c>
      <c r="G3" s="68" t="s">
        <v>431</v>
      </c>
      <c r="H3" s="68" t="s">
        <v>432</v>
      </c>
      <c r="I3" s="68"/>
      <c r="J3" s="68"/>
      <c r="K3" s="68"/>
    </row>
    <row r="4" spans="1:11" ht="18.75" x14ac:dyDescent="0.25">
      <c r="A4" s="69">
        <v>43739</v>
      </c>
      <c r="B4" s="62" t="s">
        <v>199</v>
      </c>
      <c r="C4" s="62">
        <v>60000</v>
      </c>
      <c r="D4" s="62" t="s">
        <v>264</v>
      </c>
      <c r="E4" t="str">
        <f>IF(C4&gt;=20000,"YES","NO")</f>
        <v>YES</v>
      </c>
      <c r="F4" t="str">
        <f>IF(AND(C4&gt;=20000,D4="SM"),"YES","NO")</f>
        <v>YES</v>
      </c>
      <c r="G4" t="str">
        <f>IF(OR(C4&gt;=20000,D4="SM"),"YES","NO")</f>
        <v>YES</v>
      </c>
      <c r="H4" t="str">
        <f>IF(D4="SM","3000",IF(D4="CSM","2500",IF(D4="BM","2000","1000")))</f>
        <v>3000</v>
      </c>
    </row>
    <row r="5" spans="1:11" ht="18.75" x14ac:dyDescent="0.25">
      <c r="A5" s="69">
        <v>43740</v>
      </c>
      <c r="B5" s="62" t="s">
        <v>200</v>
      </c>
      <c r="C5" s="62">
        <v>16000</v>
      </c>
      <c r="D5" s="62" t="s">
        <v>265</v>
      </c>
      <c r="E5" t="str">
        <f>IF(C5&gt;=20000,"YES","NO")</f>
        <v>NO</v>
      </c>
      <c r="F5" t="str">
        <f t="shared" ref="F5:F22" si="0">IF(AND(C5&gt;=20000,D5="SM"),"YES","NO")</f>
        <v>NO</v>
      </c>
      <c r="G5" t="str">
        <f t="shared" ref="G5:G14" si="1">IF(OR(C5&gt;=20000,D5="SM"),"YES","NO")</f>
        <v>NO</v>
      </c>
      <c r="H5" t="str">
        <f t="shared" ref="H5:H13" si="2">IF(D5="SM","3000",IF(D5="CSM","2500",IF(D5="BM","2000","1000")))</f>
        <v>1000</v>
      </c>
    </row>
    <row r="6" spans="1:11" ht="18.75" x14ac:dyDescent="0.25">
      <c r="A6" s="69">
        <v>43741</v>
      </c>
      <c r="B6" s="62" t="s">
        <v>201</v>
      </c>
      <c r="C6" s="62">
        <v>18000</v>
      </c>
      <c r="D6" s="62" t="s">
        <v>266</v>
      </c>
      <c r="E6" t="str">
        <f t="shared" ref="E6:E14" si="3">IF(C6&gt;=20000,"YES","NO")</f>
        <v>NO</v>
      </c>
      <c r="F6" t="str">
        <f t="shared" si="0"/>
        <v>NO</v>
      </c>
      <c r="G6" t="str">
        <f t="shared" si="1"/>
        <v>NO</v>
      </c>
      <c r="H6" t="str">
        <f t="shared" si="2"/>
        <v>2500</v>
      </c>
    </row>
    <row r="7" spans="1:11" ht="18.75" x14ac:dyDescent="0.25">
      <c r="A7" s="69">
        <v>43742</v>
      </c>
      <c r="B7" s="62" t="s">
        <v>202</v>
      </c>
      <c r="C7" s="62">
        <v>19000</v>
      </c>
      <c r="D7" s="62" t="s">
        <v>267</v>
      </c>
      <c r="E7" t="str">
        <f t="shared" si="3"/>
        <v>NO</v>
      </c>
      <c r="F7" t="str">
        <f t="shared" si="0"/>
        <v>NO</v>
      </c>
      <c r="G7" t="str">
        <f t="shared" si="1"/>
        <v>NO</v>
      </c>
      <c r="H7" t="str">
        <f t="shared" si="2"/>
        <v>1000</v>
      </c>
    </row>
    <row r="8" spans="1:11" ht="18.75" x14ac:dyDescent="0.25">
      <c r="A8" s="69">
        <v>43743</v>
      </c>
      <c r="B8" s="62" t="s">
        <v>203</v>
      </c>
      <c r="C8" s="62">
        <v>25000</v>
      </c>
      <c r="D8" s="62" t="s">
        <v>268</v>
      </c>
      <c r="E8" t="str">
        <f t="shared" si="3"/>
        <v>YES</v>
      </c>
      <c r="F8" t="str">
        <f t="shared" si="0"/>
        <v>NO</v>
      </c>
      <c r="G8" t="str">
        <f t="shared" si="1"/>
        <v>YES</v>
      </c>
      <c r="H8" t="str">
        <f t="shared" si="2"/>
        <v>2000</v>
      </c>
    </row>
    <row r="9" spans="1:11" ht="18.75" x14ac:dyDescent="0.25">
      <c r="A9" s="69">
        <v>43744</v>
      </c>
      <c r="B9" s="62" t="s">
        <v>204</v>
      </c>
      <c r="C9" s="62">
        <v>22000</v>
      </c>
      <c r="D9" s="62" t="s">
        <v>269</v>
      </c>
      <c r="E9" t="str">
        <f t="shared" si="3"/>
        <v>YES</v>
      </c>
      <c r="F9" t="str">
        <f t="shared" si="0"/>
        <v>NO</v>
      </c>
      <c r="G9" t="str">
        <f t="shared" si="1"/>
        <v>YES</v>
      </c>
      <c r="H9" t="str">
        <f t="shared" si="2"/>
        <v>1000</v>
      </c>
    </row>
    <row r="10" spans="1:11" ht="18.75" x14ac:dyDescent="0.25">
      <c r="A10" s="69">
        <v>43745</v>
      </c>
      <c r="B10" s="62" t="s">
        <v>205</v>
      </c>
      <c r="C10" s="62">
        <v>15000</v>
      </c>
      <c r="D10" s="62" t="s">
        <v>264</v>
      </c>
      <c r="E10" t="str">
        <f t="shared" si="3"/>
        <v>NO</v>
      </c>
      <c r="F10" t="str">
        <f t="shared" si="0"/>
        <v>NO</v>
      </c>
      <c r="G10" t="str">
        <f t="shared" si="1"/>
        <v>YES</v>
      </c>
      <c r="H10" t="str">
        <f t="shared" si="2"/>
        <v>3000</v>
      </c>
    </row>
    <row r="11" spans="1:11" ht="18.75" x14ac:dyDescent="0.25">
      <c r="A11" s="69">
        <v>43746</v>
      </c>
      <c r="B11" s="62" t="s">
        <v>206</v>
      </c>
      <c r="C11" s="62">
        <v>35000</v>
      </c>
      <c r="D11" s="62" t="s">
        <v>267</v>
      </c>
      <c r="E11" t="str">
        <f t="shared" si="3"/>
        <v>YES</v>
      </c>
      <c r="F11" t="str">
        <f t="shared" si="0"/>
        <v>NO</v>
      </c>
      <c r="G11" t="str">
        <f t="shared" si="1"/>
        <v>YES</v>
      </c>
      <c r="H11" t="str">
        <f t="shared" si="2"/>
        <v>1000</v>
      </c>
    </row>
    <row r="12" spans="1:11" ht="18.75" x14ac:dyDescent="0.25">
      <c r="A12" s="69">
        <v>43747</v>
      </c>
      <c r="B12" s="62" t="s">
        <v>207</v>
      </c>
      <c r="C12" s="62">
        <v>15000</v>
      </c>
      <c r="D12" s="62" t="s">
        <v>269</v>
      </c>
      <c r="E12" t="str">
        <f t="shared" si="3"/>
        <v>NO</v>
      </c>
      <c r="F12" t="str">
        <f t="shared" si="0"/>
        <v>NO</v>
      </c>
      <c r="G12" t="str">
        <f t="shared" si="1"/>
        <v>NO</v>
      </c>
      <c r="H12" t="str">
        <f t="shared" si="2"/>
        <v>1000</v>
      </c>
    </row>
    <row r="13" spans="1:11" ht="18.75" x14ac:dyDescent="0.25">
      <c r="A13" s="69">
        <v>43748</v>
      </c>
      <c r="B13" s="62" t="s">
        <v>208</v>
      </c>
      <c r="C13" s="62">
        <v>35000</v>
      </c>
      <c r="D13" s="62" t="s">
        <v>266</v>
      </c>
      <c r="E13" t="str">
        <f t="shared" si="3"/>
        <v>YES</v>
      </c>
      <c r="F13" t="str">
        <f t="shared" si="0"/>
        <v>NO</v>
      </c>
      <c r="G13" t="str">
        <f t="shared" si="1"/>
        <v>YES</v>
      </c>
      <c r="H13" t="str">
        <f t="shared" si="2"/>
        <v>2500</v>
      </c>
    </row>
    <row r="14" spans="1:11" ht="18.75" x14ac:dyDescent="0.25">
      <c r="A14" s="69">
        <v>43749</v>
      </c>
      <c r="B14" s="62" t="s">
        <v>209</v>
      </c>
      <c r="C14" s="62">
        <v>18000</v>
      </c>
      <c r="D14" s="62" t="s">
        <v>266</v>
      </c>
      <c r="E14" t="str">
        <f t="shared" si="3"/>
        <v>NO</v>
      </c>
      <c r="F14" t="str">
        <f t="shared" si="0"/>
        <v>NO</v>
      </c>
      <c r="G14" t="str">
        <f t="shared" si="1"/>
        <v>NO</v>
      </c>
    </row>
    <row r="15" spans="1:11" ht="18.75" x14ac:dyDescent="0.25">
      <c r="A15" s="69">
        <v>43750</v>
      </c>
      <c r="B15" s="62" t="s">
        <v>210</v>
      </c>
      <c r="C15" s="62">
        <v>21000</v>
      </c>
      <c r="D15" s="62" t="s">
        <v>266</v>
      </c>
      <c r="F15" t="str">
        <f t="shared" si="0"/>
        <v>NO</v>
      </c>
    </row>
    <row r="16" spans="1:11" ht="18.75" x14ac:dyDescent="0.25">
      <c r="A16" s="69">
        <v>43751</v>
      </c>
      <c r="B16" s="62" t="s">
        <v>249</v>
      </c>
      <c r="C16" s="62">
        <v>22000</v>
      </c>
      <c r="D16" s="62" t="s">
        <v>269</v>
      </c>
      <c r="F16" t="str">
        <f t="shared" si="0"/>
        <v>NO</v>
      </c>
    </row>
    <row r="17" spans="1:6" ht="18.75" x14ac:dyDescent="0.25">
      <c r="A17" s="69">
        <v>43752</v>
      </c>
      <c r="B17" s="62" t="s">
        <v>250</v>
      </c>
      <c r="C17" s="62">
        <v>25000</v>
      </c>
      <c r="D17" s="62" t="s">
        <v>269</v>
      </c>
      <c r="F17" t="str">
        <f t="shared" si="0"/>
        <v>NO</v>
      </c>
    </row>
    <row r="18" spans="1:6" ht="18.75" x14ac:dyDescent="0.25">
      <c r="A18" s="69">
        <v>43753</v>
      </c>
      <c r="B18" s="62" t="s">
        <v>251</v>
      </c>
      <c r="C18" s="62">
        <v>26000</v>
      </c>
      <c r="D18" s="62" t="s">
        <v>264</v>
      </c>
      <c r="F18" t="str">
        <f t="shared" si="0"/>
        <v>YES</v>
      </c>
    </row>
    <row r="19" spans="1:6" ht="18.75" x14ac:dyDescent="0.25">
      <c r="A19" s="69">
        <v>43754</v>
      </c>
      <c r="B19" s="62" t="s">
        <v>252</v>
      </c>
      <c r="C19" s="62">
        <v>17000</v>
      </c>
      <c r="D19" s="62" t="s">
        <v>264</v>
      </c>
      <c r="F19" t="str">
        <f t="shared" si="0"/>
        <v>NO</v>
      </c>
    </row>
    <row r="20" spans="1:6" ht="18.75" x14ac:dyDescent="0.25">
      <c r="A20" s="69">
        <v>43755</v>
      </c>
      <c r="B20" s="62" t="s">
        <v>253</v>
      </c>
      <c r="C20" s="62">
        <v>50000</v>
      </c>
      <c r="D20" s="62" t="s">
        <v>265</v>
      </c>
      <c r="F20" t="str">
        <f t="shared" si="0"/>
        <v>NO</v>
      </c>
    </row>
    <row r="21" spans="1:6" ht="18.75" x14ac:dyDescent="0.25">
      <c r="A21" s="69">
        <v>43756</v>
      </c>
      <c r="B21" s="62" t="s">
        <v>254</v>
      </c>
      <c r="C21" s="62">
        <v>19000</v>
      </c>
      <c r="D21" s="62" t="s">
        <v>265</v>
      </c>
      <c r="F21" t="str">
        <f t="shared" si="0"/>
        <v>NO</v>
      </c>
    </row>
    <row r="22" spans="1:6" ht="18.75" x14ac:dyDescent="0.25">
      <c r="A22" s="69">
        <v>43757</v>
      </c>
      <c r="B22" s="62" t="s">
        <v>255</v>
      </c>
      <c r="C22" s="62">
        <v>14000</v>
      </c>
      <c r="D22" s="62" t="s">
        <v>267</v>
      </c>
      <c r="F22" t="str">
        <f t="shared" si="0"/>
        <v>NO</v>
      </c>
    </row>
    <row r="23" spans="1:6" ht="18.75" x14ac:dyDescent="0.25">
      <c r="A23" s="69">
        <v>43758</v>
      </c>
      <c r="B23" s="62" t="s">
        <v>256</v>
      </c>
      <c r="C23" s="62">
        <v>15800</v>
      </c>
      <c r="D23" s="62" t="s">
        <v>267</v>
      </c>
    </row>
  </sheetData>
  <mergeCells count="1">
    <mergeCell ref="A1:C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47"/>
  <sheetViews>
    <sheetView zoomScale="90" zoomScaleNormal="90" workbookViewId="0">
      <selection activeCell="J7" sqref="I1:L23"/>
    </sheetView>
  </sheetViews>
  <sheetFormatPr defaultColWidth="8.85546875" defaultRowHeight="18.75" x14ac:dyDescent="0.25"/>
  <cols>
    <col min="1" max="1" width="13.28515625" style="41" bestFit="1" customWidth="1"/>
    <col min="2" max="2" width="17.42578125" style="41" customWidth="1"/>
    <col min="3" max="3" width="15.5703125" style="41" bestFit="1" customWidth="1"/>
    <col min="4" max="4" width="8.85546875" style="41"/>
    <col min="5" max="5" width="14.28515625" style="41" customWidth="1"/>
    <col min="6" max="6" width="2.28515625" style="41" bestFit="1" customWidth="1"/>
    <col min="7" max="7" width="2.28515625" style="45" bestFit="1" customWidth="1"/>
    <col min="8" max="8" width="2.28515625" style="41" bestFit="1" customWidth="1"/>
    <col min="9" max="9" width="13.28515625" style="41" bestFit="1" customWidth="1"/>
    <col min="10" max="10" width="19.140625" style="41" bestFit="1" customWidth="1"/>
    <col min="11" max="11" width="15.5703125" style="41" bestFit="1" customWidth="1"/>
    <col min="12" max="12" width="15.5703125" style="41" customWidth="1"/>
    <col min="13" max="13" width="8.85546875" style="41"/>
    <col min="14" max="14" width="17.85546875" style="41" customWidth="1"/>
    <col min="15" max="15" width="17.7109375" style="41" customWidth="1"/>
    <col min="16" max="16384" width="8.85546875" style="41"/>
  </cols>
  <sheetData>
    <row r="1" spans="1:16" x14ac:dyDescent="0.25">
      <c r="A1" s="130" t="s">
        <v>259</v>
      </c>
      <c r="B1" s="130"/>
      <c r="C1" s="130"/>
      <c r="D1" s="130" t="s">
        <v>257</v>
      </c>
      <c r="E1" s="130"/>
      <c r="F1" s="130"/>
      <c r="G1" s="44"/>
      <c r="I1" s="130" t="s">
        <v>260</v>
      </c>
      <c r="J1" s="130"/>
      <c r="K1" s="130"/>
      <c r="L1" s="39"/>
      <c r="N1" s="130" t="s">
        <v>261</v>
      </c>
      <c r="O1" s="130"/>
      <c r="P1" s="43"/>
    </row>
    <row r="2" spans="1:16" x14ac:dyDescent="0.25">
      <c r="A2" s="130"/>
      <c r="B2" s="130"/>
      <c r="C2" s="130"/>
      <c r="D2" s="130"/>
      <c r="E2" s="130"/>
      <c r="F2" s="130"/>
      <c r="G2" s="44"/>
      <c r="I2" s="130"/>
      <c r="J2" s="130"/>
      <c r="K2" s="130"/>
      <c r="L2" s="39"/>
      <c r="N2" s="130"/>
      <c r="O2" s="130"/>
      <c r="P2" s="43"/>
    </row>
    <row r="3" spans="1:16" x14ac:dyDescent="0.25">
      <c r="A3" s="68" t="s">
        <v>153</v>
      </c>
      <c r="B3" s="68" t="s">
        <v>248</v>
      </c>
      <c r="C3" s="68" t="s">
        <v>54</v>
      </c>
      <c r="D3" s="62"/>
      <c r="E3" s="68" t="s">
        <v>258</v>
      </c>
      <c r="I3" s="68" t="s">
        <v>153</v>
      </c>
      <c r="J3" s="68" t="s">
        <v>248</v>
      </c>
      <c r="K3" s="68" t="s">
        <v>54</v>
      </c>
      <c r="L3" s="68" t="s">
        <v>263</v>
      </c>
      <c r="M3" s="62"/>
      <c r="N3" s="68" t="s">
        <v>428</v>
      </c>
      <c r="O3" s="68" t="s">
        <v>262</v>
      </c>
    </row>
    <row r="4" spans="1:16" x14ac:dyDescent="0.25">
      <c r="A4" s="69">
        <v>43739</v>
      </c>
      <c r="B4" s="62" t="s">
        <v>199</v>
      </c>
      <c r="C4" s="62">
        <v>15000</v>
      </c>
      <c r="D4" s="62"/>
      <c r="E4" s="62"/>
      <c r="I4" s="69">
        <v>43739</v>
      </c>
      <c r="J4" s="62" t="s">
        <v>199</v>
      </c>
      <c r="K4" s="62">
        <v>60000</v>
      </c>
      <c r="L4" s="62" t="s">
        <v>264</v>
      </c>
      <c r="M4" s="62"/>
      <c r="N4" s="62"/>
      <c r="O4" s="62"/>
    </row>
    <row r="5" spans="1:16" x14ac:dyDescent="0.25">
      <c r="A5" s="69">
        <v>43740</v>
      </c>
      <c r="B5" s="62" t="s">
        <v>200</v>
      </c>
      <c r="C5" s="62">
        <v>16000</v>
      </c>
      <c r="D5" s="62"/>
      <c r="E5" s="62"/>
      <c r="I5" s="69">
        <v>43740</v>
      </c>
      <c r="J5" s="62" t="s">
        <v>200</v>
      </c>
      <c r="K5" s="62">
        <v>16000</v>
      </c>
      <c r="L5" s="62" t="s">
        <v>265</v>
      </c>
      <c r="M5" s="62"/>
      <c r="N5" s="62"/>
      <c r="O5" s="62"/>
    </row>
    <row r="6" spans="1:16" x14ac:dyDescent="0.25">
      <c r="A6" s="69">
        <v>43741</v>
      </c>
      <c r="B6" s="62" t="s">
        <v>201</v>
      </c>
      <c r="C6" s="62">
        <v>18000</v>
      </c>
      <c r="D6" s="62"/>
      <c r="E6" s="62"/>
      <c r="I6" s="69">
        <v>43741</v>
      </c>
      <c r="J6" s="62" t="s">
        <v>201</v>
      </c>
      <c r="K6" s="62">
        <v>18000</v>
      </c>
      <c r="L6" s="62" t="s">
        <v>266</v>
      </c>
      <c r="M6" s="62"/>
      <c r="N6" s="62"/>
      <c r="O6" s="62"/>
    </row>
    <row r="7" spans="1:16" x14ac:dyDescent="0.25">
      <c r="A7" s="69">
        <v>43742</v>
      </c>
      <c r="B7" s="62" t="s">
        <v>202</v>
      </c>
      <c r="C7" s="62">
        <v>19000</v>
      </c>
      <c r="D7" s="62"/>
      <c r="E7" s="62"/>
      <c r="I7" s="69">
        <v>43742</v>
      </c>
      <c r="J7" s="62" t="s">
        <v>202</v>
      </c>
      <c r="K7" s="62">
        <v>19000</v>
      </c>
      <c r="L7" s="62" t="s">
        <v>267</v>
      </c>
      <c r="M7" s="62"/>
      <c r="N7" s="62"/>
      <c r="O7" s="62"/>
    </row>
    <row r="8" spans="1:16" x14ac:dyDescent="0.25">
      <c r="A8" s="69">
        <v>43743</v>
      </c>
      <c r="B8" s="62" t="s">
        <v>203</v>
      </c>
      <c r="C8" s="62">
        <v>25000</v>
      </c>
      <c r="D8" s="62"/>
      <c r="E8" s="62"/>
      <c r="I8" s="69">
        <v>43743</v>
      </c>
      <c r="J8" s="62" t="s">
        <v>203</v>
      </c>
      <c r="K8" s="62">
        <v>25000</v>
      </c>
      <c r="L8" s="62" t="s">
        <v>268</v>
      </c>
      <c r="M8" s="62"/>
      <c r="N8" s="62"/>
      <c r="O8" s="62"/>
    </row>
    <row r="9" spans="1:16" x14ac:dyDescent="0.25">
      <c r="A9" s="69">
        <v>43744</v>
      </c>
      <c r="B9" s="62" t="s">
        <v>204</v>
      </c>
      <c r="C9" s="62">
        <v>22000</v>
      </c>
      <c r="D9" s="62"/>
      <c r="E9" s="62"/>
      <c r="I9" s="69">
        <v>43744</v>
      </c>
      <c r="J9" s="62" t="s">
        <v>204</v>
      </c>
      <c r="K9" s="62">
        <v>22000</v>
      </c>
      <c r="L9" s="62" t="s">
        <v>269</v>
      </c>
      <c r="M9" s="62"/>
      <c r="N9" s="62"/>
      <c r="O9" s="62"/>
    </row>
    <row r="10" spans="1:16" x14ac:dyDescent="0.25">
      <c r="A10" s="69">
        <v>43745</v>
      </c>
      <c r="B10" s="62" t="s">
        <v>205</v>
      </c>
      <c r="C10" s="62">
        <v>15000</v>
      </c>
      <c r="D10" s="62"/>
      <c r="E10" s="62"/>
      <c r="I10" s="69">
        <v>43745</v>
      </c>
      <c r="J10" s="62" t="s">
        <v>205</v>
      </c>
      <c r="K10" s="62">
        <v>15000</v>
      </c>
      <c r="L10" s="62" t="s">
        <v>264</v>
      </c>
      <c r="M10" s="62"/>
      <c r="N10" s="62"/>
      <c r="O10" s="62"/>
    </row>
    <row r="11" spans="1:16" x14ac:dyDescent="0.25">
      <c r="A11" s="69">
        <v>43746</v>
      </c>
      <c r="B11" s="62" t="s">
        <v>206</v>
      </c>
      <c r="C11" s="62">
        <v>35000</v>
      </c>
      <c r="D11" s="62"/>
      <c r="E11" s="62"/>
      <c r="I11" s="69">
        <v>43746</v>
      </c>
      <c r="J11" s="62" t="s">
        <v>206</v>
      </c>
      <c r="K11" s="62">
        <v>35000</v>
      </c>
      <c r="L11" s="62" t="s">
        <v>267</v>
      </c>
      <c r="M11" s="62"/>
      <c r="N11" s="62"/>
      <c r="O11" s="62"/>
    </row>
    <row r="12" spans="1:16" x14ac:dyDescent="0.25">
      <c r="A12" s="69">
        <v>43747</v>
      </c>
      <c r="B12" s="62" t="s">
        <v>207</v>
      </c>
      <c r="C12" s="62">
        <v>15000</v>
      </c>
      <c r="D12" s="62"/>
      <c r="E12" s="62"/>
      <c r="I12" s="69">
        <v>43747</v>
      </c>
      <c r="J12" s="62" t="s">
        <v>207</v>
      </c>
      <c r="K12" s="62">
        <v>15000</v>
      </c>
      <c r="L12" s="62" t="s">
        <v>269</v>
      </c>
      <c r="M12" s="62"/>
      <c r="N12" s="62"/>
      <c r="O12" s="62"/>
    </row>
    <row r="13" spans="1:16" x14ac:dyDescent="0.25">
      <c r="A13" s="69">
        <v>43748</v>
      </c>
      <c r="B13" s="62" t="s">
        <v>208</v>
      </c>
      <c r="C13" s="62">
        <v>35000</v>
      </c>
      <c r="D13" s="62"/>
      <c r="E13" s="62"/>
      <c r="I13" s="69">
        <v>43748</v>
      </c>
      <c r="J13" s="62" t="s">
        <v>208</v>
      </c>
      <c r="K13" s="62">
        <v>35000</v>
      </c>
      <c r="L13" s="62" t="s">
        <v>266</v>
      </c>
      <c r="M13" s="62"/>
      <c r="N13" s="62"/>
      <c r="O13" s="62"/>
    </row>
    <row r="14" spans="1:16" x14ac:dyDescent="0.25">
      <c r="A14" s="69">
        <v>43749</v>
      </c>
      <c r="B14" s="62" t="s">
        <v>209</v>
      </c>
      <c r="C14" s="62">
        <v>18000</v>
      </c>
      <c r="D14" s="62"/>
      <c r="E14" s="62"/>
      <c r="I14" s="69">
        <v>43749</v>
      </c>
      <c r="J14" s="62" t="s">
        <v>209</v>
      </c>
      <c r="K14" s="62">
        <v>18000</v>
      </c>
      <c r="L14" s="62" t="s">
        <v>266</v>
      </c>
      <c r="M14" s="62"/>
      <c r="N14" s="62"/>
      <c r="O14" s="62"/>
    </row>
    <row r="15" spans="1:16" x14ac:dyDescent="0.25">
      <c r="A15" s="69">
        <v>43750</v>
      </c>
      <c r="B15" s="62" t="s">
        <v>210</v>
      </c>
      <c r="C15" s="62">
        <v>21000</v>
      </c>
      <c r="D15" s="62"/>
      <c r="E15" s="62"/>
      <c r="I15" s="69">
        <v>43750</v>
      </c>
      <c r="J15" s="62" t="s">
        <v>210</v>
      </c>
      <c r="K15" s="62">
        <v>21000</v>
      </c>
      <c r="L15" s="62" t="s">
        <v>266</v>
      </c>
      <c r="M15" s="62"/>
      <c r="N15" s="62"/>
      <c r="O15" s="62"/>
    </row>
    <row r="16" spans="1:16" x14ac:dyDescent="0.25">
      <c r="A16" s="69">
        <v>43751</v>
      </c>
      <c r="B16" s="62" t="s">
        <v>249</v>
      </c>
      <c r="C16" s="62">
        <v>22000</v>
      </c>
      <c r="D16" s="62"/>
      <c r="E16" s="62"/>
      <c r="I16" s="69">
        <v>43751</v>
      </c>
      <c r="J16" s="62" t="s">
        <v>249</v>
      </c>
      <c r="K16" s="62">
        <v>22000</v>
      </c>
      <c r="L16" s="62" t="s">
        <v>269</v>
      </c>
      <c r="M16" s="62"/>
      <c r="N16" s="62"/>
      <c r="O16" s="62"/>
    </row>
    <row r="17" spans="1:15" x14ac:dyDescent="0.25">
      <c r="A17" s="69">
        <v>43752</v>
      </c>
      <c r="B17" s="62" t="s">
        <v>250</v>
      </c>
      <c r="C17" s="62">
        <v>25000</v>
      </c>
      <c r="D17" s="62"/>
      <c r="E17" s="62"/>
      <c r="I17" s="69">
        <v>43752</v>
      </c>
      <c r="J17" s="62" t="s">
        <v>250</v>
      </c>
      <c r="K17" s="62">
        <v>25000</v>
      </c>
      <c r="L17" s="62" t="s">
        <v>269</v>
      </c>
      <c r="M17" s="62"/>
      <c r="N17" s="62"/>
      <c r="O17" s="62"/>
    </row>
    <row r="18" spans="1:15" x14ac:dyDescent="0.25">
      <c r="A18" s="69">
        <v>43753</v>
      </c>
      <c r="B18" s="62" t="s">
        <v>251</v>
      </c>
      <c r="C18" s="62">
        <v>26000</v>
      </c>
      <c r="D18" s="62"/>
      <c r="E18" s="62"/>
      <c r="I18" s="69">
        <v>43753</v>
      </c>
      <c r="J18" s="62" t="s">
        <v>251</v>
      </c>
      <c r="K18" s="62">
        <v>26000</v>
      </c>
      <c r="L18" s="62" t="s">
        <v>264</v>
      </c>
      <c r="M18" s="62"/>
      <c r="N18" s="62"/>
      <c r="O18" s="62"/>
    </row>
    <row r="19" spans="1:15" x14ac:dyDescent="0.25">
      <c r="A19" s="69">
        <v>43754</v>
      </c>
      <c r="B19" s="62" t="s">
        <v>252</v>
      </c>
      <c r="C19" s="62">
        <v>17000</v>
      </c>
      <c r="D19" s="62"/>
      <c r="E19" s="62"/>
      <c r="I19" s="69">
        <v>43754</v>
      </c>
      <c r="J19" s="62" t="s">
        <v>252</v>
      </c>
      <c r="K19" s="62">
        <v>17000</v>
      </c>
      <c r="L19" s="62" t="s">
        <v>264</v>
      </c>
      <c r="M19" s="62"/>
      <c r="N19" s="62"/>
      <c r="O19" s="62"/>
    </row>
    <row r="20" spans="1:15" x14ac:dyDescent="0.25">
      <c r="A20" s="69">
        <v>43755</v>
      </c>
      <c r="B20" s="62" t="s">
        <v>253</v>
      </c>
      <c r="C20" s="62">
        <v>50000</v>
      </c>
      <c r="D20" s="62"/>
      <c r="E20" s="62"/>
      <c r="I20" s="69">
        <v>43755</v>
      </c>
      <c r="J20" s="62" t="s">
        <v>253</v>
      </c>
      <c r="K20" s="62">
        <v>50000</v>
      </c>
      <c r="L20" s="62" t="s">
        <v>265</v>
      </c>
      <c r="M20" s="62"/>
      <c r="N20" s="62"/>
      <c r="O20" s="62"/>
    </row>
    <row r="21" spans="1:15" x14ac:dyDescent="0.25">
      <c r="A21" s="69">
        <v>43756</v>
      </c>
      <c r="B21" s="62" t="s">
        <v>254</v>
      </c>
      <c r="C21" s="62">
        <v>19000</v>
      </c>
      <c r="D21" s="62"/>
      <c r="E21" s="62"/>
      <c r="I21" s="69">
        <v>43756</v>
      </c>
      <c r="J21" s="62" t="s">
        <v>254</v>
      </c>
      <c r="K21" s="62">
        <v>19000</v>
      </c>
      <c r="L21" s="62" t="s">
        <v>265</v>
      </c>
      <c r="M21" s="62"/>
      <c r="N21" s="62"/>
      <c r="O21" s="62"/>
    </row>
    <row r="22" spans="1:15" x14ac:dyDescent="0.25">
      <c r="A22" s="69">
        <v>43757</v>
      </c>
      <c r="B22" s="62" t="s">
        <v>255</v>
      </c>
      <c r="C22" s="62">
        <v>14000</v>
      </c>
      <c r="D22" s="62"/>
      <c r="E22" s="62"/>
      <c r="I22" s="69">
        <v>43757</v>
      </c>
      <c r="J22" s="62" t="s">
        <v>255</v>
      </c>
      <c r="K22" s="62">
        <v>14000</v>
      </c>
      <c r="L22" s="62" t="s">
        <v>267</v>
      </c>
      <c r="M22" s="62"/>
      <c r="N22" s="62"/>
      <c r="O22" s="62"/>
    </row>
    <row r="23" spans="1:15" x14ac:dyDescent="0.25">
      <c r="A23" s="69">
        <v>43758</v>
      </c>
      <c r="B23" s="62" t="s">
        <v>256</v>
      </c>
      <c r="C23" s="62">
        <v>15800</v>
      </c>
      <c r="D23" s="62"/>
      <c r="E23" s="62"/>
      <c r="I23" s="69">
        <v>43758</v>
      </c>
      <c r="J23" s="62" t="s">
        <v>256</v>
      </c>
      <c r="K23" s="62">
        <v>15800</v>
      </c>
      <c r="L23" s="62" t="s">
        <v>267</v>
      </c>
      <c r="M23" s="62"/>
      <c r="N23" s="62"/>
      <c r="O23" s="62"/>
    </row>
    <row r="26" spans="1:15" x14ac:dyDescent="0.25">
      <c r="A26" s="131" t="s">
        <v>333</v>
      </c>
      <c r="B26" s="131"/>
      <c r="C26" s="131"/>
      <c r="D26" s="131"/>
      <c r="E26" s="131"/>
      <c r="I26" s="131" t="s">
        <v>333</v>
      </c>
      <c r="J26" s="131"/>
      <c r="K26" s="131"/>
      <c r="L26" s="131"/>
      <c r="M26" s="131"/>
      <c r="N26" s="131"/>
      <c r="O26" s="131"/>
    </row>
    <row r="27" spans="1:15" x14ac:dyDescent="0.25">
      <c r="A27" s="40" t="s">
        <v>153</v>
      </c>
      <c r="B27" s="40" t="s">
        <v>248</v>
      </c>
      <c r="C27" s="40" t="s">
        <v>54</v>
      </c>
      <c r="E27" s="40" t="s">
        <v>258</v>
      </c>
      <c r="I27" s="40" t="s">
        <v>153</v>
      </c>
      <c r="J27" s="40" t="s">
        <v>248</v>
      </c>
      <c r="K27" s="40" t="s">
        <v>54</v>
      </c>
      <c r="L27" s="40" t="s">
        <v>263</v>
      </c>
      <c r="N27" s="40" t="s">
        <v>258</v>
      </c>
      <c r="O27" s="40" t="s">
        <v>262</v>
      </c>
    </row>
    <row r="28" spans="1:15" x14ac:dyDescent="0.25">
      <c r="A28" s="42">
        <v>43739</v>
      </c>
      <c r="B28" s="41" t="s">
        <v>199</v>
      </c>
      <c r="C28" s="41">
        <v>15000</v>
      </c>
      <c r="E28" s="41" t="str">
        <f>IF(C28&gt;20000,"YES","NO")</f>
        <v>NO</v>
      </c>
      <c r="I28" s="42">
        <v>43739</v>
      </c>
      <c r="J28" s="41" t="s">
        <v>199</v>
      </c>
      <c r="K28" s="41">
        <v>60000</v>
      </c>
      <c r="L28" s="41" t="s">
        <v>264</v>
      </c>
      <c r="N28" s="41" t="str">
        <f>IF(AND(L28="SM",K28&gt;20000),"YES","NO")</f>
        <v>YES</v>
      </c>
      <c r="O28" s="41" t="str">
        <f>IF(OR(L28="SM",K28&gt;20000),"YES","NO")</f>
        <v>YES</v>
      </c>
    </row>
    <row r="29" spans="1:15" x14ac:dyDescent="0.25">
      <c r="A29" s="42">
        <v>43740</v>
      </c>
      <c r="B29" s="41" t="s">
        <v>200</v>
      </c>
      <c r="C29" s="41">
        <v>16000</v>
      </c>
      <c r="E29" s="41" t="str">
        <f t="shared" ref="E29:E47" si="0">IF(C29&gt;20000,"YES","NO")</f>
        <v>NO</v>
      </c>
      <c r="I29" s="42">
        <v>43740</v>
      </c>
      <c r="J29" s="41" t="s">
        <v>200</v>
      </c>
      <c r="K29" s="41">
        <v>16000</v>
      </c>
      <c r="L29" s="41" t="s">
        <v>265</v>
      </c>
      <c r="N29" s="41" t="str">
        <f t="shared" ref="N29:N47" si="1">IF(AND(L29="SM",K29&gt;20000),"YES","NO")</f>
        <v>NO</v>
      </c>
      <c r="O29" s="41" t="str">
        <f t="shared" ref="O29:O47" si="2">IF(OR(L29="SM",K29&gt;20000),"YES","NO")</f>
        <v>NO</v>
      </c>
    </row>
    <row r="30" spans="1:15" x14ac:dyDescent="0.25">
      <c r="A30" s="42">
        <v>43741</v>
      </c>
      <c r="B30" s="41" t="s">
        <v>201</v>
      </c>
      <c r="C30" s="41">
        <v>18000</v>
      </c>
      <c r="E30" s="41" t="str">
        <f t="shared" si="0"/>
        <v>NO</v>
      </c>
      <c r="I30" s="42">
        <v>43741</v>
      </c>
      <c r="J30" s="41" t="s">
        <v>201</v>
      </c>
      <c r="K30" s="41">
        <v>18000</v>
      </c>
      <c r="L30" s="41" t="s">
        <v>266</v>
      </c>
      <c r="N30" s="41" t="str">
        <f t="shared" si="1"/>
        <v>NO</v>
      </c>
      <c r="O30" s="41" t="str">
        <f t="shared" si="2"/>
        <v>NO</v>
      </c>
    </row>
    <row r="31" spans="1:15" x14ac:dyDescent="0.25">
      <c r="A31" s="42">
        <v>43742</v>
      </c>
      <c r="B31" s="41" t="s">
        <v>202</v>
      </c>
      <c r="C31" s="41">
        <v>19000</v>
      </c>
      <c r="E31" s="41" t="str">
        <f t="shared" si="0"/>
        <v>NO</v>
      </c>
      <c r="I31" s="42">
        <v>43742</v>
      </c>
      <c r="J31" s="41" t="s">
        <v>202</v>
      </c>
      <c r="K31" s="41">
        <v>19000</v>
      </c>
      <c r="L31" s="41" t="s">
        <v>267</v>
      </c>
      <c r="N31" s="41" t="str">
        <f t="shared" si="1"/>
        <v>NO</v>
      </c>
      <c r="O31" s="41" t="str">
        <f t="shared" si="2"/>
        <v>NO</v>
      </c>
    </row>
    <row r="32" spans="1:15" x14ac:dyDescent="0.25">
      <c r="A32" s="42">
        <v>43743</v>
      </c>
      <c r="B32" s="41" t="s">
        <v>203</v>
      </c>
      <c r="C32" s="41">
        <v>25000</v>
      </c>
      <c r="E32" s="41" t="str">
        <f t="shared" si="0"/>
        <v>YES</v>
      </c>
      <c r="I32" s="42">
        <v>43743</v>
      </c>
      <c r="J32" s="41" t="s">
        <v>203</v>
      </c>
      <c r="K32" s="41">
        <v>25000</v>
      </c>
      <c r="L32" s="41" t="s">
        <v>268</v>
      </c>
      <c r="N32" s="41" t="str">
        <f t="shared" si="1"/>
        <v>NO</v>
      </c>
      <c r="O32" s="41" t="str">
        <f t="shared" si="2"/>
        <v>YES</v>
      </c>
    </row>
    <row r="33" spans="1:15" x14ac:dyDescent="0.25">
      <c r="A33" s="42">
        <v>43744</v>
      </c>
      <c r="B33" s="41" t="s">
        <v>204</v>
      </c>
      <c r="C33" s="41">
        <v>22000</v>
      </c>
      <c r="E33" s="41" t="str">
        <f t="shared" si="0"/>
        <v>YES</v>
      </c>
      <c r="I33" s="42">
        <v>43744</v>
      </c>
      <c r="J33" s="41" t="s">
        <v>204</v>
      </c>
      <c r="K33" s="41">
        <v>22000</v>
      </c>
      <c r="L33" s="41" t="s">
        <v>269</v>
      </c>
      <c r="N33" s="41" t="str">
        <f t="shared" si="1"/>
        <v>NO</v>
      </c>
      <c r="O33" s="41" t="str">
        <f t="shared" si="2"/>
        <v>YES</v>
      </c>
    </row>
    <row r="34" spans="1:15" x14ac:dyDescent="0.25">
      <c r="A34" s="42">
        <v>43745</v>
      </c>
      <c r="B34" s="41" t="s">
        <v>205</v>
      </c>
      <c r="C34" s="41">
        <v>15000</v>
      </c>
      <c r="E34" s="41" t="str">
        <f t="shared" si="0"/>
        <v>NO</v>
      </c>
      <c r="I34" s="42">
        <v>43745</v>
      </c>
      <c r="J34" s="41" t="s">
        <v>205</v>
      </c>
      <c r="K34" s="41">
        <v>15000</v>
      </c>
      <c r="L34" s="41" t="s">
        <v>264</v>
      </c>
      <c r="N34" s="41" t="str">
        <f t="shared" si="1"/>
        <v>NO</v>
      </c>
      <c r="O34" s="41" t="str">
        <f t="shared" si="2"/>
        <v>YES</v>
      </c>
    </row>
    <row r="35" spans="1:15" x14ac:dyDescent="0.25">
      <c r="A35" s="42">
        <v>43746</v>
      </c>
      <c r="B35" s="41" t="s">
        <v>206</v>
      </c>
      <c r="C35" s="41">
        <v>35000</v>
      </c>
      <c r="E35" s="41" t="str">
        <f t="shared" si="0"/>
        <v>YES</v>
      </c>
      <c r="I35" s="42">
        <v>43746</v>
      </c>
      <c r="J35" s="41" t="s">
        <v>206</v>
      </c>
      <c r="K35" s="41">
        <v>35000</v>
      </c>
      <c r="L35" s="41" t="s">
        <v>267</v>
      </c>
      <c r="N35" s="41" t="str">
        <f t="shared" si="1"/>
        <v>NO</v>
      </c>
      <c r="O35" s="41" t="str">
        <f t="shared" si="2"/>
        <v>YES</v>
      </c>
    </row>
    <row r="36" spans="1:15" x14ac:dyDescent="0.25">
      <c r="A36" s="42">
        <v>43747</v>
      </c>
      <c r="B36" s="41" t="s">
        <v>207</v>
      </c>
      <c r="C36" s="41">
        <v>15000</v>
      </c>
      <c r="E36" s="41" t="str">
        <f t="shared" si="0"/>
        <v>NO</v>
      </c>
      <c r="I36" s="42">
        <v>43747</v>
      </c>
      <c r="J36" s="41" t="s">
        <v>207</v>
      </c>
      <c r="K36" s="41">
        <v>15000</v>
      </c>
      <c r="L36" s="41" t="s">
        <v>269</v>
      </c>
      <c r="N36" s="41" t="str">
        <f t="shared" si="1"/>
        <v>NO</v>
      </c>
      <c r="O36" s="41" t="str">
        <f t="shared" si="2"/>
        <v>NO</v>
      </c>
    </row>
    <row r="37" spans="1:15" x14ac:dyDescent="0.25">
      <c r="A37" s="42">
        <v>43748</v>
      </c>
      <c r="B37" s="41" t="s">
        <v>208</v>
      </c>
      <c r="C37" s="41">
        <v>35000</v>
      </c>
      <c r="E37" s="41" t="str">
        <f t="shared" si="0"/>
        <v>YES</v>
      </c>
      <c r="I37" s="42">
        <v>43748</v>
      </c>
      <c r="J37" s="41" t="s">
        <v>208</v>
      </c>
      <c r="K37" s="41">
        <v>35000</v>
      </c>
      <c r="L37" s="41" t="s">
        <v>266</v>
      </c>
      <c r="N37" s="41" t="str">
        <f t="shared" si="1"/>
        <v>NO</v>
      </c>
      <c r="O37" s="41" t="str">
        <f t="shared" si="2"/>
        <v>YES</v>
      </c>
    </row>
    <row r="38" spans="1:15" x14ac:dyDescent="0.25">
      <c r="A38" s="42">
        <v>43749</v>
      </c>
      <c r="B38" s="41" t="s">
        <v>209</v>
      </c>
      <c r="C38" s="41">
        <v>18000</v>
      </c>
      <c r="E38" s="41" t="str">
        <f t="shared" si="0"/>
        <v>NO</v>
      </c>
      <c r="I38" s="42">
        <v>43749</v>
      </c>
      <c r="J38" s="41" t="s">
        <v>209</v>
      </c>
      <c r="K38" s="41">
        <v>18000</v>
      </c>
      <c r="L38" s="41" t="s">
        <v>266</v>
      </c>
      <c r="N38" s="41" t="str">
        <f t="shared" si="1"/>
        <v>NO</v>
      </c>
      <c r="O38" s="41" t="str">
        <f t="shared" si="2"/>
        <v>NO</v>
      </c>
    </row>
    <row r="39" spans="1:15" x14ac:dyDescent="0.25">
      <c r="A39" s="42">
        <v>43750</v>
      </c>
      <c r="B39" s="41" t="s">
        <v>210</v>
      </c>
      <c r="C39" s="41">
        <v>21000</v>
      </c>
      <c r="E39" s="41" t="str">
        <f t="shared" si="0"/>
        <v>YES</v>
      </c>
      <c r="I39" s="42">
        <v>43750</v>
      </c>
      <c r="J39" s="41" t="s">
        <v>210</v>
      </c>
      <c r="K39" s="41">
        <v>21000</v>
      </c>
      <c r="L39" s="41" t="s">
        <v>266</v>
      </c>
      <c r="N39" s="41" t="str">
        <f t="shared" si="1"/>
        <v>NO</v>
      </c>
      <c r="O39" s="41" t="str">
        <f t="shared" si="2"/>
        <v>YES</v>
      </c>
    </row>
    <row r="40" spans="1:15" x14ac:dyDescent="0.25">
      <c r="A40" s="42">
        <v>43751</v>
      </c>
      <c r="B40" s="41" t="s">
        <v>249</v>
      </c>
      <c r="C40" s="41">
        <v>22000</v>
      </c>
      <c r="E40" s="41" t="str">
        <f t="shared" si="0"/>
        <v>YES</v>
      </c>
      <c r="I40" s="42">
        <v>43751</v>
      </c>
      <c r="J40" s="41" t="s">
        <v>249</v>
      </c>
      <c r="K40" s="41">
        <v>22000</v>
      </c>
      <c r="L40" s="41" t="s">
        <v>269</v>
      </c>
      <c r="N40" s="41" t="str">
        <f t="shared" si="1"/>
        <v>NO</v>
      </c>
      <c r="O40" s="41" t="str">
        <f t="shared" si="2"/>
        <v>YES</v>
      </c>
    </row>
    <row r="41" spans="1:15" x14ac:dyDescent="0.25">
      <c r="A41" s="42">
        <v>43752</v>
      </c>
      <c r="B41" s="41" t="s">
        <v>250</v>
      </c>
      <c r="C41" s="41">
        <v>25000</v>
      </c>
      <c r="E41" s="41" t="str">
        <f t="shared" si="0"/>
        <v>YES</v>
      </c>
      <c r="I41" s="42">
        <v>43752</v>
      </c>
      <c r="J41" s="41" t="s">
        <v>250</v>
      </c>
      <c r="K41" s="41">
        <v>25000</v>
      </c>
      <c r="L41" s="41" t="s">
        <v>269</v>
      </c>
      <c r="N41" s="41" t="str">
        <f t="shared" si="1"/>
        <v>NO</v>
      </c>
      <c r="O41" s="41" t="str">
        <f t="shared" si="2"/>
        <v>YES</v>
      </c>
    </row>
    <row r="42" spans="1:15" x14ac:dyDescent="0.25">
      <c r="A42" s="42">
        <v>43753</v>
      </c>
      <c r="B42" s="41" t="s">
        <v>251</v>
      </c>
      <c r="C42" s="41">
        <v>26000</v>
      </c>
      <c r="E42" s="41" t="str">
        <f t="shared" si="0"/>
        <v>YES</v>
      </c>
      <c r="I42" s="42">
        <v>43753</v>
      </c>
      <c r="J42" s="41" t="s">
        <v>251</v>
      </c>
      <c r="K42" s="41">
        <v>26000</v>
      </c>
      <c r="L42" s="41" t="s">
        <v>264</v>
      </c>
      <c r="N42" s="41" t="str">
        <f t="shared" si="1"/>
        <v>YES</v>
      </c>
      <c r="O42" s="41" t="str">
        <f t="shared" si="2"/>
        <v>YES</v>
      </c>
    </row>
    <row r="43" spans="1:15" x14ac:dyDescent="0.25">
      <c r="A43" s="42">
        <v>43754</v>
      </c>
      <c r="B43" s="41" t="s">
        <v>252</v>
      </c>
      <c r="C43" s="41">
        <v>17000</v>
      </c>
      <c r="E43" s="41" t="str">
        <f t="shared" si="0"/>
        <v>NO</v>
      </c>
      <c r="I43" s="42">
        <v>43754</v>
      </c>
      <c r="J43" s="41" t="s">
        <v>252</v>
      </c>
      <c r="K43" s="41">
        <v>17000</v>
      </c>
      <c r="L43" s="41" t="s">
        <v>264</v>
      </c>
      <c r="N43" s="41" t="str">
        <f t="shared" si="1"/>
        <v>NO</v>
      </c>
      <c r="O43" s="41" t="str">
        <f t="shared" si="2"/>
        <v>YES</v>
      </c>
    </row>
    <row r="44" spans="1:15" x14ac:dyDescent="0.25">
      <c r="A44" s="42">
        <v>43755</v>
      </c>
      <c r="B44" s="41" t="s">
        <v>253</v>
      </c>
      <c r="C44" s="41">
        <v>50000</v>
      </c>
      <c r="E44" s="41" t="str">
        <f t="shared" si="0"/>
        <v>YES</v>
      </c>
      <c r="I44" s="42">
        <v>43755</v>
      </c>
      <c r="J44" s="41" t="s">
        <v>253</v>
      </c>
      <c r="K44" s="41">
        <v>50000</v>
      </c>
      <c r="L44" s="41" t="s">
        <v>265</v>
      </c>
      <c r="N44" s="41" t="str">
        <f t="shared" si="1"/>
        <v>NO</v>
      </c>
      <c r="O44" s="41" t="str">
        <f t="shared" si="2"/>
        <v>YES</v>
      </c>
    </row>
    <row r="45" spans="1:15" x14ac:dyDescent="0.25">
      <c r="A45" s="42">
        <v>43756</v>
      </c>
      <c r="B45" s="41" t="s">
        <v>254</v>
      </c>
      <c r="C45" s="41">
        <v>19000</v>
      </c>
      <c r="E45" s="41" t="str">
        <f t="shared" si="0"/>
        <v>NO</v>
      </c>
      <c r="I45" s="42">
        <v>43756</v>
      </c>
      <c r="J45" s="41" t="s">
        <v>254</v>
      </c>
      <c r="K45" s="41">
        <v>19000</v>
      </c>
      <c r="L45" s="41" t="s">
        <v>265</v>
      </c>
      <c r="N45" s="41" t="str">
        <f t="shared" si="1"/>
        <v>NO</v>
      </c>
      <c r="O45" s="41" t="str">
        <f t="shared" si="2"/>
        <v>NO</v>
      </c>
    </row>
    <row r="46" spans="1:15" x14ac:dyDescent="0.25">
      <c r="A46" s="42">
        <v>43757</v>
      </c>
      <c r="B46" s="41" t="s">
        <v>255</v>
      </c>
      <c r="C46" s="41">
        <v>14000</v>
      </c>
      <c r="E46" s="41" t="str">
        <f t="shared" si="0"/>
        <v>NO</v>
      </c>
      <c r="I46" s="42">
        <v>43757</v>
      </c>
      <c r="J46" s="41" t="s">
        <v>255</v>
      </c>
      <c r="K46" s="41">
        <v>14000</v>
      </c>
      <c r="L46" s="41" t="s">
        <v>267</v>
      </c>
      <c r="N46" s="41" t="str">
        <f t="shared" si="1"/>
        <v>NO</v>
      </c>
      <c r="O46" s="41" t="str">
        <f t="shared" si="2"/>
        <v>NO</v>
      </c>
    </row>
    <row r="47" spans="1:15" x14ac:dyDescent="0.25">
      <c r="A47" s="42">
        <v>43758</v>
      </c>
      <c r="B47" s="41" t="s">
        <v>256</v>
      </c>
      <c r="C47" s="41">
        <v>15800</v>
      </c>
      <c r="E47" s="41" t="str">
        <f t="shared" si="0"/>
        <v>NO</v>
      </c>
      <c r="I47" s="42">
        <v>43758</v>
      </c>
      <c r="J47" s="41" t="s">
        <v>256</v>
      </c>
      <c r="K47" s="41">
        <v>15800</v>
      </c>
      <c r="L47" s="41" t="s">
        <v>267</v>
      </c>
      <c r="N47" s="41" t="str">
        <f t="shared" si="1"/>
        <v>NO</v>
      </c>
      <c r="O47" s="41" t="str">
        <f t="shared" si="2"/>
        <v>NO</v>
      </c>
    </row>
  </sheetData>
  <mergeCells count="6">
    <mergeCell ref="A1:C2"/>
    <mergeCell ref="D1:F2"/>
    <mergeCell ref="I1:K2"/>
    <mergeCell ref="N1:O2"/>
    <mergeCell ref="A26:E26"/>
    <mergeCell ref="I26:O26"/>
  </mergeCells>
  <conditionalFormatting sqref="E1:E1048576">
    <cfRule type="containsText" dxfId="8" priority="10" operator="containsText" text="YES">
      <formula>NOT(ISERROR(SEARCH("YES",E1)))</formula>
    </cfRule>
  </conditionalFormatting>
  <conditionalFormatting sqref="E28:E1048576 E1:E25">
    <cfRule type="containsText" dxfId="7" priority="9" operator="containsText" text="NO">
      <formula>NOT(ISERROR(SEARCH("NO",E1)))</formula>
    </cfRule>
  </conditionalFormatting>
  <conditionalFormatting sqref="O28:O1048576 O1:O25">
    <cfRule type="containsText" dxfId="6" priority="7" operator="containsText" text="NO">
      <formula>NOT(ISERROR(SEARCH("NO",O1)))</formula>
    </cfRule>
    <cfRule type="containsText" dxfId="5" priority="8" operator="containsText" text="YES">
      <formula>NOT(ISERROR(SEARCH("YES",O1)))</formula>
    </cfRule>
  </conditionalFormatting>
  <conditionalFormatting sqref="E27">
    <cfRule type="containsText" dxfId="4" priority="6" operator="containsText" text="NO">
      <formula>NOT(ISERROR(SEARCH("NO",E27)))</formula>
    </cfRule>
  </conditionalFormatting>
  <conditionalFormatting sqref="O27">
    <cfRule type="containsText" dxfId="3" priority="4" operator="containsText" text="NO">
      <formula>NOT(ISERROR(SEARCH("NO",O27)))</formula>
    </cfRule>
    <cfRule type="containsText" dxfId="2" priority="5" operator="containsText" text="YES">
      <formula>NOT(ISERROR(SEARCH("YES",O27)))</formula>
    </cfRule>
  </conditionalFormatting>
  <conditionalFormatting sqref="N1:N1048576">
    <cfRule type="containsText" dxfId="1" priority="1" operator="containsText" text="YES">
      <formula>NOT(ISERROR(SEARCH("YES",N1)))</formula>
    </cfRule>
    <cfRule type="containsText" dxfId="0" priority="2" operator="containsText" text="NO">
      <formula>NOT(ISERROR(SEARCH("NO",N1)))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23"/>
  <sheetViews>
    <sheetView workbookViewId="0">
      <selection activeCell="H14" sqref="H14"/>
    </sheetView>
  </sheetViews>
  <sheetFormatPr defaultColWidth="8.85546875" defaultRowHeight="18.75" x14ac:dyDescent="0.3"/>
  <cols>
    <col min="1" max="1" width="13.28515625" style="4" bestFit="1" customWidth="1"/>
    <col min="2" max="2" width="19.140625" style="4" bestFit="1" customWidth="1"/>
    <col min="3" max="3" width="19.140625" style="4" customWidth="1"/>
    <col min="4" max="4" width="15.5703125" style="4" bestFit="1" customWidth="1"/>
    <col min="5" max="5" width="8.85546875" style="4"/>
    <col min="6" max="6" width="23.140625" style="4" bestFit="1" customWidth="1"/>
    <col min="7" max="12" width="8.85546875" style="4"/>
    <col min="13" max="13" width="2.28515625" style="4" bestFit="1" customWidth="1"/>
    <col min="14" max="14" width="2.28515625" style="70" bestFit="1" customWidth="1"/>
    <col min="15" max="15" width="2.28515625" style="4" bestFit="1" customWidth="1"/>
    <col min="16" max="16" width="27.7109375" style="4" bestFit="1" customWidth="1"/>
    <col min="17" max="16384" width="8.85546875" style="4"/>
  </cols>
  <sheetData>
    <row r="1" spans="1:16" x14ac:dyDescent="0.3">
      <c r="B1" s="120" t="s">
        <v>271</v>
      </c>
      <c r="C1" s="120"/>
      <c r="F1" s="120" t="s">
        <v>272</v>
      </c>
      <c r="I1" s="120" t="s">
        <v>273</v>
      </c>
      <c r="J1" s="120"/>
      <c r="K1" s="120"/>
      <c r="P1" s="121" t="s">
        <v>333</v>
      </c>
    </row>
    <row r="2" spans="1:16" x14ac:dyDescent="0.3">
      <c r="B2" s="120"/>
      <c r="C2" s="120"/>
      <c r="F2" s="120"/>
      <c r="I2" s="120"/>
      <c r="J2" s="120"/>
      <c r="K2" s="120"/>
      <c r="P2" s="121"/>
    </row>
    <row r="3" spans="1:16" x14ac:dyDescent="0.3">
      <c r="A3" s="68" t="s">
        <v>153</v>
      </c>
      <c r="B3" s="68" t="s">
        <v>248</v>
      </c>
      <c r="C3" s="68" t="s">
        <v>263</v>
      </c>
      <c r="D3" s="68" t="s">
        <v>54</v>
      </c>
      <c r="F3" s="56" t="s">
        <v>258</v>
      </c>
      <c r="H3" s="136" t="s">
        <v>270</v>
      </c>
      <c r="I3" s="136"/>
      <c r="J3" s="136"/>
      <c r="K3" s="136"/>
      <c r="L3" s="136"/>
      <c r="P3" s="56" t="s">
        <v>258</v>
      </c>
    </row>
    <row r="4" spans="1:16" x14ac:dyDescent="0.3">
      <c r="A4" s="69">
        <v>43739</v>
      </c>
      <c r="B4" s="62" t="s">
        <v>199</v>
      </c>
      <c r="C4" s="62" t="s">
        <v>264</v>
      </c>
      <c r="D4" s="62">
        <v>15000</v>
      </c>
      <c r="F4" s="55">
        <f>IF(C4="SM",3000,IF(C4="BDE",2000,IF(C4="CSM",4000,IF(C4="CLERK",3000,IF(C4="BM",8000,5000)))))</f>
        <v>3000</v>
      </c>
      <c r="H4" s="135" t="s">
        <v>264</v>
      </c>
      <c r="I4" s="135"/>
      <c r="J4" s="135">
        <v>3000</v>
      </c>
      <c r="K4" s="135"/>
      <c r="L4" s="135"/>
      <c r="P4" s="55">
        <f>IF(C4="SM",3000,IF(C4="BDE",2000,IF(C4="CSM",4000,IF(C4="CLERK",3000,IF(C4="BM",8000,5000)))))</f>
        <v>3000</v>
      </c>
    </row>
    <row r="5" spans="1:16" x14ac:dyDescent="0.3">
      <c r="A5" s="69">
        <v>43740</v>
      </c>
      <c r="B5" s="62" t="s">
        <v>200</v>
      </c>
      <c r="C5" s="62" t="s">
        <v>265</v>
      </c>
      <c r="D5" s="62">
        <v>16000</v>
      </c>
      <c r="F5" s="55">
        <f t="shared" ref="F5:F23" si="0">IF(C5="SM",3000,IF(C5="BDE",2000,IF(C5="CSM",4000,IF(C5="CLERK",3000,IF(C5="BM",8000,5000)))))</f>
        <v>2000</v>
      </c>
      <c r="H5" s="135" t="s">
        <v>265</v>
      </c>
      <c r="I5" s="135"/>
      <c r="J5" s="135">
        <v>2000</v>
      </c>
      <c r="K5" s="135"/>
      <c r="L5" s="135"/>
      <c r="P5" s="55">
        <f t="shared" ref="P5:P23" si="1">IF(C5="SM",3000,IF(C5="BDE",2000,IF(C5="CSM",4000,IF(C5="CLERK",3000,IF(C5="BM",8000,5000)))))</f>
        <v>2000</v>
      </c>
    </row>
    <row r="6" spans="1:16" x14ac:dyDescent="0.3">
      <c r="A6" s="69">
        <v>43741</v>
      </c>
      <c r="B6" s="62" t="s">
        <v>201</v>
      </c>
      <c r="C6" s="62" t="s">
        <v>266</v>
      </c>
      <c r="D6" s="62">
        <v>18000</v>
      </c>
      <c r="F6" s="55">
        <f t="shared" si="0"/>
        <v>4000</v>
      </c>
      <c r="H6" s="135" t="s">
        <v>266</v>
      </c>
      <c r="I6" s="135"/>
      <c r="J6" s="135">
        <v>4000</v>
      </c>
      <c r="K6" s="135"/>
      <c r="L6" s="135"/>
      <c r="P6" s="55">
        <f t="shared" si="1"/>
        <v>4000</v>
      </c>
    </row>
    <row r="7" spans="1:16" x14ac:dyDescent="0.3">
      <c r="A7" s="69">
        <v>43742</v>
      </c>
      <c r="B7" s="62" t="s">
        <v>202</v>
      </c>
      <c r="C7" s="62" t="s">
        <v>267</v>
      </c>
      <c r="D7" s="62">
        <v>19000</v>
      </c>
      <c r="F7" s="55">
        <f t="shared" si="0"/>
        <v>3000</v>
      </c>
      <c r="H7" s="135" t="s">
        <v>267</v>
      </c>
      <c r="I7" s="135"/>
      <c r="J7" s="135">
        <v>3000</v>
      </c>
      <c r="K7" s="135"/>
      <c r="L7" s="135"/>
      <c r="P7" s="55">
        <f t="shared" si="1"/>
        <v>3000</v>
      </c>
    </row>
    <row r="8" spans="1:16" x14ac:dyDescent="0.3">
      <c r="A8" s="69">
        <v>43743</v>
      </c>
      <c r="B8" s="62" t="s">
        <v>203</v>
      </c>
      <c r="C8" s="62" t="s">
        <v>268</v>
      </c>
      <c r="D8" s="62">
        <v>25000</v>
      </c>
      <c r="F8" s="55">
        <f t="shared" si="0"/>
        <v>8000</v>
      </c>
      <c r="H8" s="135" t="s">
        <v>268</v>
      </c>
      <c r="I8" s="135"/>
      <c r="J8" s="135">
        <v>8000</v>
      </c>
      <c r="K8" s="135"/>
      <c r="L8" s="135"/>
      <c r="P8" s="55">
        <f t="shared" si="1"/>
        <v>8000</v>
      </c>
    </row>
    <row r="9" spans="1:16" x14ac:dyDescent="0.3">
      <c r="A9" s="69">
        <v>43744</v>
      </c>
      <c r="B9" s="62" t="s">
        <v>204</v>
      </c>
      <c r="C9" s="62" t="s">
        <v>269</v>
      </c>
      <c r="D9" s="62">
        <v>22000</v>
      </c>
      <c r="F9" s="55">
        <f t="shared" si="0"/>
        <v>5000</v>
      </c>
      <c r="H9" s="135" t="s">
        <v>269</v>
      </c>
      <c r="I9" s="135"/>
      <c r="J9" s="135">
        <v>5000</v>
      </c>
      <c r="K9" s="135"/>
      <c r="L9" s="135"/>
      <c r="P9" s="55">
        <f t="shared" si="1"/>
        <v>5000</v>
      </c>
    </row>
    <row r="10" spans="1:16" x14ac:dyDescent="0.3">
      <c r="A10" s="69">
        <v>43745</v>
      </c>
      <c r="B10" s="62" t="s">
        <v>205</v>
      </c>
      <c r="C10" s="62" t="s">
        <v>264</v>
      </c>
      <c r="D10" s="62">
        <v>15000</v>
      </c>
      <c r="F10" s="55">
        <f t="shared" si="0"/>
        <v>3000</v>
      </c>
      <c r="P10" s="55">
        <f t="shared" si="1"/>
        <v>3000</v>
      </c>
    </row>
    <row r="11" spans="1:16" x14ac:dyDescent="0.3">
      <c r="A11" s="69">
        <v>43746</v>
      </c>
      <c r="B11" s="62" t="s">
        <v>206</v>
      </c>
      <c r="C11" s="62" t="s">
        <v>267</v>
      </c>
      <c r="D11" s="62">
        <v>35000</v>
      </c>
      <c r="F11" s="55">
        <f t="shared" si="0"/>
        <v>3000</v>
      </c>
      <c r="P11" s="55">
        <f t="shared" si="1"/>
        <v>3000</v>
      </c>
    </row>
    <row r="12" spans="1:16" x14ac:dyDescent="0.3">
      <c r="A12" s="69">
        <v>43747</v>
      </c>
      <c r="B12" s="62" t="s">
        <v>207</v>
      </c>
      <c r="C12" s="62" t="s">
        <v>269</v>
      </c>
      <c r="D12" s="62">
        <v>15000</v>
      </c>
      <c r="F12" s="55">
        <f t="shared" si="0"/>
        <v>5000</v>
      </c>
      <c r="P12" s="55">
        <f t="shared" si="1"/>
        <v>5000</v>
      </c>
    </row>
    <row r="13" spans="1:16" x14ac:dyDescent="0.3">
      <c r="A13" s="69">
        <v>43748</v>
      </c>
      <c r="B13" s="62" t="s">
        <v>208</v>
      </c>
      <c r="C13" s="62" t="s">
        <v>266</v>
      </c>
      <c r="D13" s="62">
        <v>35000</v>
      </c>
      <c r="F13" s="55">
        <f t="shared" si="0"/>
        <v>4000</v>
      </c>
      <c r="P13" s="55">
        <f t="shared" si="1"/>
        <v>4000</v>
      </c>
    </row>
    <row r="14" spans="1:16" x14ac:dyDescent="0.3">
      <c r="A14" s="69">
        <v>43749</v>
      </c>
      <c r="B14" s="62" t="s">
        <v>209</v>
      </c>
      <c r="C14" s="62" t="s">
        <v>266</v>
      </c>
      <c r="D14" s="62">
        <v>18000</v>
      </c>
      <c r="F14" s="55">
        <f t="shared" si="0"/>
        <v>4000</v>
      </c>
      <c r="P14" s="55">
        <f t="shared" si="1"/>
        <v>4000</v>
      </c>
    </row>
    <row r="15" spans="1:16" x14ac:dyDescent="0.3">
      <c r="A15" s="69">
        <v>43750</v>
      </c>
      <c r="B15" s="62" t="s">
        <v>210</v>
      </c>
      <c r="C15" s="62" t="s">
        <v>266</v>
      </c>
      <c r="D15" s="62">
        <v>21000</v>
      </c>
      <c r="F15" s="55">
        <f t="shared" si="0"/>
        <v>4000</v>
      </c>
      <c r="P15" s="55">
        <f t="shared" si="1"/>
        <v>4000</v>
      </c>
    </row>
    <row r="16" spans="1:16" x14ac:dyDescent="0.3">
      <c r="A16" s="69">
        <v>43751</v>
      </c>
      <c r="B16" s="62" t="s">
        <v>249</v>
      </c>
      <c r="C16" s="62" t="s">
        <v>269</v>
      </c>
      <c r="D16" s="62">
        <v>22000</v>
      </c>
      <c r="F16" s="55">
        <f t="shared" si="0"/>
        <v>5000</v>
      </c>
      <c r="P16" s="55">
        <f t="shared" si="1"/>
        <v>5000</v>
      </c>
    </row>
    <row r="17" spans="1:16" x14ac:dyDescent="0.3">
      <c r="A17" s="69">
        <v>43752</v>
      </c>
      <c r="B17" s="62" t="s">
        <v>250</v>
      </c>
      <c r="C17" s="62" t="s">
        <v>269</v>
      </c>
      <c r="D17" s="62">
        <v>25000</v>
      </c>
      <c r="F17" s="55">
        <f t="shared" si="0"/>
        <v>5000</v>
      </c>
      <c r="P17" s="55">
        <f t="shared" si="1"/>
        <v>5000</v>
      </c>
    </row>
    <row r="18" spans="1:16" x14ac:dyDescent="0.3">
      <c r="A18" s="69">
        <v>43753</v>
      </c>
      <c r="B18" s="62" t="s">
        <v>251</v>
      </c>
      <c r="C18" s="62" t="s">
        <v>264</v>
      </c>
      <c r="D18" s="62">
        <v>26000</v>
      </c>
      <c r="F18" s="55">
        <f t="shared" si="0"/>
        <v>3000</v>
      </c>
      <c r="P18" s="55">
        <f t="shared" si="1"/>
        <v>3000</v>
      </c>
    </row>
    <row r="19" spans="1:16" x14ac:dyDescent="0.3">
      <c r="A19" s="69">
        <v>43754</v>
      </c>
      <c r="B19" s="62" t="s">
        <v>252</v>
      </c>
      <c r="C19" s="62" t="s">
        <v>264</v>
      </c>
      <c r="D19" s="62">
        <v>17000</v>
      </c>
      <c r="F19" s="55">
        <f t="shared" si="0"/>
        <v>3000</v>
      </c>
      <c r="P19" s="55">
        <f t="shared" si="1"/>
        <v>3000</v>
      </c>
    </row>
    <row r="20" spans="1:16" x14ac:dyDescent="0.3">
      <c r="A20" s="69">
        <v>43755</v>
      </c>
      <c r="B20" s="62" t="s">
        <v>253</v>
      </c>
      <c r="C20" s="62" t="s">
        <v>265</v>
      </c>
      <c r="D20" s="62">
        <v>50000</v>
      </c>
      <c r="F20" s="55">
        <f t="shared" si="0"/>
        <v>2000</v>
      </c>
      <c r="P20" s="55">
        <f t="shared" si="1"/>
        <v>2000</v>
      </c>
    </row>
    <row r="21" spans="1:16" x14ac:dyDescent="0.3">
      <c r="A21" s="69">
        <v>43756</v>
      </c>
      <c r="B21" s="62" t="s">
        <v>254</v>
      </c>
      <c r="C21" s="62" t="s">
        <v>265</v>
      </c>
      <c r="D21" s="62">
        <v>19000</v>
      </c>
      <c r="F21" s="55">
        <f t="shared" si="0"/>
        <v>2000</v>
      </c>
      <c r="P21" s="55">
        <f t="shared" si="1"/>
        <v>2000</v>
      </c>
    </row>
    <row r="22" spans="1:16" x14ac:dyDescent="0.3">
      <c r="A22" s="69">
        <v>43757</v>
      </c>
      <c r="B22" s="62" t="s">
        <v>255</v>
      </c>
      <c r="C22" s="62" t="s">
        <v>268</v>
      </c>
      <c r="D22" s="62">
        <v>40000</v>
      </c>
      <c r="F22" s="55">
        <f t="shared" si="0"/>
        <v>8000</v>
      </c>
      <c r="P22" s="55">
        <f t="shared" si="1"/>
        <v>8000</v>
      </c>
    </row>
    <row r="23" spans="1:16" x14ac:dyDescent="0.3">
      <c r="A23" s="69">
        <v>43758</v>
      </c>
      <c r="B23" s="62" t="s">
        <v>256</v>
      </c>
      <c r="C23" s="62" t="s">
        <v>267</v>
      </c>
      <c r="D23" s="62">
        <v>15800</v>
      </c>
      <c r="F23" s="55">
        <f t="shared" si="0"/>
        <v>3000</v>
      </c>
      <c r="P23" s="55">
        <f t="shared" si="1"/>
        <v>3000</v>
      </c>
    </row>
  </sheetData>
  <mergeCells count="17">
    <mergeCell ref="J9:L9"/>
    <mergeCell ref="B1:C2"/>
    <mergeCell ref="F1:F2"/>
    <mergeCell ref="I1:K2"/>
    <mergeCell ref="H3:L3"/>
    <mergeCell ref="H4:I4"/>
    <mergeCell ref="J4:L4"/>
    <mergeCell ref="H5:I5"/>
    <mergeCell ref="H6:I6"/>
    <mergeCell ref="H7:I7"/>
    <mergeCell ref="H8:I8"/>
    <mergeCell ref="H9:I9"/>
    <mergeCell ref="P1:P2"/>
    <mergeCell ref="J5:L5"/>
    <mergeCell ref="J6:L6"/>
    <mergeCell ref="J7:L7"/>
    <mergeCell ref="J8:L8"/>
  </mergeCells>
  <conditionalFormatting sqref="J4:L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L16"/>
  <sheetViews>
    <sheetView workbookViewId="0">
      <selection activeCell="J5" sqref="J5"/>
    </sheetView>
  </sheetViews>
  <sheetFormatPr defaultColWidth="8.85546875" defaultRowHeight="18.75" x14ac:dyDescent="0.3"/>
  <cols>
    <col min="1" max="1" width="20.85546875" style="1" bestFit="1" customWidth="1"/>
    <col min="2" max="2" width="8.85546875" style="1"/>
    <col min="3" max="3" width="9.7109375" style="1" bestFit="1" customWidth="1"/>
    <col min="4" max="6" width="8.85546875" style="1"/>
    <col min="7" max="8" width="20.85546875" style="1" bestFit="1" customWidth="1"/>
    <col min="9" max="16384" width="8.85546875" style="1"/>
  </cols>
  <sheetData>
    <row r="1" spans="1:12" x14ac:dyDescent="0.3">
      <c r="A1" s="120" t="s">
        <v>325</v>
      </c>
      <c r="C1" s="120" t="s">
        <v>326</v>
      </c>
      <c r="D1" s="120"/>
      <c r="E1" s="120"/>
      <c r="H1" s="121" t="s">
        <v>333</v>
      </c>
      <c r="I1" s="121"/>
      <c r="J1" s="121"/>
      <c r="K1" s="121"/>
      <c r="L1" s="121"/>
    </row>
    <row r="2" spans="1:12" x14ac:dyDescent="0.3">
      <c r="A2" s="120"/>
      <c r="C2" s="120"/>
      <c r="D2" s="120"/>
      <c r="E2" s="120"/>
      <c r="H2" s="120" t="s">
        <v>325</v>
      </c>
      <c r="J2" s="120" t="s">
        <v>326</v>
      </c>
      <c r="K2" s="120"/>
      <c r="L2" s="120"/>
    </row>
    <row r="3" spans="1:12" x14ac:dyDescent="0.3">
      <c r="A3" s="47" t="s">
        <v>274</v>
      </c>
      <c r="C3" s="35" t="s">
        <v>287</v>
      </c>
      <c r="D3" s="35" t="s">
        <v>289</v>
      </c>
      <c r="E3" s="35" t="s">
        <v>288</v>
      </c>
      <c r="H3" s="120"/>
      <c r="J3" s="120"/>
      <c r="K3" s="120"/>
      <c r="L3" s="120"/>
    </row>
    <row r="4" spans="1:12" x14ac:dyDescent="0.3">
      <c r="A4" s="29" t="s">
        <v>275</v>
      </c>
      <c r="C4" s="1" t="str">
        <f>LEFT(A4,6)</f>
        <v>Mumbai</v>
      </c>
      <c r="D4" s="1" t="str">
        <f>MID(A4,6,6)</f>
        <v>i -400</v>
      </c>
      <c r="E4" s="1" t="str">
        <f>RIGHT(A4,6)</f>
        <v>400086</v>
      </c>
      <c r="H4" s="47" t="s">
        <v>274</v>
      </c>
      <c r="J4" s="35" t="s">
        <v>287</v>
      </c>
      <c r="K4" s="35" t="s">
        <v>289</v>
      </c>
      <c r="L4" s="35" t="s">
        <v>288</v>
      </c>
    </row>
    <row r="5" spans="1:12" x14ac:dyDescent="0.3">
      <c r="A5" s="29" t="s">
        <v>276</v>
      </c>
      <c r="C5" s="1" t="str">
        <f t="shared" ref="C5:C15" si="0">LEFT(A5,6)</f>
        <v>Mumbai</v>
      </c>
      <c r="D5" s="1" t="str">
        <f t="shared" ref="D5:D15" si="1">MID(A5,6,6)</f>
        <v>i -400</v>
      </c>
      <c r="E5" s="1" t="str">
        <f t="shared" ref="E5:E15" si="2">RIGHT(A5,6)</f>
        <v>400087</v>
      </c>
      <c r="H5" s="29" t="s">
        <v>275</v>
      </c>
    </row>
    <row r="6" spans="1:12" x14ac:dyDescent="0.3">
      <c r="A6" s="29" t="s">
        <v>277</v>
      </c>
      <c r="C6" s="1" t="str">
        <f t="shared" si="0"/>
        <v>Mumbai</v>
      </c>
      <c r="D6" s="1" t="str">
        <f t="shared" si="1"/>
        <v>i -400</v>
      </c>
      <c r="E6" s="1" t="str">
        <f t="shared" si="2"/>
        <v>400088</v>
      </c>
      <c r="H6" s="29" t="s">
        <v>276</v>
      </c>
    </row>
    <row r="7" spans="1:12" x14ac:dyDescent="0.3">
      <c r="A7" s="29" t="s">
        <v>278</v>
      </c>
      <c r="C7" s="1" t="str">
        <f t="shared" si="0"/>
        <v>Mumbai</v>
      </c>
      <c r="D7" s="1" t="str">
        <f t="shared" si="1"/>
        <v>i -400</v>
      </c>
      <c r="E7" s="1" t="str">
        <f t="shared" si="2"/>
        <v>400089</v>
      </c>
      <c r="H7" s="29" t="s">
        <v>277</v>
      </c>
    </row>
    <row r="8" spans="1:12" x14ac:dyDescent="0.3">
      <c r="A8" s="29" t="s">
        <v>279</v>
      </c>
      <c r="C8" s="1" t="str">
        <f t="shared" si="0"/>
        <v>Mumbai</v>
      </c>
      <c r="D8" s="1" t="str">
        <f t="shared" si="1"/>
        <v>i -400</v>
      </c>
      <c r="E8" s="1" t="str">
        <f t="shared" si="2"/>
        <v>400090</v>
      </c>
      <c r="H8" s="29" t="s">
        <v>278</v>
      </c>
    </row>
    <row r="9" spans="1:12" x14ac:dyDescent="0.3">
      <c r="A9" s="29" t="s">
        <v>280</v>
      </c>
      <c r="C9" s="1" t="str">
        <f t="shared" si="0"/>
        <v>Mumbai</v>
      </c>
      <c r="D9" s="1" t="str">
        <f t="shared" si="1"/>
        <v>i -400</v>
      </c>
      <c r="E9" s="1" t="str">
        <f t="shared" si="2"/>
        <v>400091</v>
      </c>
      <c r="H9" s="29" t="s">
        <v>279</v>
      </c>
    </row>
    <row r="10" spans="1:12" x14ac:dyDescent="0.3">
      <c r="A10" s="29" t="s">
        <v>281</v>
      </c>
      <c r="C10" s="1" t="str">
        <f t="shared" si="0"/>
        <v>Mumbai</v>
      </c>
      <c r="D10" s="1" t="str">
        <f t="shared" si="1"/>
        <v>i -400</v>
      </c>
      <c r="E10" s="1" t="str">
        <f t="shared" si="2"/>
        <v>400092</v>
      </c>
      <c r="H10" s="29" t="s">
        <v>280</v>
      </c>
    </row>
    <row r="11" spans="1:12" x14ac:dyDescent="0.3">
      <c r="A11" s="29" t="s">
        <v>282</v>
      </c>
      <c r="C11" s="1" t="str">
        <f t="shared" si="0"/>
        <v>Mumbai</v>
      </c>
      <c r="D11" s="1" t="str">
        <f t="shared" si="1"/>
        <v>i -400</v>
      </c>
      <c r="E11" s="1" t="str">
        <f t="shared" si="2"/>
        <v>400093</v>
      </c>
      <c r="H11" s="29" t="s">
        <v>281</v>
      </c>
    </row>
    <row r="12" spans="1:12" x14ac:dyDescent="0.3">
      <c r="A12" s="29" t="s">
        <v>283</v>
      </c>
      <c r="C12" s="1" t="str">
        <f t="shared" si="0"/>
        <v>Mumbai</v>
      </c>
      <c r="D12" s="1" t="str">
        <f t="shared" si="1"/>
        <v>i -400</v>
      </c>
      <c r="E12" s="1" t="str">
        <f t="shared" si="2"/>
        <v>400094</v>
      </c>
      <c r="H12" s="29" t="s">
        <v>282</v>
      </c>
    </row>
    <row r="13" spans="1:12" x14ac:dyDescent="0.3">
      <c r="A13" s="29" t="s">
        <v>284</v>
      </c>
      <c r="C13" s="1" t="str">
        <f t="shared" si="0"/>
        <v>Mumbai</v>
      </c>
      <c r="D13" s="1" t="str">
        <f t="shared" si="1"/>
        <v>i -400</v>
      </c>
      <c r="E13" s="1" t="str">
        <f t="shared" si="2"/>
        <v>400095</v>
      </c>
      <c r="H13" s="29" t="s">
        <v>283</v>
      </c>
    </row>
    <row r="14" spans="1:12" x14ac:dyDescent="0.3">
      <c r="A14" s="29" t="s">
        <v>285</v>
      </c>
      <c r="C14" s="1" t="str">
        <f t="shared" si="0"/>
        <v>Mumbai</v>
      </c>
      <c r="D14" s="1" t="str">
        <f t="shared" si="1"/>
        <v>i -400</v>
      </c>
      <c r="E14" s="1" t="str">
        <f t="shared" si="2"/>
        <v>400096</v>
      </c>
      <c r="H14" s="29" t="s">
        <v>284</v>
      </c>
    </row>
    <row r="15" spans="1:12" x14ac:dyDescent="0.3">
      <c r="A15" s="29" t="s">
        <v>286</v>
      </c>
      <c r="C15" s="1" t="str">
        <f t="shared" si="0"/>
        <v>Mumbai</v>
      </c>
      <c r="D15" s="1" t="str">
        <f t="shared" si="1"/>
        <v>i -400</v>
      </c>
      <c r="E15" s="1" t="str">
        <f t="shared" si="2"/>
        <v>400097</v>
      </c>
      <c r="H15" s="29" t="s">
        <v>285</v>
      </c>
    </row>
    <row r="16" spans="1:12" x14ac:dyDescent="0.3">
      <c r="H16" s="29" t="s">
        <v>286</v>
      </c>
    </row>
  </sheetData>
  <mergeCells count="5">
    <mergeCell ref="A1:A2"/>
    <mergeCell ref="C1:E2"/>
    <mergeCell ref="H2:H3"/>
    <mergeCell ref="J2:L3"/>
    <mergeCell ref="H1:L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D21"/>
  <sheetViews>
    <sheetView workbookViewId="0">
      <selection activeCell="D5" sqref="D5"/>
    </sheetView>
  </sheetViews>
  <sheetFormatPr defaultColWidth="8.85546875" defaultRowHeight="18.75" x14ac:dyDescent="0.3"/>
  <cols>
    <col min="1" max="1" width="14.42578125" style="26" bestFit="1" customWidth="1"/>
    <col min="2" max="2" width="12.140625" style="26" customWidth="1"/>
    <col min="3" max="3" width="9.85546875" style="26" bestFit="1" customWidth="1"/>
    <col min="4" max="4" width="20.28515625" style="26" bestFit="1" customWidth="1"/>
    <col min="5" max="16384" width="8.85546875" style="26"/>
  </cols>
  <sheetData>
    <row r="1" spans="1:4" x14ac:dyDescent="0.3">
      <c r="A1" s="130" t="s">
        <v>295</v>
      </c>
      <c r="B1" s="130"/>
      <c r="D1" s="130" t="s">
        <v>296</v>
      </c>
    </row>
    <row r="2" spans="1:4" x14ac:dyDescent="0.3">
      <c r="A2" s="130"/>
      <c r="B2" s="130"/>
      <c r="D2" s="130"/>
    </row>
    <row r="4" spans="1:4" x14ac:dyDescent="0.3">
      <c r="A4" s="56" t="s">
        <v>305</v>
      </c>
      <c r="B4" s="56" t="s">
        <v>293</v>
      </c>
      <c r="D4" s="56" t="s">
        <v>294</v>
      </c>
    </row>
    <row r="5" spans="1:4" x14ac:dyDescent="0.3">
      <c r="A5" s="55" t="s">
        <v>192</v>
      </c>
      <c r="B5" s="55">
        <v>3</v>
      </c>
      <c r="C5" s="41"/>
      <c r="D5" s="55" t="str">
        <f>REPT("*",B5)</f>
        <v>***</v>
      </c>
    </row>
    <row r="6" spans="1:4" x14ac:dyDescent="0.3">
      <c r="A6" s="55" t="s">
        <v>191</v>
      </c>
      <c r="B6" s="55">
        <v>5</v>
      </c>
      <c r="C6" s="41"/>
      <c r="D6" s="55" t="str">
        <f t="shared" ref="D6:D21" si="0">REPT("*",B6)</f>
        <v>*****</v>
      </c>
    </row>
    <row r="7" spans="1:4" x14ac:dyDescent="0.3">
      <c r="A7" s="55" t="s">
        <v>290</v>
      </c>
      <c r="B7" s="55">
        <v>3</v>
      </c>
      <c r="C7" s="41"/>
      <c r="D7" s="55" t="str">
        <f t="shared" si="0"/>
        <v>***</v>
      </c>
    </row>
    <row r="8" spans="1:4" x14ac:dyDescent="0.3">
      <c r="A8" s="55" t="s">
        <v>291</v>
      </c>
      <c r="B8" s="55">
        <v>2</v>
      </c>
      <c r="C8" s="41"/>
      <c r="D8" s="55" t="str">
        <f t="shared" si="0"/>
        <v>**</v>
      </c>
    </row>
    <row r="9" spans="1:4" x14ac:dyDescent="0.3">
      <c r="A9" s="55" t="s">
        <v>292</v>
      </c>
      <c r="B9" s="55">
        <v>1</v>
      </c>
      <c r="C9" s="41"/>
      <c r="D9" s="55" t="str">
        <f t="shared" si="0"/>
        <v>*</v>
      </c>
    </row>
    <row r="10" spans="1:4" x14ac:dyDescent="0.3">
      <c r="A10" s="55" t="s">
        <v>297</v>
      </c>
      <c r="B10" s="55">
        <v>5</v>
      </c>
      <c r="D10" s="55" t="str">
        <f t="shared" si="0"/>
        <v>*****</v>
      </c>
    </row>
    <row r="11" spans="1:4" x14ac:dyDescent="0.3">
      <c r="A11" s="55" t="s">
        <v>298</v>
      </c>
      <c r="B11" s="55">
        <v>4</v>
      </c>
      <c r="D11" s="55" t="str">
        <f t="shared" si="0"/>
        <v>****</v>
      </c>
    </row>
    <row r="12" spans="1:4" x14ac:dyDescent="0.3">
      <c r="A12" s="55" t="s">
        <v>299</v>
      </c>
      <c r="B12" s="55">
        <v>5</v>
      </c>
      <c r="D12" s="55" t="str">
        <f t="shared" si="0"/>
        <v>*****</v>
      </c>
    </row>
    <row r="13" spans="1:4" x14ac:dyDescent="0.3">
      <c r="A13" s="55" t="s">
        <v>300</v>
      </c>
      <c r="B13" s="55">
        <v>4</v>
      </c>
      <c r="D13" s="55" t="str">
        <f t="shared" si="0"/>
        <v>****</v>
      </c>
    </row>
    <row r="14" spans="1:4" x14ac:dyDescent="0.3">
      <c r="A14" s="55" t="s">
        <v>301</v>
      </c>
      <c r="B14" s="55">
        <v>3</v>
      </c>
      <c r="D14" s="55" t="str">
        <f t="shared" si="0"/>
        <v>***</v>
      </c>
    </row>
    <row r="15" spans="1:4" x14ac:dyDescent="0.3">
      <c r="A15" s="55" t="s">
        <v>302</v>
      </c>
      <c r="B15" s="55">
        <v>2</v>
      </c>
      <c r="D15" s="55" t="str">
        <f t="shared" si="0"/>
        <v>**</v>
      </c>
    </row>
    <row r="16" spans="1:4" x14ac:dyDescent="0.3">
      <c r="A16" s="55" t="s">
        <v>303</v>
      </c>
      <c r="B16" s="55">
        <v>4</v>
      </c>
      <c r="D16" s="55" t="str">
        <f t="shared" si="0"/>
        <v>****</v>
      </c>
    </row>
    <row r="17" spans="1:4" x14ac:dyDescent="0.3">
      <c r="A17" s="55" t="s">
        <v>304</v>
      </c>
      <c r="B17" s="55">
        <v>5</v>
      </c>
      <c r="D17" s="55" t="str">
        <f t="shared" si="0"/>
        <v>*****</v>
      </c>
    </row>
    <row r="18" spans="1:4" x14ac:dyDescent="0.3">
      <c r="A18" s="55" t="s">
        <v>306</v>
      </c>
      <c r="B18" s="55">
        <v>3</v>
      </c>
      <c r="D18" s="55" t="str">
        <f t="shared" si="0"/>
        <v>***</v>
      </c>
    </row>
    <row r="19" spans="1:4" x14ac:dyDescent="0.3">
      <c r="A19" s="55" t="s">
        <v>307</v>
      </c>
      <c r="B19" s="55">
        <v>5</v>
      </c>
      <c r="D19" s="55" t="str">
        <f t="shared" si="0"/>
        <v>*****</v>
      </c>
    </row>
    <row r="20" spans="1:4" x14ac:dyDescent="0.3">
      <c r="A20" s="55" t="s">
        <v>308</v>
      </c>
      <c r="B20" s="55">
        <v>5</v>
      </c>
      <c r="D20" s="55" t="str">
        <f t="shared" si="0"/>
        <v>*****</v>
      </c>
    </row>
    <row r="21" spans="1:4" x14ac:dyDescent="0.3">
      <c r="A21" s="55" t="s">
        <v>309</v>
      </c>
      <c r="B21" s="55">
        <v>4</v>
      </c>
      <c r="D21" s="55" t="str">
        <f t="shared" si="0"/>
        <v>****</v>
      </c>
    </row>
  </sheetData>
  <mergeCells count="2">
    <mergeCell ref="A1:B2"/>
    <mergeCell ref="D1:D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C14"/>
  <sheetViews>
    <sheetView workbookViewId="0">
      <selection activeCell="J14" sqref="J14"/>
    </sheetView>
  </sheetViews>
  <sheetFormatPr defaultColWidth="8.85546875" defaultRowHeight="18.75" x14ac:dyDescent="0.3"/>
  <cols>
    <col min="1" max="1" width="30.85546875" style="26" customWidth="1"/>
    <col min="2" max="2" width="18" style="26" customWidth="1"/>
    <col min="3" max="3" width="28.28515625" style="26" customWidth="1"/>
    <col min="4" max="16384" width="8.85546875" style="26"/>
  </cols>
  <sheetData>
    <row r="1" spans="1:3" x14ac:dyDescent="0.3">
      <c r="A1" s="130" t="s">
        <v>321</v>
      </c>
      <c r="C1" s="130" t="s">
        <v>322</v>
      </c>
    </row>
    <row r="2" spans="1:3" x14ac:dyDescent="0.3">
      <c r="A2" s="130"/>
      <c r="C2" s="130"/>
    </row>
    <row r="4" spans="1:3" x14ac:dyDescent="0.3">
      <c r="A4" s="83" t="s">
        <v>310</v>
      </c>
      <c r="B4" s="48"/>
      <c r="C4" s="83" t="s">
        <v>311</v>
      </c>
    </row>
    <row r="5" spans="1:3" x14ac:dyDescent="0.3">
      <c r="A5" s="84" t="s">
        <v>312</v>
      </c>
      <c r="B5" s="49"/>
      <c r="C5" s="84" t="str">
        <f>SUBSTITUTE(A5,"-","")</f>
        <v>9812345678</v>
      </c>
    </row>
    <row r="6" spans="1:3" x14ac:dyDescent="0.3">
      <c r="A6" s="84" t="s">
        <v>327</v>
      </c>
      <c r="B6" s="49"/>
      <c r="C6" s="84" t="str">
        <f>SUBSTITUTE(A6,",","-")</f>
        <v>MUMBAI-400086</v>
      </c>
    </row>
    <row r="7" spans="1:3" x14ac:dyDescent="0.3">
      <c r="A7" s="84" t="s">
        <v>313</v>
      </c>
      <c r="B7" s="49"/>
      <c r="C7" s="84" t="str">
        <f>SUBSTITUTE(A7,"-","")</f>
        <v>9812121212</v>
      </c>
    </row>
    <row r="8" spans="1:3" x14ac:dyDescent="0.3">
      <c r="A8" s="84" t="s">
        <v>314</v>
      </c>
      <c r="B8" s="49"/>
      <c r="C8" s="84" t="str">
        <f>SUBSTITUTE(A8,",","-")</f>
        <v>DELHI-400001</v>
      </c>
    </row>
    <row r="9" spans="1:3" x14ac:dyDescent="0.3">
      <c r="A9" s="85" t="s">
        <v>315</v>
      </c>
      <c r="B9" s="50"/>
      <c r="C9" s="84"/>
    </row>
    <row r="10" spans="1:3" x14ac:dyDescent="0.3">
      <c r="A10" s="85" t="s">
        <v>316</v>
      </c>
      <c r="B10" s="50"/>
      <c r="C10" s="84"/>
    </row>
    <row r="11" spans="1:3" x14ac:dyDescent="0.3">
      <c r="A11" s="85" t="s">
        <v>317</v>
      </c>
      <c r="B11" s="50"/>
      <c r="C11" s="84"/>
    </row>
    <row r="12" spans="1:3" x14ac:dyDescent="0.3">
      <c r="A12" s="85" t="s">
        <v>318</v>
      </c>
      <c r="B12" s="50"/>
      <c r="C12" s="84"/>
    </row>
    <row r="13" spans="1:3" x14ac:dyDescent="0.3">
      <c r="A13" s="85" t="s">
        <v>319</v>
      </c>
      <c r="B13" s="50"/>
      <c r="C13" s="84"/>
    </row>
    <row r="14" spans="1:3" x14ac:dyDescent="0.3">
      <c r="A14" s="85" t="s">
        <v>320</v>
      </c>
      <c r="B14" s="50"/>
      <c r="C14" s="84"/>
    </row>
  </sheetData>
  <mergeCells count="2">
    <mergeCell ref="A1:A2"/>
    <mergeCell ref="C1:C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J41"/>
  <sheetViews>
    <sheetView workbookViewId="0">
      <selection activeCell="H13" sqref="H13"/>
    </sheetView>
  </sheetViews>
  <sheetFormatPr defaultColWidth="8.85546875" defaultRowHeight="18.75" x14ac:dyDescent="0.3"/>
  <cols>
    <col min="1" max="1" width="8.85546875" style="1"/>
    <col min="2" max="2" width="27.28515625" style="1" bestFit="1" customWidth="1"/>
    <col min="3" max="3" width="10.85546875" style="1" bestFit="1" customWidth="1"/>
    <col min="4" max="4" width="27" style="1" customWidth="1"/>
    <col min="5" max="5" width="13.5703125" style="1" customWidth="1"/>
    <col min="6" max="6" width="4.5703125" style="111" customWidth="1"/>
    <col min="7" max="7" width="27.140625" style="1" bestFit="1" customWidth="1"/>
    <col min="8" max="8" width="11.140625" style="1" bestFit="1" customWidth="1"/>
    <col min="9" max="9" width="26.7109375" style="1" customWidth="1"/>
    <col min="10" max="10" width="11.140625" style="1" bestFit="1" customWidth="1"/>
    <col min="11" max="16384" width="8.85546875" style="1"/>
  </cols>
  <sheetData>
    <row r="1" spans="2:10" x14ac:dyDescent="0.3">
      <c r="B1" s="137" t="s">
        <v>334</v>
      </c>
      <c r="C1" s="137"/>
      <c r="D1" s="137"/>
      <c r="E1" s="137"/>
      <c r="F1" s="109"/>
    </row>
    <row r="2" spans="2:10" x14ac:dyDescent="0.3">
      <c r="B2" s="137" t="s">
        <v>335</v>
      </c>
      <c r="C2" s="137"/>
      <c r="D2" s="137"/>
      <c r="E2" s="137"/>
      <c r="F2" s="110"/>
    </row>
    <row r="3" spans="2:10" x14ac:dyDescent="0.3">
      <c r="B3" s="137" t="s">
        <v>336</v>
      </c>
      <c r="C3" s="137"/>
      <c r="D3" s="137"/>
      <c r="E3" s="137"/>
      <c r="F3" s="110"/>
    </row>
    <row r="4" spans="2:10" x14ac:dyDescent="0.3">
      <c r="B4" s="137" t="s">
        <v>337</v>
      </c>
      <c r="C4" s="137"/>
      <c r="D4" s="137"/>
      <c r="E4" s="137"/>
      <c r="G4" s="121" t="s">
        <v>333</v>
      </c>
      <c r="H4" s="121"/>
      <c r="I4" s="121"/>
      <c r="J4" s="121"/>
    </row>
    <row r="5" spans="2:10" x14ac:dyDescent="0.3">
      <c r="B5" s="137" t="s">
        <v>338</v>
      </c>
      <c r="C5" s="137"/>
      <c r="D5" s="137"/>
      <c r="E5" s="137"/>
      <c r="G5" s="121"/>
      <c r="H5" s="121"/>
      <c r="I5" s="121"/>
      <c r="J5" s="121"/>
    </row>
    <row r="6" spans="2:10" ht="19.5" thickBot="1" x14ac:dyDescent="0.35"/>
    <row r="7" spans="2:10" ht="19.5" thickBot="1" x14ac:dyDescent="0.35">
      <c r="B7" s="97" t="s">
        <v>339</v>
      </c>
      <c r="C7" s="98" t="s">
        <v>73</v>
      </c>
      <c r="D7" s="98" t="s">
        <v>340</v>
      </c>
      <c r="E7" s="99" t="s">
        <v>73</v>
      </c>
      <c r="G7" s="89" t="s">
        <v>339</v>
      </c>
      <c r="H7" s="89" t="s">
        <v>73</v>
      </c>
      <c r="I7" s="89" t="s">
        <v>340</v>
      </c>
      <c r="J7" s="89" t="s">
        <v>73</v>
      </c>
    </row>
    <row r="8" spans="2:10" x14ac:dyDescent="0.3">
      <c r="B8" s="88" t="s">
        <v>341</v>
      </c>
      <c r="C8" s="88">
        <v>435892</v>
      </c>
      <c r="D8" s="88" t="s">
        <v>345</v>
      </c>
      <c r="E8" s="88">
        <v>2250860</v>
      </c>
      <c r="G8" s="29" t="s">
        <v>403</v>
      </c>
      <c r="H8" s="29">
        <v>435892</v>
      </c>
      <c r="I8" s="29" t="s">
        <v>405</v>
      </c>
      <c r="J8" s="29">
        <v>2250860</v>
      </c>
    </row>
    <row r="9" spans="2:10" x14ac:dyDescent="0.3">
      <c r="B9" s="29"/>
      <c r="C9" s="29"/>
      <c r="D9" s="29"/>
      <c r="E9" s="29"/>
      <c r="G9" s="29"/>
      <c r="H9" s="29"/>
      <c r="I9" s="29"/>
      <c r="J9" s="29"/>
    </row>
    <row r="10" spans="2:10" x14ac:dyDescent="0.3">
      <c r="B10" s="29" t="s">
        <v>342</v>
      </c>
      <c r="C10" s="29">
        <v>659800</v>
      </c>
      <c r="D10" s="29" t="s">
        <v>346</v>
      </c>
      <c r="E10" s="29">
        <v>657980</v>
      </c>
      <c r="G10" s="29" t="s">
        <v>404</v>
      </c>
      <c r="H10" s="29">
        <v>659800</v>
      </c>
      <c r="I10" s="29" t="s">
        <v>346</v>
      </c>
      <c r="J10" s="29">
        <v>657980</v>
      </c>
    </row>
    <row r="11" spans="2:10" x14ac:dyDescent="0.3">
      <c r="B11" s="29"/>
      <c r="C11" s="29"/>
      <c r="D11" s="29"/>
      <c r="E11" s="29"/>
      <c r="G11" s="29"/>
      <c r="H11" s="29"/>
      <c r="I11" s="29"/>
      <c r="J11" s="29"/>
    </row>
    <row r="12" spans="2:10" x14ac:dyDescent="0.3">
      <c r="B12" s="29" t="s">
        <v>343</v>
      </c>
      <c r="C12" s="29">
        <f>685780-250000</f>
        <v>435780</v>
      </c>
      <c r="D12" s="29"/>
      <c r="E12" s="29"/>
      <c r="G12" s="29" t="s">
        <v>412</v>
      </c>
      <c r="H12" s="29">
        <v>435780</v>
      </c>
      <c r="I12" s="29"/>
      <c r="J12" s="29"/>
    </row>
    <row r="13" spans="2:10" x14ac:dyDescent="0.3">
      <c r="B13" s="29"/>
      <c r="C13" s="29"/>
      <c r="D13" s="29"/>
      <c r="E13" s="29"/>
      <c r="G13" s="29"/>
      <c r="H13" s="29"/>
      <c r="I13" s="29"/>
      <c r="J13" s="29"/>
    </row>
    <row r="14" spans="2:10" x14ac:dyDescent="0.3">
      <c r="B14" s="100" t="s">
        <v>344</v>
      </c>
      <c r="C14" s="100">
        <f>C16-SUM(C8:C12)</f>
        <v>1377368</v>
      </c>
      <c r="D14" s="29"/>
      <c r="E14" s="29"/>
      <c r="G14" s="100" t="s">
        <v>344</v>
      </c>
      <c r="H14" s="100">
        <f>H16-SUM(H8:H12)</f>
        <v>1377368</v>
      </c>
      <c r="I14" s="29"/>
      <c r="J14" s="29"/>
    </row>
    <row r="15" spans="2:10" x14ac:dyDescent="0.3">
      <c r="B15" s="29"/>
      <c r="C15" s="29"/>
      <c r="D15" s="29"/>
      <c r="E15" s="29"/>
      <c r="G15" s="29"/>
      <c r="H15" s="29"/>
      <c r="I15" s="29"/>
      <c r="J15" s="29"/>
    </row>
    <row r="16" spans="2:10" s="87" customFormat="1" ht="19.5" thickBot="1" x14ac:dyDescent="0.35">
      <c r="B16" s="89" t="s">
        <v>247</v>
      </c>
      <c r="C16" s="90">
        <f>E16</f>
        <v>2908840</v>
      </c>
      <c r="D16" s="89" t="s">
        <v>247</v>
      </c>
      <c r="E16" s="90">
        <f>SUM(E8:E10)</f>
        <v>2908840</v>
      </c>
      <c r="F16" s="110"/>
      <c r="G16" s="89" t="s">
        <v>247</v>
      </c>
      <c r="H16" s="90">
        <f>J16</f>
        <v>2908840</v>
      </c>
      <c r="I16" s="89" t="s">
        <v>247</v>
      </c>
      <c r="J16" s="90">
        <f>SUM(J8:J13)</f>
        <v>2908840</v>
      </c>
    </row>
    <row r="17" spans="2:10" ht="19.5" thickTop="1" x14ac:dyDescent="0.3">
      <c r="B17" s="29"/>
      <c r="C17" s="88"/>
      <c r="D17" s="29"/>
      <c r="E17" s="88"/>
      <c r="G17" s="29"/>
      <c r="H17" s="88"/>
      <c r="I17" s="29"/>
      <c r="J17" s="88"/>
    </row>
    <row r="18" spans="2:10" x14ac:dyDescent="0.3">
      <c r="B18" s="29" t="s">
        <v>348</v>
      </c>
      <c r="C18" s="29">
        <f>18000*12</f>
        <v>216000</v>
      </c>
      <c r="D18" s="100" t="s">
        <v>347</v>
      </c>
      <c r="E18" s="100">
        <f>C14</f>
        <v>1377368</v>
      </c>
      <c r="G18" s="29" t="s">
        <v>348</v>
      </c>
      <c r="H18" s="29">
        <f>18000*12</f>
        <v>216000</v>
      </c>
      <c r="I18" s="100" t="s">
        <v>347</v>
      </c>
      <c r="J18" s="100">
        <f>H14</f>
        <v>1377368</v>
      </c>
    </row>
    <row r="19" spans="2:10" x14ac:dyDescent="0.3">
      <c r="B19" s="29"/>
      <c r="C19" s="29"/>
      <c r="D19" s="29"/>
      <c r="E19" s="29"/>
      <c r="G19" s="29"/>
      <c r="H19" s="29"/>
      <c r="I19" s="29"/>
      <c r="J19" s="29"/>
    </row>
    <row r="20" spans="2:10" x14ac:dyDescent="0.3">
      <c r="B20" s="29" t="s">
        <v>349</v>
      </c>
      <c r="C20" s="29">
        <f>15000*12</f>
        <v>180000</v>
      </c>
      <c r="D20" s="29"/>
      <c r="E20" s="29"/>
      <c r="G20" s="29" t="s">
        <v>349</v>
      </c>
      <c r="H20" s="29">
        <f>15000*12</f>
        <v>180000</v>
      </c>
      <c r="I20" s="29"/>
      <c r="J20" s="29"/>
    </row>
    <row r="21" spans="2:10" x14ac:dyDescent="0.3">
      <c r="B21" s="29"/>
      <c r="C21" s="29"/>
      <c r="D21" s="29"/>
      <c r="E21" s="29"/>
      <c r="G21" s="29"/>
      <c r="H21" s="29"/>
      <c r="I21" s="29"/>
      <c r="J21" s="29"/>
    </row>
    <row r="22" spans="2:10" x14ac:dyDescent="0.3">
      <c r="B22" s="29" t="s">
        <v>350</v>
      </c>
      <c r="C22" s="29">
        <f>45000</f>
        <v>45000</v>
      </c>
      <c r="D22" s="29"/>
      <c r="E22" s="29"/>
      <c r="G22" s="29" t="s">
        <v>411</v>
      </c>
      <c r="H22" s="29">
        <f>45000</f>
        <v>45000</v>
      </c>
      <c r="I22" s="29"/>
      <c r="J22" s="29"/>
    </row>
    <row r="23" spans="2:10" x14ac:dyDescent="0.3">
      <c r="B23" s="29"/>
      <c r="C23" s="29"/>
      <c r="D23" s="29"/>
      <c r="E23" s="29"/>
      <c r="G23" s="29"/>
      <c r="H23" s="29"/>
      <c r="I23" s="29"/>
      <c r="J23" s="29"/>
    </row>
    <row r="24" spans="2:10" x14ac:dyDescent="0.3">
      <c r="B24" s="29" t="s">
        <v>351</v>
      </c>
      <c r="C24" s="29">
        <f>5000*12</f>
        <v>60000</v>
      </c>
      <c r="D24" s="29"/>
      <c r="E24" s="29"/>
      <c r="G24" s="29" t="s">
        <v>410</v>
      </c>
      <c r="H24" s="29">
        <f>5000*12</f>
        <v>60000</v>
      </c>
      <c r="I24" s="29"/>
      <c r="J24" s="29"/>
    </row>
    <row r="25" spans="2:10" x14ac:dyDescent="0.3">
      <c r="B25" s="29"/>
      <c r="C25" s="29"/>
      <c r="D25" s="29"/>
      <c r="E25" s="29"/>
      <c r="G25" s="29"/>
      <c r="H25" s="29"/>
      <c r="I25" s="29"/>
      <c r="J25" s="29"/>
    </row>
    <row r="26" spans="2:10" x14ac:dyDescent="0.3">
      <c r="B26" s="29" t="s">
        <v>352</v>
      </c>
      <c r="C26" s="29">
        <v>12560</v>
      </c>
      <c r="D26" s="29"/>
      <c r="E26" s="29"/>
      <c r="G26" s="29" t="s">
        <v>406</v>
      </c>
      <c r="H26" s="29">
        <f>12560</f>
        <v>12560</v>
      </c>
      <c r="I26" s="29"/>
      <c r="J26" s="29"/>
    </row>
    <row r="27" spans="2:10" x14ac:dyDescent="0.3">
      <c r="B27" s="29"/>
      <c r="C27" s="29"/>
      <c r="D27" s="29"/>
      <c r="E27" s="29"/>
      <c r="G27" s="29"/>
      <c r="H27" s="29"/>
      <c r="I27" s="29"/>
      <c r="J27" s="29"/>
    </row>
    <row r="28" spans="2:10" x14ac:dyDescent="0.3">
      <c r="B28" s="29" t="s">
        <v>353</v>
      </c>
      <c r="C28" s="29">
        <v>45690</v>
      </c>
      <c r="D28" s="29"/>
      <c r="E28" s="29"/>
      <c r="G28" s="29" t="s">
        <v>407</v>
      </c>
      <c r="H28" s="29">
        <f>45690</f>
        <v>45690</v>
      </c>
      <c r="I28" s="29"/>
      <c r="J28" s="29"/>
    </row>
    <row r="29" spans="2:10" x14ac:dyDescent="0.3">
      <c r="B29" s="29"/>
      <c r="C29" s="29"/>
      <c r="D29" s="29"/>
      <c r="E29" s="29"/>
      <c r="G29" s="29"/>
      <c r="H29" s="29"/>
      <c r="I29" s="29"/>
      <c r="J29" s="29"/>
    </row>
    <row r="30" spans="2:10" x14ac:dyDescent="0.3">
      <c r="B30" s="29" t="s">
        <v>354</v>
      </c>
      <c r="C30" s="29">
        <v>80000</v>
      </c>
      <c r="D30" s="29"/>
      <c r="E30" s="29"/>
      <c r="G30" s="29" t="s">
        <v>408</v>
      </c>
      <c r="H30" s="29">
        <f>80000</f>
        <v>80000</v>
      </c>
      <c r="I30" s="29"/>
      <c r="J30" s="29"/>
    </row>
    <row r="31" spans="2:10" x14ac:dyDescent="0.3">
      <c r="B31" s="29"/>
      <c r="C31" s="29"/>
      <c r="D31" s="29"/>
      <c r="E31" s="29"/>
      <c r="G31" s="29"/>
      <c r="H31" s="29"/>
      <c r="I31" s="29"/>
      <c r="J31" s="29"/>
    </row>
    <row r="32" spans="2:10" x14ac:dyDescent="0.3">
      <c r="B32" s="29" t="s">
        <v>355</v>
      </c>
      <c r="C32" s="29">
        <v>8500</v>
      </c>
      <c r="D32" s="29"/>
      <c r="E32" s="29"/>
      <c r="G32" s="29" t="s">
        <v>355</v>
      </c>
      <c r="H32" s="29">
        <f>8500</f>
        <v>8500</v>
      </c>
      <c r="I32" s="29"/>
      <c r="J32" s="29"/>
    </row>
    <row r="33" spans="2:10" x14ac:dyDescent="0.3">
      <c r="B33" s="29"/>
      <c r="C33" s="29"/>
      <c r="D33" s="29"/>
      <c r="E33" s="29"/>
      <c r="G33" s="29"/>
      <c r="H33" s="29"/>
      <c r="I33" s="29"/>
      <c r="J33" s="29"/>
    </row>
    <row r="34" spans="2:10" x14ac:dyDescent="0.3">
      <c r="B34" s="29" t="s">
        <v>356</v>
      </c>
      <c r="C34" s="29">
        <v>78980</v>
      </c>
      <c r="D34" s="29"/>
      <c r="E34" s="29"/>
      <c r="G34" s="29" t="s">
        <v>409</v>
      </c>
      <c r="H34" s="29">
        <f>78980</f>
        <v>78980</v>
      </c>
      <c r="I34" s="29"/>
      <c r="J34" s="29"/>
    </row>
    <row r="35" spans="2:10" x14ac:dyDescent="0.3">
      <c r="B35" s="29"/>
      <c r="C35" s="29"/>
      <c r="D35" s="29"/>
      <c r="E35" s="29"/>
      <c r="G35" s="29"/>
      <c r="H35" s="29"/>
      <c r="I35" s="29"/>
      <c r="J35" s="29"/>
    </row>
    <row r="36" spans="2:10" x14ac:dyDescent="0.3">
      <c r="B36" s="29" t="s">
        <v>357</v>
      </c>
      <c r="C36" s="29">
        <f>'34.3.DEPRECATION ON FIXED ASSET'!G11</f>
        <v>337750</v>
      </c>
      <c r="D36" s="29"/>
      <c r="E36" s="29"/>
      <c r="G36" s="29" t="s">
        <v>413</v>
      </c>
      <c r="H36" s="29"/>
      <c r="I36" s="29"/>
      <c r="J36" s="29"/>
    </row>
    <row r="37" spans="2:10" x14ac:dyDescent="0.3">
      <c r="B37" s="29"/>
      <c r="C37" s="29"/>
      <c r="D37" s="29"/>
      <c r="E37" s="29"/>
      <c r="G37" s="29"/>
      <c r="H37" s="29"/>
      <c r="I37" s="29"/>
      <c r="J37" s="29"/>
    </row>
    <row r="38" spans="2:10" x14ac:dyDescent="0.3">
      <c r="B38" s="100" t="s">
        <v>358</v>
      </c>
      <c r="C38" s="100">
        <f>C40-SUM(C18:C36)</f>
        <v>312888</v>
      </c>
      <c r="D38" s="29"/>
      <c r="E38" s="29"/>
      <c r="G38" s="100" t="s">
        <v>358</v>
      </c>
      <c r="H38" s="100">
        <f>H40-SUM(H18:H37)</f>
        <v>650638</v>
      </c>
      <c r="I38" s="29"/>
      <c r="J38" s="29"/>
    </row>
    <row r="39" spans="2:10" x14ac:dyDescent="0.3">
      <c r="B39" s="29"/>
      <c r="C39" s="29"/>
      <c r="D39" s="29"/>
      <c r="E39" s="29"/>
      <c r="G39" s="29"/>
      <c r="H39" s="29"/>
      <c r="I39" s="29"/>
      <c r="J39" s="29"/>
    </row>
    <row r="40" spans="2:10" s="87" customFormat="1" ht="19.5" thickBot="1" x14ac:dyDescent="0.35">
      <c r="B40" s="89" t="s">
        <v>247</v>
      </c>
      <c r="C40" s="90">
        <f>E40</f>
        <v>1377368</v>
      </c>
      <c r="D40" s="89" t="s">
        <v>247</v>
      </c>
      <c r="E40" s="90">
        <f>SUM(E18:E39)</f>
        <v>1377368</v>
      </c>
      <c r="F40" s="110"/>
      <c r="G40" s="89" t="s">
        <v>247</v>
      </c>
      <c r="H40" s="90">
        <f>J40</f>
        <v>1377368</v>
      </c>
      <c r="I40" s="89" t="s">
        <v>247</v>
      </c>
      <c r="J40" s="90">
        <f>SUM(J18:J38)</f>
        <v>1377368</v>
      </c>
    </row>
    <row r="41" spans="2:10" ht="19.5" thickTop="1" x14ac:dyDescent="0.3">
      <c r="B41" s="29"/>
      <c r="C41" s="88"/>
      <c r="D41" s="29"/>
      <c r="E41" s="88"/>
      <c r="G41" s="29"/>
      <c r="H41" s="88"/>
      <c r="I41" s="29"/>
      <c r="J41" s="88"/>
    </row>
  </sheetData>
  <mergeCells count="6">
    <mergeCell ref="G4:J5"/>
    <mergeCell ref="B1:E1"/>
    <mergeCell ref="B2:E2"/>
    <mergeCell ref="B3:E3"/>
    <mergeCell ref="B4:E4"/>
    <mergeCell ref="B5:E5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B1:N28"/>
  <sheetViews>
    <sheetView zoomScale="90" zoomScaleNormal="90" workbookViewId="0">
      <selection activeCell="K26" sqref="K26"/>
    </sheetView>
  </sheetViews>
  <sheetFormatPr defaultColWidth="8.85546875" defaultRowHeight="15.75" x14ac:dyDescent="0.25"/>
  <cols>
    <col min="1" max="1" width="3.28515625" style="92" customWidth="1"/>
    <col min="2" max="2" width="34.85546875" style="92" bestFit="1" customWidth="1"/>
    <col min="3" max="4" width="11.140625" style="92" bestFit="1" customWidth="1"/>
    <col min="5" max="5" width="33.7109375" style="92" bestFit="1" customWidth="1"/>
    <col min="6" max="6" width="11.140625" style="92" bestFit="1" customWidth="1"/>
    <col min="7" max="7" width="12.28515625" style="92" bestFit="1" customWidth="1"/>
    <col min="8" max="8" width="3.28515625" style="105" customWidth="1"/>
    <col min="9" max="9" width="34.28515625" style="92" bestFit="1" customWidth="1"/>
    <col min="10" max="11" width="9.85546875" style="92" bestFit="1" customWidth="1"/>
    <col min="12" max="12" width="33.140625" style="92" bestFit="1" customWidth="1"/>
    <col min="13" max="14" width="9.85546875" style="92" bestFit="1" customWidth="1"/>
    <col min="15" max="16384" width="8.85546875" style="92"/>
  </cols>
  <sheetData>
    <row r="1" spans="2:14" x14ac:dyDescent="0.25">
      <c r="B1" s="138" t="s">
        <v>360</v>
      </c>
      <c r="C1" s="138"/>
      <c r="D1" s="138"/>
      <c r="E1" s="138"/>
      <c r="F1" s="138"/>
      <c r="G1" s="138"/>
    </row>
    <row r="2" spans="2:14" x14ac:dyDescent="0.25">
      <c r="B2" s="138" t="s">
        <v>335</v>
      </c>
      <c r="C2" s="138"/>
      <c r="D2" s="138"/>
      <c r="E2" s="138"/>
      <c r="F2" s="138"/>
      <c r="G2" s="138"/>
    </row>
    <row r="3" spans="2:14" x14ac:dyDescent="0.25">
      <c r="B3" s="138" t="s">
        <v>336</v>
      </c>
      <c r="C3" s="138"/>
      <c r="D3" s="138"/>
      <c r="E3" s="138"/>
      <c r="F3" s="138"/>
      <c r="G3" s="138"/>
      <c r="I3" s="139" t="s">
        <v>333</v>
      </c>
      <c r="J3" s="139"/>
      <c r="K3" s="139"/>
      <c r="L3" s="139"/>
      <c r="M3" s="139"/>
      <c r="N3" s="139"/>
    </row>
    <row r="4" spans="2:14" x14ac:dyDescent="0.25">
      <c r="B4" s="138" t="s">
        <v>359</v>
      </c>
      <c r="C4" s="138"/>
      <c r="D4" s="138"/>
      <c r="E4" s="138"/>
      <c r="F4" s="138"/>
      <c r="G4" s="138"/>
      <c r="I4" s="139"/>
      <c r="J4" s="139"/>
      <c r="K4" s="139"/>
      <c r="L4" s="139"/>
      <c r="M4" s="139"/>
      <c r="N4" s="139"/>
    </row>
    <row r="6" spans="2:14" s="94" customFormat="1" x14ac:dyDescent="0.25">
      <c r="B6" s="93" t="s">
        <v>361</v>
      </c>
      <c r="C6" s="93" t="s">
        <v>73</v>
      </c>
      <c r="D6" s="93" t="s">
        <v>73</v>
      </c>
      <c r="E6" s="93" t="s">
        <v>362</v>
      </c>
      <c r="F6" s="93" t="s">
        <v>73</v>
      </c>
      <c r="G6" s="93" t="s">
        <v>73</v>
      </c>
      <c r="H6" s="106"/>
      <c r="I6" s="93" t="s">
        <v>361</v>
      </c>
      <c r="J6" s="93" t="s">
        <v>73</v>
      </c>
      <c r="K6" s="93" t="s">
        <v>73</v>
      </c>
      <c r="L6" s="93" t="s">
        <v>362</v>
      </c>
      <c r="M6" s="93" t="s">
        <v>73</v>
      </c>
      <c r="N6" s="93" t="s">
        <v>73</v>
      </c>
    </row>
    <row r="7" spans="2:14" x14ac:dyDescent="0.25">
      <c r="B7" s="95" t="s">
        <v>363</v>
      </c>
      <c r="C7" s="96">
        <v>2545690</v>
      </c>
      <c r="D7" s="96">
        <f>SUM(C7:C10)</f>
        <v>2682028</v>
      </c>
      <c r="E7" s="101" t="s">
        <v>376</v>
      </c>
      <c r="F7" s="96">
        <f>'34.3.DEPRECATION ON FIXED ASSET'!E11</f>
        <v>2205000</v>
      </c>
      <c r="G7" s="96">
        <f>F7-F8</f>
        <v>1867250</v>
      </c>
      <c r="I7" s="95" t="s">
        <v>363</v>
      </c>
      <c r="J7" s="96">
        <v>2545690</v>
      </c>
      <c r="K7" s="96">
        <f>SUM(J7:J10)</f>
        <v>2682028</v>
      </c>
      <c r="L7" s="101" t="s">
        <v>376</v>
      </c>
      <c r="M7" s="96">
        <f>'34.3.DEPRECATION ON FIXED ASSET'!N11</f>
        <v>2205000</v>
      </c>
      <c r="N7" s="96">
        <f>M7-M8</f>
        <v>1867250</v>
      </c>
    </row>
    <row r="8" spans="2:14" x14ac:dyDescent="0.25">
      <c r="B8" s="96" t="s">
        <v>364</v>
      </c>
      <c r="C8" s="96">
        <f>'34.1.PROFIT AND LOSS ACCOUNT'!C38</f>
        <v>312888</v>
      </c>
      <c r="D8" s="96"/>
      <c r="E8" s="96" t="s">
        <v>377</v>
      </c>
      <c r="F8" s="96">
        <f>'34.3.DEPRECATION ON FIXED ASSET'!G11</f>
        <v>337750</v>
      </c>
      <c r="G8" s="96"/>
      <c r="I8" s="96" t="s">
        <v>414</v>
      </c>
      <c r="J8" s="96">
        <v>312888</v>
      </c>
      <c r="K8" s="96"/>
      <c r="L8" s="96" t="s">
        <v>418</v>
      </c>
      <c r="M8" s="96">
        <f>'34.3.DEPRECATION ON FIXED ASSET'!P11</f>
        <v>337750</v>
      </c>
      <c r="N8" s="96"/>
    </row>
    <row r="9" spans="2:14" x14ac:dyDescent="0.25">
      <c r="B9" s="96" t="s">
        <v>365</v>
      </c>
      <c r="C9" s="96">
        <v>3450</v>
      </c>
      <c r="D9" s="96"/>
      <c r="E9" s="96"/>
      <c r="F9" s="96"/>
      <c r="G9" s="96"/>
      <c r="I9" s="96" t="s">
        <v>415</v>
      </c>
      <c r="J9" s="96">
        <v>3450</v>
      </c>
      <c r="K9" s="96"/>
      <c r="L9" s="96"/>
      <c r="M9" s="96"/>
      <c r="N9" s="96"/>
    </row>
    <row r="10" spans="2:14" x14ac:dyDescent="0.25">
      <c r="B10" s="96" t="s">
        <v>366</v>
      </c>
      <c r="C10" s="96">
        <v>-180000</v>
      </c>
      <c r="D10" s="96"/>
      <c r="E10" s="96"/>
      <c r="F10" s="96"/>
      <c r="G10" s="96"/>
      <c r="I10" s="96" t="s">
        <v>416</v>
      </c>
      <c r="J10" s="96">
        <v>-180000</v>
      </c>
      <c r="K10" s="96"/>
      <c r="L10" s="96"/>
      <c r="M10" s="96"/>
      <c r="N10" s="96"/>
    </row>
    <row r="11" spans="2:14" x14ac:dyDescent="0.25">
      <c r="B11" s="96"/>
      <c r="C11" s="96"/>
      <c r="D11" s="96"/>
      <c r="E11" s="96"/>
      <c r="F11" s="96"/>
      <c r="G11" s="96"/>
      <c r="I11" s="96"/>
      <c r="J11" s="96"/>
      <c r="K11" s="96"/>
      <c r="L11" s="96"/>
      <c r="M11" s="96"/>
      <c r="N11" s="96"/>
    </row>
    <row r="12" spans="2:14" x14ac:dyDescent="0.25">
      <c r="B12" s="95" t="s">
        <v>367</v>
      </c>
      <c r="C12" s="96"/>
      <c r="D12" s="96">
        <f>SUM(C13:C14)</f>
        <v>730000</v>
      </c>
      <c r="E12" s="95" t="s">
        <v>378</v>
      </c>
      <c r="F12" s="96"/>
      <c r="G12" s="96">
        <v>1454838</v>
      </c>
      <c r="I12" s="95" t="s">
        <v>367</v>
      </c>
      <c r="J12" s="96"/>
      <c r="K12" s="96">
        <f>SUM(J13:J14)</f>
        <v>730000</v>
      </c>
      <c r="L12" s="95" t="s">
        <v>378</v>
      </c>
      <c r="M12" s="96"/>
      <c r="N12" s="96">
        <v>1454838</v>
      </c>
    </row>
    <row r="13" spans="2:14" x14ac:dyDescent="0.25">
      <c r="B13" s="96" t="s">
        <v>368</v>
      </c>
      <c r="C13" s="96">
        <v>80000</v>
      </c>
      <c r="D13" s="96"/>
      <c r="E13" s="96"/>
      <c r="F13" s="96"/>
      <c r="G13" s="96"/>
      <c r="I13" s="96" t="s">
        <v>368</v>
      </c>
      <c r="J13" s="96">
        <v>80000</v>
      </c>
      <c r="K13" s="96"/>
      <c r="L13" s="96"/>
      <c r="M13" s="96"/>
      <c r="N13" s="96"/>
    </row>
    <row r="14" spans="2:14" x14ac:dyDescent="0.25">
      <c r="B14" s="96" t="s">
        <v>375</v>
      </c>
      <c r="C14" s="96">
        <v>650000</v>
      </c>
      <c r="D14" s="96"/>
      <c r="E14" s="95" t="s">
        <v>385</v>
      </c>
      <c r="F14" s="96"/>
      <c r="G14" s="96">
        <f>SUM(F15:F18)</f>
        <v>1302980</v>
      </c>
      <c r="I14" s="96" t="s">
        <v>375</v>
      </c>
      <c r="J14" s="96">
        <v>650000</v>
      </c>
      <c r="K14" s="96"/>
      <c r="L14" s="95" t="s">
        <v>385</v>
      </c>
      <c r="M14" s="96"/>
      <c r="N14" s="96">
        <f>SUM(M15:M18)</f>
        <v>1302980</v>
      </c>
    </row>
    <row r="15" spans="2:14" x14ac:dyDescent="0.25">
      <c r="B15" s="96"/>
      <c r="C15" s="96"/>
      <c r="D15" s="96"/>
      <c r="E15" s="96" t="s">
        <v>379</v>
      </c>
      <c r="F15" s="96">
        <v>350000</v>
      </c>
      <c r="G15" s="96"/>
      <c r="I15" s="96"/>
      <c r="J15" s="96"/>
      <c r="K15" s="96"/>
      <c r="L15" s="96" t="s">
        <v>379</v>
      </c>
      <c r="M15" s="96">
        <v>350000</v>
      </c>
      <c r="N15" s="96"/>
    </row>
    <row r="16" spans="2:14" x14ac:dyDescent="0.25">
      <c r="B16" s="95" t="s">
        <v>369</v>
      </c>
      <c r="C16" s="96"/>
      <c r="D16" s="96">
        <f>SUM(C17:C19)</f>
        <v>1132980</v>
      </c>
      <c r="E16" s="96" t="s">
        <v>399</v>
      </c>
      <c r="F16" s="96">
        <v>250000</v>
      </c>
      <c r="G16" s="96"/>
      <c r="I16" s="95" t="s">
        <v>369</v>
      </c>
      <c r="J16" s="96"/>
      <c r="K16" s="96">
        <f>SUM(J17:J19)</f>
        <v>1132980</v>
      </c>
      <c r="L16" s="96" t="s">
        <v>399</v>
      </c>
      <c r="M16" s="96">
        <v>250000</v>
      </c>
      <c r="N16" s="96"/>
    </row>
    <row r="17" spans="2:14" x14ac:dyDescent="0.25">
      <c r="B17" s="96" t="s">
        <v>370</v>
      </c>
      <c r="C17" s="96">
        <v>125000</v>
      </c>
      <c r="D17" s="96"/>
      <c r="E17" s="96" t="s">
        <v>384</v>
      </c>
      <c r="F17" s="96">
        <v>45000</v>
      </c>
      <c r="G17" s="96"/>
      <c r="I17" s="96" t="s">
        <v>370</v>
      </c>
      <c r="J17" s="96">
        <v>125000</v>
      </c>
      <c r="K17" s="96"/>
      <c r="L17" s="96" t="s">
        <v>384</v>
      </c>
      <c r="M17" s="96">
        <v>45000</v>
      </c>
      <c r="N17" s="96"/>
    </row>
    <row r="18" spans="2:14" x14ac:dyDescent="0.25">
      <c r="B18" s="96" t="s">
        <v>371</v>
      </c>
      <c r="C18" s="96">
        <v>350000</v>
      </c>
      <c r="D18" s="96"/>
      <c r="E18" s="96" t="s">
        <v>400</v>
      </c>
      <c r="F18" s="96">
        <f>'34.1.PROFIT AND LOSS ACCOUNT'!E10</f>
        <v>657980</v>
      </c>
      <c r="G18" s="96"/>
      <c r="I18" s="96" t="s">
        <v>371</v>
      </c>
      <c r="J18" s="96">
        <v>350000</v>
      </c>
      <c r="K18" s="96"/>
      <c r="L18" s="96" t="s">
        <v>400</v>
      </c>
      <c r="M18" s="96">
        <f>'34.1.PROFIT AND LOSS ACCOUNT'!J10</f>
        <v>657980</v>
      </c>
      <c r="N18" s="96"/>
    </row>
    <row r="19" spans="2:14" x14ac:dyDescent="0.25">
      <c r="B19" s="96" t="s">
        <v>401</v>
      </c>
      <c r="C19" s="96">
        <v>657980</v>
      </c>
      <c r="D19" s="96"/>
      <c r="E19" s="96"/>
      <c r="F19" s="96"/>
      <c r="G19" s="96"/>
      <c r="I19" s="96" t="s">
        <v>417</v>
      </c>
      <c r="J19" s="96">
        <v>657980</v>
      </c>
      <c r="K19" s="96"/>
      <c r="L19" s="96"/>
      <c r="M19" s="96"/>
      <c r="N19" s="96"/>
    </row>
    <row r="20" spans="2:14" x14ac:dyDescent="0.25">
      <c r="B20" s="95" t="s">
        <v>372</v>
      </c>
      <c r="C20" s="96"/>
      <c r="D20" s="96">
        <f>SUM(C21:C22)</f>
        <v>370690</v>
      </c>
      <c r="E20" s="95" t="s">
        <v>380</v>
      </c>
      <c r="F20" s="96"/>
      <c r="G20" s="96">
        <f>SUM(F21:F23)</f>
        <v>290630</v>
      </c>
      <c r="I20" s="95" t="s">
        <v>372</v>
      </c>
      <c r="J20" s="96"/>
      <c r="K20" s="96">
        <f>SUM(J21:J22)</f>
        <v>370690</v>
      </c>
      <c r="L20" s="95" t="s">
        <v>380</v>
      </c>
      <c r="M20" s="96"/>
      <c r="N20" s="96">
        <f>SUM(M21:M23)</f>
        <v>290630</v>
      </c>
    </row>
    <row r="21" spans="2:14" x14ac:dyDescent="0.25">
      <c r="B21" s="96" t="s">
        <v>373</v>
      </c>
      <c r="C21" s="96">
        <v>245690</v>
      </c>
      <c r="D21" s="96"/>
      <c r="E21" s="96" t="s">
        <v>381</v>
      </c>
      <c r="F21" s="96">
        <v>89650</v>
      </c>
      <c r="G21" s="96"/>
      <c r="I21" s="96" t="s">
        <v>373</v>
      </c>
      <c r="J21" s="96">
        <v>245690</v>
      </c>
      <c r="K21" s="96"/>
      <c r="L21" s="96" t="s">
        <v>381</v>
      </c>
      <c r="M21" s="96">
        <v>89650</v>
      </c>
      <c r="N21" s="96"/>
    </row>
    <row r="22" spans="2:14" x14ac:dyDescent="0.25">
      <c r="B22" s="96" t="s">
        <v>374</v>
      </c>
      <c r="C22" s="96">
        <v>125000</v>
      </c>
      <c r="D22" s="96"/>
      <c r="E22" s="96" t="s">
        <v>382</v>
      </c>
      <c r="F22" s="96">
        <v>78980</v>
      </c>
      <c r="G22" s="96"/>
      <c r="I22" s="96" t="s">
        <v>374</v>
      </c>
      <c r="J22" s="96">
        <v>125000</v>
      </c>
      <c r="K22" s="96"/>
      <c r="L22" s="96" t="s">
        <v>382</v>
      </c>
      <c r="M22" s="96">
        <v>78980</v>
      </c>
      <c r="N22" s="96"/>
    </row>
    <row r="23" spans="2:14" x14ac:dyDescent="0.25">
      <c r="B23" s="96"/>
      <c r="C23" s="96"/>
      <c r="D23" s="96"/>
      <c r="E23" s="96" t="s">
        <v>383</v>
      </c>
      <c r="F23" s="96">
        <v>122000</v>
      </c>
      <c r="G23" s="96"/>
      <c r="I23" s="96"/>
      <c r="J23" s="96"/>
      <c r="K23" s="96"/>
      <c r="L23" s="96" t="s">
        <v>383</v>
      </c>
      <c r="M23" s="96">
        <v>122000</v>
      </c>
      <c r="N23" s="96"/>
    </row>
    <row r="24" spans="2:14" x14ac:dyDescent="0.25">
      <c r="B24" s="96"/>
      <c r="C24" s="96"/>
      <c r="D24" s="96"/>
      <c r="E24" s="96"/>
      <c r="F24" s="96"/>
      <c r="G24" s="96"/>
      <c r="I24" s="96"/>
      <c r="J24" s="96"/>
      <c r="K24" s="96"/>
      <c r="L24" s="96"/>
      <c r="M24" s="96"/>
      <c r="N24" s="96"/>
    </row>
    <row r="25" spans="2:14" x14ac:dyDescent="0.25">
      <c r="B25" s="101" t="s">
        <v>247</v>
      </c>
      <c r="C25" s="101"/>
      <c r="D25" s="101">
        <f>SUM(D7:D20)</f>
        <v>4915698</v>
      </c>
      <c r="E25" s="101" t="s">
        <v>247</v>
      </c>
      <c r="F25" s="101"/>
      <c r="G25" s="101">
        <f>SUM(G7:G24)</f>
        <v>4915698</v>
      </c>
      <c r="I25" s="101" t="s">
        <v>247</v>
      </c>
      <c r="J25" s="101"/>
      <c r="K25" s="101">
        <f>SUM(K7:K24)</f>
        <v>4915698</v>
      </c>
      <c r="L25" s="101" t="s">
        <v>247</v>
      </c>
      <c r="M25" s="101"/>
      <c r="N25" s="101">
        <f>SUM(N7:N24)</f>
        <v>4915698</v>
      </c>
    </row>
    <row r="28" spans="2:14" x14ac:dyDescent="0.25">
      <c r="E28" s="92">
        <f>G25-D25</f>
        <v>0</v>
      </c>
    </row>
  </sheetData>
  <mergeCells count="5">
    <mergeCell ref="B3:G3"/>
    <mergeCell ref="B4:G4"/>
    <mergeCell ref="B1:G1"/>
    <mergeCell ref="B2:G2"/>
    <mergeCell ref="I3:N4"/>
  </mergeCells>
  <pageMargins left="0.7" right="0.7" top="0.75" bottom="0.75" header="0.3" footer="0.3"/>
  <pageSetup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21"/>
  <sheetViews>
    <sheetView topLeftCell="F1" zoomScale="80" zoomScaleNormal="80" workbookViewId="0">
      <selection activeCell="Z8" sqref="Z8"/>
    </sheetView>
  </sheetViews>
  <sheetFormatPr defaultColWidth="8.85546875" defaultRowHeight="18.75" x14ac:dyDescent="0.3"/>
  <cols>
    <col min="1" max="1" width="6.7109375" style="2" customWidth="1"/>
    <col min="2" max="2" width="11.7109375" style="2" bestFit="1" customWidth="1"/>
    <col min="3" max="32" width="4.7109375" style="2" customWidth="1"/>
    <col min="33" max="33" width="10" style="2" bestFit="1" customWidth="1"/>
    <col min="34" max="35" width="8.85546875" style="2"/>
    <col min="36" max="36" width="20.140625" style="2" bestFit="1" customWidth="1"/>
    <col min="37" max="37" width="16.42578125" style="2" bestFit="1" customWidth="1"/>
    <col min="38" max="38" width="15.28515625" style="2" bestFit="1" customWidth="1"/>
    <col min="39" max="39" width="11.28515625" style="2" bestFit="1" customWidth="1"/>
    <col min="40" max="16384" width="8.85546875" style="2"/>
  </cols>
  <sheetData>
    <row r="1" spans="1:39" x14ac:dyDescent="0.3">
      <c r="A1" s="120" t="s">
        <v>36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</row>
    <row r="2" spans="1:39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</row>
    <row r="4" spans="1:39" x14ac:dyDescent="0.3">
      <c r="A4" s="72" t="s">
        <v>26</v>
      </c>
      <c r="B4" s="72" t="s">
        <v>27</v>
      </c>
      <c r="C4" s="72">
        <v>1</v>
      </c>
      <c r="D4" s="72">
        <v>2</v>
      </c>
      <c r="E4" s="72">
        <v>3</v>
      </c>
      <c r="F4" s="72">
        <v>4</v>
      </c>
      <c r="G4" s="72">
        <v>5</v>
      </c>
      <c r="H4" s="72">
        <v>6</v>
      </c>
      <c r="I4" s="72">
        <v>7</v>
      </c>
      <c r="J4" s="72">
        <v>8</v>
      </c>
      <c r="K4" s="72">
        <v>9</v>
      </c>
      <c r="L4" s="72">
        <v>10</v>
      </c>
      <c r="M4" s="72">
        <v>11</v>
      </c>
      <c r="N4" s="72">
        <v>12</v>
      </c>
      <c r="O4" s="72">
        <v>13</v>
      </c>
      <c r="P4" s="72">
        <v>14</v>
      </c>
      <c r="Q4" s="72">
        <v>15</v>
      </c>
      <c r="R4" s="72">
        <v>16</v>
      </c>
      <c r="S4" s="72">
        <v>17</v>
      </c>
      <c r="T4" s="72">
        <v>18</v>
      </c>
      <c r="U4" s="72">
        <v>19</v>
      </c>
      <c r="V4" s="72">
        <v>20</v>
      </c>
      <c r="W4" s="72">
        <v>21</v>
      </c>
      <c r="X4" s="72">
        <v>22</v>
      </c>
      <c r="Y4" s="72">
        <v>23</v>
      </c>
      <c r="Z4" s="72">
        <v>24</v>
      </c>
      <c r="AA4" s="72">
        <v>25</v>
      </c>
      <c r="AB4" s="72">
        <v>26</v>
      </c>
      <c r="AC4" s="72">
        <v>27</v>
      </c>
      <c r="AD4" s="72">
        <v>28</v>
      </c>
      <c r="AE4" s="72">
        <v>29</v>
      </c>
      <c r="AF4" s="72">
        <v>30</v>
      </c>
      <c r="AG4" s="72" t="s">
        <v>29</v>
      </c>
      <c r="AH4" s="72" t="s">
        <v>30</v>
      </c>
      <c r="AI4" s="72" t="s">
        <v>31</v>
      </c>
      <c r="AJ4" s="72" t="s">
        <v>32</v>
      </c>
      <c r="AK4" s="72" t="s">
        <v>35</v>
      </c>
      <c r="AL4" s="72" t="s">
        <v>33</v>
      </c>
      <c r="AM4" s="72" t="s">
        <v>34</v>
      </c>
    </row>
    <row r="5" spans="1:39" x14ac:dyDescent="0.3">
      <c r="A5" s="55">
        <v>1</v>
      </c>
      <c r="B5" s="55" t="s">
        <v>8</v>
      </c>
      <c r="C5" s="55" t="s">
        <v>28</v>
      </c>
      <c r="D5" s="55" t="s">
        <v>28</v>
      </c>
      <c r="E5" s="55" t="s">
        <v>28</v>
      </c>
      <c r="F5" s="55" t="s">
        <v>28</v>
      </c>
      <c r="G5" s="55" t="s">
        <v>8</v>
      </c>
      <c r="H5" s="55" t="s">
        <v>15</v>
      </c>
      <c r="I5" s="55" t="s">
        <v>28</v>
      </c>
      <c r="J5" s="55" t="s">
        <v>28</v>
      </c>
      <c r="K5" s="55" t="s">
        <v>28</v>
      </c>
      <c r="L5" s="55" t="s">
        <v>28</v>
      </c>
      <c r="M5" s="55" t="s">
        <v>28</v>
      </c>
      <c r="N5" s="55" t="s">
        <v>28</v>
      </c>
      <c r="O5" s="55" t="s">
        <v>15</v>
      </c>
      <c r="P5" s="55" t="s">
        <v>28</v>
      </c>
      <c r="Q5" s="55" t="s">
        <v>28</v>
      </c>
      <c r="R5" s="55" t="s">
        <v>28</v>
      </c>
      <c r="S5" s="55" t="s">
        <v>28</v>
      </c>
      <c r="T5" s="55" t="s">
        <v>28</v>
      </c>
      <c r="U5" s="55" t="s">
        <v>28</v>
      </c>
      <c r="V5" s="55" t="s">
        <v>28</v>
      </c>
      <c r="W5" s="55" t="s">
        <v>28</v>
      </c>
      <c r="X5" s="55" t="s">
        <v>28</v>
      </c>
      <c r="Y5" s="55" t="s">
        <v>28</v>
      </c>
      <c r="Z5" s="55" t="s">
        <v>28</v>
      </c>
      <c r="AA5" s="55" t="s">
        <v>28</v>
      </c>
      <c r="AB5" s="55" t="s">
        <v>28</v>
      </c>
      <c r="AC5" s="55" t="s">
        <v>28</v>
      </c>
      <c r="AD5" s="55" t="s">
        <v>28</v>
      </c>
      <c r="AE5" s="55" t="s">
        <v>28</v>
      </c>
      <c r="AF5" s="55" t="s">
        <v>28</v>
      </c>
      <c r="AG5" s="55">
        <f>COUNTIF(C5:AF5,"p")</f>
        <v>27</v>
      </c>
      <c r="AH5" s="55">
        <f>COUNTIF(C5:AF5,"a")</f>
        <v>1</v>
      </c>
      <c r="AI5" s="55">
        <f>COUNTIF(C5:AF5,"H")</f>
        <v>2</v>
      </c>
      <c r="AJ5" s="55">
        <f>AG5+AI5/2</f>
        <v>28</v>
      </c>
      <c r="AK5" s="55">
        <v>90000</v>
      </c>
      <c r="AL5" s="55">
        <f>AK5/30</f>
        <v>3000</v>
      </c>
      <c r="AM5" s="55">
        <f>AJ5*AL5</f>
        <v>84000</v>
      </c>
    </row>
    <row r="6" spans="1:39" x14ac:dyDescent="0.3">
      <c r="A6" s="55">
        <v>2</v>
      </c>
      <c r="B6" s="55" t="s">
        <v>9</v>
      </c>
      <c r="C6" s="55" t="s">
        <v>28</v>
      </c>
      <c r="D6" s="55" t="s">
        <v>28</v>
      </c>
      <c r="E6" s="55" t="s">
        <v>28</v>
      </c>
      <c r="F6" s="55" t="s">
        <v>28</v>
      </c>
      <c r="G6" s="55" t="s">
        <v>28</v>
      </c>
      <c r="H6" s="55" t="s">
        <v>28</v>
      </c>
      <c r="I6" s="55" t="s">
        <v>28</v>
      </c>
      <c r="J6" s="55" t="s">
        <v>28</v>
      </c>
      <c r="K6" s="55" t="s">
        <v>8</v>
      </c>
      <c r="L6" s="55" t="s">
        <v>8</v>
      </c>
      <c r="M6" s="55" t="s">
        <v>8</v>
      </c>
      <c r="N6" s="55" t="s">
        <v>28</v>
      </c>
      <c r="O6" s="55" t="s">
        <v>28</v>
      </c>
      <c r="P6" s="55" t="s">
        <v>8</v>
      </c>
      <c r="Q6" s="55" t="s">
        <v>15</v>
      </c>
      <c r="R6" s="55" t="s">
        <v>15</v>
      </c>
      <c r="S6" s="55" t="s">
        <v>15</v>
      </c>
      <c r="T6" s="55" t="s">
        <v>28</v>
      </c>
      <c r="U6" s="55" t="s">
        <v>28</v>
      </c>
      <c r="V6" s="55" t="s">
        <v>28</v>
      </c>
      <c r="W6" s="55" t="s">
        <v>28</v>
      </c>
      <c r="X6" s="55" t="s">
        <v>28</v>
      </c>
      <c r="Y6" s="55" t="s">
        <v>28</v>
      </c>
      <c r="Z6" s="55" t="s">
        <v>28</v>
      </c>
      <c r="AA6" s="55" t="s">
        <v>28</v>
      </c>
      <c r="AB6" s="55" t="s">
        <v>28</v>
      </c>
      <c r="AC6" s="55" t="s">
        <v>28</v>
      </c>
      <c r="AD6" s="55" t="s">
        <v>28</v>
      </c>
      <c r="AE6" s="55" t="s">
        <v>28</v>
      </c>
      <c r="AF6" s="55" t="s">
        <v>28</v>
      </c>
      <c r="AG6" s="55">
        <f t="shared" ref="AG6:AG14" si="0">COUNTIF(C6:AF6,"p")</f>
        <v>23</v>
      </c>
      <c r="AH6" s="55">
        <f t="shared" ref="AH6:AH14" si="1">COUNTIF(C6:AF6,"a")</f>
        <v>4</v>
      </c>
      <c r="AI6" s="55">
        <f t="shared" ref="AI6:AI14" si="2">COUNTIF(C6:AF6,"H")</f>
        <v>3</v>
      </c>
      <c r="AJ6" s="55">
        <f t="shared" ref="AJ6:AJ14" si="3">AG6+AI6/2</f>
        <v>24.5</v>
      </c>
      <c r="AK6" s="55">
        <v>90000</v>
      </c>
      <c r="AL6" s="55">
        <f t="shared" ref="AL6:AL14" si="4">AK6/30</f>
        <v>3000</v>
      </c>
      <c r="AM6" s="55">
        <f t="shared" ref="AM6:AM14" si="5">AJ6*AL6</f>
        <v>73500</v>
      </c>
    </row>
    <row r="7" spans="1:39" x14ac:dyDescent="0.3">
      <c r="A7" s="55">
        <v>3</v>
      </c>
      <c r="B7" s="55" t="s">
        <v>10</v>
      </c>
      <c r="C7" s="55" t="s">
        <v>28</v>
      </c>
      <c r="D7" s="55" t="s">
        <v>28</v>
      </c>
      <c r="E7" s="55" t="s">
        <v>28</v>
      </c>
      <c r="F7" s="55" t="s">
        <v>28</v>
      </c>
      <c r="G7" s="55" t="s">
        <v>28</v>
      </c>
      <c r="H7" s="55" t="s">
        <v>28</v>
      </c>
      <c r="I7" s="55" t="s">
        <v>28</v>
      </c>
      <c r="J7" s="55" t="s">
        <v>28</v>
      </c>
      <c r="K7" s="55" t="s">
        <v>28</v>
      </c>
      <c r="L7" s="55" t="s">
        <v>28</v>
      </c>
      <c r="M7" s="55" t="s">
        <v>28</v>
      </c>
      <c r="N7" s="55" t="s">
        <v>28</v>
      </c>
      <c r="O7" s="55" t="s">
        <v>28</v>
      </c>
      <c r="P7" s="55" t="s">
        <v>28</v>
      </c>
      <c r="Q7" s="55" t="s">
        <v>28</v>
      </c>
      <c r="R7" s="55" t="s">
        <v>28</v>
      </c>
      <c r="S7" s="55" t="s">
        <v>28</v>
      </c>
      <c r="T7" s="55" t="s">
        <v>28</v>
      </c>
      <c r="U7" s="55" t="s">
        <v>28</v>
      </c>
      <c r="V7" s="55" t="s">
        <v>28</v>
      </c>
      <c r="W7" s="55" t="s">
        <v>8</v>
      </c>
      <c r="X7" s="55" t="s">
        <v>28</v>
      </c>
      <c r="Y7" s="55" t="s">
        <v>28</v>
      </c>
      <c r="Z7" s="55" t="s">
        <v>28</v>
      </c>
      <c r="AA7" s="55" t="s">
        <v>28</v>
      </c>
      <c r="AB7" s="55" t="s">
        <v>28</v>
      </c>
      <c r="AC7" s="55" t="s">
        <v>28</v>
      </c>
      <c r="AD7" s="55" t="s">
        <v>28</v>
      </c>
      <c r="AE7" s="55" t="s">
        <v>28</v>
      </c>
      <c r="AF7" s="55" t="s">
        <v>28</v>
      </c>
      <c r="AG7" s="55">
        <f t="shared" si="0"/>
        <v>29</v>
      </c>
      <c r="AH7" s="55">
        <f t="shared" si="1"/>
        <v>1</v>
      </c>
      <c r="AI7" s="55">
        <f t="shared" si="2"/>
        <v>0</v>
      </c>
      <c r="AJ7" s="55">
        <f t="shared" si="3"/>
        <v>29</v>
      </c>
      <c r="AK7" s="55">
        <v>90000</v>
      </c>
      <c r="AL7" s="55">
        <f t="shared" si="4"/>
        <v>3000</v>
      </c>
      <c r="AM7" s="55">
        <f t="shared" si="5"/>
        <v>87000</v>
      </c>
    </row>
    <row r="8" spans="1:39" x14ac:dyDescent="0.3">
      <c r="A8" s="55">
        <v>4</v>
      </c>
      <c r="B8" s="55" t="s">
        <v>11</v>
      </c>
      <c r="C8" s="55"/>
      <c r="D8" s="55" t="s">
        <v>28</v>
      </c>
      <c r="E8" s="55" t="s">
        <v>28</v>
      </c>
      <c r="F8" s="55" t="s">
        <v>28</v>
      </c>
      <c r="G8" s="55" t="s">
        <v>28</v>
      </c>
      <c r="H8" s="55" t="s">
        <v>28</v>
      </c>
      <c r="I8" s="55" t="s">
        <v>28</v>
      </c>
      <c r="J8" s="55" t="s">
        <v>8</v>
      </c>
      <c r="K8" s="55" t="s">
        <v>28</v>
      </c>
      <c r="L8" s="55" t="s">
        <v>28</v>
      </c>
      <c r="M8" s="55" t="s">
        <v>28</v>
      </c>
      <c r="N8" s="55" t="s">
        <v>28</v>
      </c>
      <c r="O8" s="55" t="s">
        <v>28</v>
      </c>
      <c r="P8" s="55" t="s">
        <v>28</v>
      </c>
      <c r="Q8" s="55" t="s">
        <v>8</v>
      </c>
      <c r="R8" s="55" t="s">
        <v>8</v>
      </c>
      <c r="S8" s="55" t="s">
        <v>15</v>
      </c>
      <c r="T8" s="55" t="s">
        <v>28</v>
      </c>
      <c r="U8" s="55" t="s">
        <v>28</v>
      </c>
      <c r="V8" s="55" t="s">
        <v>15</v>
      </c>
      <c r="W8" s="55" t="s">
        <v>15</v>
      </c>
      <c r="X8" s="55" t="s">
        <v>28</v>
      </c>
      <c r="Y8" s="55" t="s">
        <v>28</v>
      </c>
      <c r="Z8" s="55" t="s">
        <v>28</v>
      </c>
      <c r="AA8" s="55" t="s">
        <v>28</v>
      </c>
      <c r="AB8" s="55" t="s">
        <v>28</v>
      </c>
      <c r="AC8" s="55" t="s">
        <v>28</v>
      </c>
      <c r="AD8" s="55" t="s">
        <v>28</v>
      </c>
      <c r="AE8" s="55" t="s">
        <v>28</v>
      </c>
      <c r="AF8" s="55" t="s">
        <v>28</v>
      </c>
      <c r="AG8" s="55">
        <f t="shared" si="0"/>
        <v>23</v>
      </c>
      <c r="AH8" s="55">
        <f t="shared" si="1"/>
        <v>3</v>
      </c>
      <c r="AI8" s="55">
        <f t="shared" si="2"/>
        <v>3</v>
      </c>
      <c r="AJ8" s="55">
        <f t="shared" si="3"/>
        <v>24.5</v>
      </c>
      <c r="AK8" s="55">
        <v>90000</v>
      </c>
      <c r="AL8" s="55">
        <f t="shared" si="4"/>
        <v>3000</v>
      </c>
      <c r="AM8" s="55">
        <f t="shared" si="5"/>
        <v>73500</v>
      </c>
    </row>
    <row r="9" spans="1:39" x14ac:dyDescent="0.3">
      <c r="A9" s="55">
        <v>5</v>
      </c>
      <c r="B9" s="55" t="s">
        <v>12</v>
      </c>
      <c r="C9" s="55" t="s">
        <v>15</v>
      </c>
      <c r="D9" s="55" t="s">
        <v>15</v>
      </c>
      <c r="E9" s="55" t="s">
        <v>15</v>
      </c>
      <c r="F9" s="55" t="s">
        <v>15</v>
      </c>
      <c r="G9" s="55" t="s">
        <v>15</v>
      </c>
      <c r="H9" s="55" t="s">
        <v>15</v>
      </c>
      <c r="I9" s="55" t="s">
        <v>15</v>
      </c>
      <c r="J9" s="55" t="s">
        <v>15</v>
      </c>
      <c r="K9" s="55" t="s">
        <v>15</v>
      </c>
      <c r="L9" s="55" t="s">
        <v>15</v>
      </c>
      <c r="M9" s="55" t="s">
        <v>28</v>
      </c>
      <c r="N9" s="55" t="s">
        <v>28</v>
      </c>
      <c r="O9" s="55" t="s">
        <v>28</v>
      </c>
      <c r="P9" s="55" t="s">
        <v>28</v>
      </c>
      <c r="Q9" s="55" t="s">
        <v>28</v>
      </c>
      <c r="R9" s="55" t="s">
        <v>28</v>
      </c>
      <c r="S9" s="55" t="s">
        <v>28</v>
      </c>
      <c r="T9" s="55" t="s">
        <v>28</v>
      </c>
      <c r="U9" s="55" t="s">
        <v>28</v>
      </c>
      <c r="V9" s="55" t="s">
        <v>28</v>
      </c>
      <c r="W9" s="55" t="s">
        <v>28</v>
      </c>
      <c r="X9" s="55" t="s">
        <v>28</v>
      </c>
      <c r="Y9" s="55" t="s">
        <v>28</v>
      </c>
      <c r="Z9" s="55" t="s">
        <v>28</v>
      </c>
      <c r="AA9" s="55" t="s">
        <v>28</v>
      </c>
      <c r="AB9" s="55" t="s">
        <v>28</v>
      </c>
      <c r="AC9" s="55" t="s">
        <v>28</v>
      </c>
      <c r="AD9" s="55" t="s">
        <v>28</v>
      </c>
      <c r="AE9" s="55" t="s">
        <v>28</v>
      </c>
      <c r="AF9" s="55" t="s">
        <v>28</v>
      </c>
      <c r="AG9" s="55">
        <f t="shared" si="0"/>
        <v>20</v>
      </c>
      <c r="AH9" s="55">
        <f t="shared" si="1"/>
        <v>0</v>
      </c>
      <c r="AI9" s="55">
        <f t="shared" si="2"/>
        <v>10</v>
      </c>
      <c r="AJ9" s="55">
        <f t="shared" si="3"/>
        <v>25</v>
      </c>
      <c r="AK9" s="55">
        <v>90000</v>
      </c>
      <c r="AL9" s="55">
        <f t="shared" si="4"/>
        <v>3000</v>
      </c>
      <c r="AM9" s="55">
        <f t="shared" si="5"/>
        <v>75000</v>
      </c>
    </row>
    <row r="10" spans="1:39" x14ac:dyDescent="0.3">
      <c r="A10" s="55">
        <v>6</v>
      </c>
      <c r="B10" s="55" t="s">
        <v>13</v>
      </c>
      <c r="C10" s="55" t="s">
        <v>28</v>
      </c>
      <c r="D10" s="55" t="s">
        <v>28</v>
      </c>
      <c r="E10" s="55" t="s">
        <v>28</v>
      </c>
      <c r="F10" s="55" t="s">
        <v>28</v>
      </c>
      <c r="G10" s="55" t="s">
        <v>28</v>
      </c>
      <c r="H10" s="55" t="s">
        <v>28</v>
      </c>
      <c r="I10" s="55" t="s">
        <v>28</v>
      </c>
      <c r="J10" s="55" t="s">
        <v>28</v>
      </c>
      <c r="K10" s="55" t="s">
        <v>28</v>
      </c>
      <c r="L10" s="55" t="s">
        <v>28</v>
      </c>
      <c r="M10" s="55" t="s">
        <v>28</v>
      </c>
      <c r="N10" s="55" t="s">
        <v>28</v>
      </c>
      <c r="O10" s="55" t="s">
        <v>28</v>
      </c>
      <c r="P10" s="55" t="s">
        <v>28</v>
      </c>
      <c r="Q10" s="55" t="s">
        <v>28</v>
      </c>
      <c r="R10" s="55" t="s">
        <v>28</v>
      </c>
      <c r="S10" s="55" t="s">
        <v>28</v>
      </c>
      <c r="T10" s="55" t="s">
        <v>28</v>
      </c>
      <c r="U10" s="55" t="s">
        <v>28</v>
      </c>
      <c r="V10" s="55" t="s">
        <v>28</v>
      </c>
      <c r="W10" s="55" t="s">
        <v>28</v>
      </c>
      <c r="X10" s="55" t="s">
        <v>28</v>
      </c>
      <c r="Y10" s="55" t="s">
        <v>28</v>
      </c>
      <c r="Z10" s="55" t="s">
        <v>28</v>
      </c>
      <c r="AA10" s="55" t="s">
        <v>28</v>
      </c>
      <c r="AB10" s="55" t="s">
        <v>28</v>
      </c>
      <c r="AC10" s="55" t="s">
        <v>28</v>
      </c>
      <c r="AD10" s="55" t="s">
        <v>28</v>
      </c>
      <c r="AE10" s="55" t="s">
        <v>28</v>
      </c>
      <c r="AF10" s="55" t="s">
        <v>28</v>
      </c>
      <c r="AG10" s="55">
        <f t="shared" si="0"/>
        <v>30</v>
      </c>
      <c r="AH10" s="55">
        <f t="shared" si="1"/>
        <v>0</v>
      </c>
      <c r="AI10" s="55">
        <f t="shared" si="2"/>
        <v>0</v>
      </c>
      <c r="AJ10" s="55">
        <f t="shared" si="3"/>
        <v>30</v>
      </c>
      <c r="AK10" s="55">
        <v>90000</v>
      </c>
      <c r="AL10" s="55">
        <f t="shared" si="4"/>
        <v>3000</v>
      </c>
      <c r="AM10" s="55">
        <f t="shared" si="5"/>
        <v>90000</v>
      </c>
    </row>
    <row r="11" spans="1:39" x14ac:dyDescent="0.3">
      <c r="A11" s="55">
        <v>7</v>
      </c>
      <c r="B11" s="55" t="s">
        <v>14</v>
      </c>
      <c r="C11" s="55" t="s">
        <v>28</v>
      </c>
      <c r="D11" s="55" t="s">
        <v>28</v>
      </c>
      <c r="E11" s="55" t="s">
        <v>28</v>
      </c>
      <c r="F11" s="55" t="s">
        <v>28</v>
      </c>
      <c r="G11" s="55" t="s">
        <v>28</v>
      </c>
      <c r="H11" s="55" t="s">
        <v>28</v>
      </c>
      <c r="I11" s="55" t="s">
        <v>15</v>
      </c>
      <c r="J11" s="55" t="s">
        <v>15</v>
      </c>
      <c r="K11" s="55" t="s">
        <v>15</v>
      </c>
      <c r="L11" s="55" t="s">
        <v>15</v>
      </c>
      <c r="M11" s="55" t="s">
        <v>28</v>
      </c>
      <c r="N11" s="55" t="s">
        <v>28</v>
      </c>
      <c r="O11" s="55" t="s">
        <v>28</v>
      </c>
      <c r="P11" s="55" t="s">
        <v>28</v>
      </c>
      <c r="Q11" s="55" t="s">
        <v>28</v>
      </c>
      <c r="R11" s="55" t="s">
        <v>28</v>
      </c>
      <c r="S11" s="55" t="s">
        <v>28</v>
      </c>
      <c r="T11" s="55" t="s">
        <v>28</v>
      </c>
      <c r="U11" s="55" t="s">
        <v>28</v>
      </c>
      <c r="V11" s="55" t="s">
        <v>28</v>
      </c>
      <c r="W11" s="55" t="s">
        <v>28</v>
      </c>
      <c r="X11" s="55" t="s">
        <v>28</v>
      </c>
      <c r="Y11" s="55" t="s">
        <v>28</v>
      </c>
      <c r="Z11" s="55" t="s">
        <v>8</v>
      </c>
      <c r="AA11" s="55" t="s">
        <v>28</v>
      </c>
      <c r="AB11" s="55" t="s">
        <v>28</v>
      </c>
      <c r="AC11" s="55" t="s">
        <v>28</v>
      </c>
      <c r="AD11" s="55" t="s">
        <v>28</v>
      </c>
      <c r="AE11" s="55" t="s">
        <v>28</v>
      </c>
      <c r="AF11" s="55" t="s">
        <v>28</v>
      </c>
      <c r="AG11" s="55">
        <f t="shared" si="0"/>
        <v>25</v>
      </c>
      <c r="AH11" s="55">
        <f t="shared" si="1"/>
        <v>1</v>
      </c>
      <c r="AI11" s="55">
        <f t="shared" si="2"/>
        <v>4</v>
      </c>
      <c r="AJ11" s="55">
        <f t="shared" si="3"/>
        <v>27</v>
      </c>
      <c r="AK11" s="55">
        <v>90000</v>
      </c>
      <c r="AL11" s="55">
        <f t="shared" si="4"/>
        <v>3000</v>
      </c>
      <c r="AM11" s="55">
        <f t="shared" si="5"/>
        <v>81000</v>
      </c>
    </row>
    <row r="12" spans="1:39" x14ac:dyDescent="0.3">
      <c r="A12" s="55">
        <v>8</v>
      </c>
      <c r="B12" s="55" t="s">
        <v>15</v>
      </c>
      <c r="C12" s="55" t="s">
        <v>8</v>
      </c>
      <c r="D12" s="55" t="s">
        <v>28</v>
      </c>
      <c r="E12" s="55" t="s">
        <v>28</v>
      </c>
      <c r="F12" s="55" t="s">
        <v>28</v>
      </c>
      <c r="G12" s="55" t="s">
        <v>28</v>
      </c>
      <c r="H12" s="55" t="s">
        <v>28</v>
      </c>
      <c r="I12" s="55" t="s">
        <v>28</v>
      </c>
      <c r="J12" s="55" t="s">
        <v>28</v>
      </c>
      <c r="K12" s="55" t="s">
        <v>28</v>
      </c>
      <c r="L12" s="55" t="s">
        <v>28</v>
      </c>
      <c r="M12" s="55" t="s">
        <v>28</v>
      </c>
      <c r="N12" s="55" t="s">
        <v>28</v>
      </c>
      <c r="O12" s="55" t="s">
        <v>28</v>
      </c>
      <c r="P12" s="55" t="s">
        <v>28</v>
      </c>
      <c r="Q12" s="55" t="s">
        <v>28</v>
      </c>
      <c r="R12" s="55" t="s">
        <v>28</v>
      </c>
      <c r="S12" s="55" t="s">
        <v>28</v>
      </c>
      <c r="T12" s="55" t="s">
        <v>28</v>
      </c>
      <c r="U12" s="55" t="s">
        <v>28</v>
      </c>
      <c r="V12" s="55" t="s">
        <v>28</v>
      </c>
      <c r="W12" s="55" t="s">
        <v>28</v>
      </c>
      <c r="X12" s="55" t="s">
        <v>28</v>
      </c>
      <c r="Y12" s="55" t="s">
        <v>28</v>
      </c>
      <c r="Z12" s="55" t="s">
        <v>28</v>
      </c>
      <c r="AA12" s="55" t="s">
        <v>28</v>
      </c>
      <c r="AB12" s="55" t="s">
        <v>28</v>
      </c>
      <c r="AC12" s="55" t="s">
        <v>28</v>
      </c>
      <c r="AD12" s="55" t="s">
        <v>28</v>
      </c>
      <c r="AE12" s="55" t="s">
        <v>28</v>
      </c>
      <c r="AF12" s="55" t="s">
        <v>28</v>
      </c>
      <c r="AG12" s="55">
        <f t="shared" si="0"/>
        <v>29</v>
      </c>
      <c r="AH12" s="55">
        <f t="shared" si="1"/>
        <v>1</v>
      </c>
      <c r="AI12" s="55">
        <f t="shared" si="2"/>
        <v>0</v>
      </c>
      <c r="AJ12" s="55">
        <f t="shared" si="3"/>
        <v>29</v>
      </c>
      <c r="AK12" s="55">
        <v>90000</v>
      </c>
      <c r="AL12" s="55">
        <f t="shared" si="4"/>
        <v>3000</v>
      </c>
      <c r="AM12" s="55">
        <f t="shared" si="5"/>
        <v>87000</v>
      </c>
    </row>
    <row r="13" spans="1:39" x14ac:dyDescent="0.3">
      <c r="A13" s="55">
        <v>9</v>
      </c>
      <c r="B13" s="55" t="s">
        <v>16</v>
      </c>
      <c r="C13" s="55" t="s">
        <v>28</v>
      </c>
      <c r="D13" s="55" t="s">
        <v>28</v>
      </c>
      <c r="E13" s="55" t="s">
        <v>28</v>
      </c>
      <c r="F13" s="55" t="s">
        <v>28</v>
      </c>
      <c r="G13" s="55" t="s">
        <v>28</v>
      </c>
      <c r="H13" s="55" t="s">
        <v>28</v>
      </c>
      <c r="I13" s="55" t="s">
        <v>28</v>
      </c>
      <c r="J13" s="55" t="s">
        <v>28</v>
      </c>
      <c r="K13" s="55" t="s">
        <v>15</v>
      </c>
      <c r="L13" s="55" t="s">
        <v>28</v>
      </c>
      <c r="M13" s="55" t="s">
        <v>15</v>
      </c>
      <c r="N13" s="55" t="s">
        <v>28</v>
      </c>
      <c r="O13" s="55" t="s">
        <v>28</v>
      </c>
      <c r="P13" s="55" t="s">
        <v>28</v>
      </c>
      <c r="Q13" s="55" t="s">
        <v>28</v>
      </c>
      <c r="R13" s="55" t="s">
        <v>28</v>
      </c>
      <c r="S13" s="55" t="s">
        <v>28</v>
      </c>
      <c r="T13" s="55" t="s">
        <v>28</v>
      </c>
      <c r="U13" s="55" t="s">
        <v>28</v>
      </c>
      <c r="V13" s="55" t="s">
        <v>28</v>
      </c>
      <c r="W13" s="55" t="s">
        <v>28</v>
      </c>
      <c r="X13" s="55" t="s">
        <v>8</v>
      </c>
      <c r="Y13" s="55" t="s">
        <v>28</v>
      </c>
      <c r="Z13" s="55" t="s">
        <v>28</v>
      </c>
      <c r="AA13" s="55" t="s">
        <v>28</v>
      </c>
      <c r="AB13" s="55" t="s">
        <v>28</v>
      </c>
      <c r="AC13" s="55" t="s">
        <v>28</v>
      </c>
      <c r="AD13" s="55" t="s">
        <v>28</v>
      </c>
      <c r="AE13" s="55" t="s">
        <v>28</v>
      </c>
      <c r="AF13" s="55" t="s">
        <v>28</v>
      </c>
      <c r="AG13" s="55">
        <f t="shared" si="0"/>
        <v>27</v>
      </c>
      <c r="AH13" s="55">
        <f t="shared" si="1"/>
        <v>1</v>
      </c>
      <c r="AI13" s="55">
        <f t="shared" si="2"/>
        <v>2</v>
      </c>
      <c r="AJ13" s="55">
        <f t="shared" si="3"/>
        <v>28</v>
      </c>
      <c r="AK13" s="55">
        <v>90000</v>
      </c>
      <c r="AL13" s="55">
        <f t="shared" si="4"/>
        <v>3000</v>
      </c>
      <c r="AM13" s="55">
        <f t="shared" si="5"/>
        <v>84000</v>
      </c>
    </row>
    <row r="14" spans="1:39" x14ac:dyDescent="0.3">
      <c r="A14" s="55">
        <v>10</v>
      </c>
      <c r="B14" s="55" t="s">
        <v>17</v>
      </c>
      <c r="C14" s="55" t="s">
        <v>28</v>
      </c>
      <c r="D14" s="55" t="s">
        <v>28</v>
      </c>
      <c r="E14" s="55" t="s">
        <v>28</v>
      </c>
      <c r="F14" s="55" t="s">
        <v>28</v>
      </c>
      <c r="G14" s="55" t="s">
        <v>28</v>
      </c>
      <c r="H14" s="55" t="s">
        <v>28</v>
      </c>
      <c r="I14" s="55" t="s">
        <v>28</v>
      </c>
      <c r="J14" s="55" t="s">
        <v>28</v>
      </c>
      <c r="K14" s="55" t="s">
        <v>28</v>
      </c>
      <c r="L14" s="55" t="s">
        <v>28</v>
      </c>
      <c r="M14" s="55" t="s">
        <v>28</v>
      </c>
      <c r="N14" s="55" t="s">
        <v>28</v>
      </c>
      <c r="O14" s="55" t="s">
        <v>28</v>
      </c>
      <c r="P14" s="55" t="s">
        <v>28</v>
      </c>
      <c r="Q14" s="55" t="s">
        <v>28</v>
      </c>
      <c r="R14" s="55" t="s">
        <v>28</v>
      </c>
      <c r="S14" s="55" t="s">
        <v>28</v>
      </c>
      <c r="T14" s="55" t="s">
        <v>28</v>
      </c>
      <c r="U14" s="55" t="s">
        <v>28</v>
      </c>
      <c r="V14" s="55" t="s">
        <v>28</v>
      </c>
      <c r="W14" s="55" t="s">
        <v>28</v>
      </c>
      <c r="X14" s="55" t="s">
        <v>28</v>
      </c>
      <c r="Y14" s="55" t="s">
        <v>28</v>
      </c>
      <c r="Z14" s="55" t="s">
        <v>28</v>
      </c>
      <c r="AA14" s="55" t="s">
        <v>28</v>
      </c>
      <c r="AB14" s="55" t="s">
        <v>28</v>
      </c>
      <c r="AC14" s="55" t="s">
        <v>28</v>
      </c>
      <c r="AD14" s="55" t="s">
        <v>28</v>
      </c>
      <c r="AE14" s="55" t="s">
        <v>28</v>
      </c>
      <c r="AF14" s="55" t="s">
        <v>28</v>
      </c>
      <c r="AG14" s="55">
        <f t="shared" si="0"/>
        <v>30</v>
      </c>
      <c r="AH14" s="55">
        <f t="shared" si="1"/>
        <v>0</v>
      </c>
      <c r="AI14" s="55">
        <f t="shared" si="2"/>
        <v>0</v>
      </c>
      <c r="AJ14" s="55">
        <f t="shared" si="3"/>
        <v>30</v>
      </c>
      <c r="AK14" s="55">
        <v>90000</v>
      </c>
      <c r="AL14" s="55">
        <f t="shared" si="4"/>
        <v>3000</v>
      </c>
      <c r="AM14" s="55">
        <f t="shared" si="5"/>
        <v>90000</v>
      </c>
    </row>
    <row r="17" spans="6:39" x14ac:dyDescent="0.3">
      <c r="AG17" s="4"/>
      <c r="AH17" s="4"/>
      <c r="AI17" s="4"/>
      <c r="AJ17" s="4"/>
      <c r="AK17" s="4"/>
      <c r="AL17" s="4"/>
      <c r="AM17" s="4"/>
    </row>
    <row r="19" spans="6:39" x14ac:dyDescent="0.3"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1" spans="6:39" x14ac:dyDescent="0.3">
      <c r="R21" s="4"/>
    </row>
  </sheetData>
  <mergeCells count="1">
    <mergeCell ref="A1:AM2"/>
  </mergeCells>
  <conditionalFormatting sqref="AM5:AM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Q12"/>
  <sheetViews>
    <sheetView workbookViewId="0">
      <selection activeCell="K7" sqref="K7"/>
    </sheetView>
  </sheetViews>
  <sheetFormatPr defaultColWidth="8.85546875" defaultRowHeight="15" x14ac:dyDescent="0.25"/>
  <cols>
    <col min="1" max="1" width="8.85546875" style="91"/>
    <col min="2" max="2" width="21.85546875" style="91" bestFit="1" customWidth="1"/>
    <col min="3" max="3" width="12.42578125" style="91" bestFit="1" customWidth="1"/>
    <col min="4" max="4" width="11.42578125" style="91" bestFit="1" customWidth="1"/>
    <col min="5" max="7" width="8.85546875" style="91"/>
    <col min="8" max="8" width="9.7109375" style="91" customWidth="1"/>
    <col min="9" max="9" width="3.7109375" style="107" customWidth="1"/>
    <col min="10" max="10" width="8.85546875" style="91"/>
    <col min="11" max="11" width="21.85546875" style="91" bestFit="1" customWidth="1"/>
    <col min="12" max="12" width="8.7109375" style="91" bestFit="1" customWidth="1"/>
    <col min="13" max="16384" width="8.85546875" style="91"/>
  </cols>
  <sheetData>
    <row r="1" spans="1:17" ht="14.45" customHeight="1" x14ac:dyDescent="0.25">
      <c r="A1" s="140" t="s">
        <v>386</v>
      </c>
      <c r="B1" s="140"/>
      <c r="C1" s="140"/>
      <c r="D1" s="140"/>
      <c r="E1" s="140"/>
      <c r="F1" s="140"/>
      <c r="G1" s="140"/>
      <c r="H1" s="140"/>
      <c r="J1" s="141" t="s">
        <v>333</v>
      </c>
      <c r="K1" s="141"/>
      <c r="L1" s="141"/>
      <c r="M1" s="141"/>
      <c r="N1" s="141"/>
      <c r="O1" s="141"/>
      <c r="P1" s="141"/>
      <c r="Q1" s="141"/>
    </row>
    <row r="2" spans="1:17" x14ac:dyDescent="0.25">
      <c r="A2" s="140"/>
      <c r="B2" s="140"/>
      <c r="C2" s="140"/>
      <c r="D2" s="140"/>
      <c r="E2" s="140"/>
      <c r="F2" s="140"/>
      <c r="G2" s="140"/>
      <c r="H2" s="140"/>
      <c r="J2" s="141"/>
      <c r="K2" s="141"/>
      <c r="L2" s="141"/>
      <c r="M2" s="141"/>
      <c r="N2" s="141"/>
      <c r="O2" s="141"/>
      <c r="P2" s="141"/>
      <c r="Q2" s="141"/>
    </row>
    <row r="3" spans="1:17" ht="75" x14ac:dyDescent="0.25">
      <c r="A3" s="102" t="s">
        <v>105</v>
      </c>
      <c r="B3" s="103" t="s">
        <v>340</v>
      </c>
      <c r="C3" s="102" t="s">
        <v>387</v>
      </c>
      <c r="D3" s="102" t="s">
        <v>388</v>
      </c>
      <c r="E3" s="102" t="s">
        <v>389</v>
      </c>
      <c r="F3" s="102" t="s">
        <v>390</v>
      </c>
      <c r="G3" s="102" t="s">
        <v>391</v>
      </c>
      <c r="H3" s="102" t="s">
        <v>392</v>
      </c>
      <c r="J3" s="102" t="s">
        <v>105</v>
      </c>
      <c r="K3" s="103" t="s">
        <v>340</v>
      </c>
      <c r="L3" s="102" t="s">
        <v>387</v>
      </c>
      <c r="M3" s="102" t="s">
        <v>388</v>
      </c>
      <c r="N3" s="102" t="s">
        <v>389</v>
      </c>
      <c r="O3" s="102" t="s">
        <v>390</v>
      </c>
      <c r="P3" s="102" t="s">
        <v>391</v>
      </c>
      <c r="Q3" s="102" t="s">
        <v>392</v>
      </c>
    </row>
    <row r="4" spans="1:17" x14ac:dyDescent="0.25">
      <c r="A4" s="104">
        <v>1</v>
      </c>
      <c r="B4" s="104" t="s">
        <v>393</v>
      </c>
      <c r="C4" s="104">
        <v>88000</v>
      </c>
      <c r="D4" s="104">
        <v>22000</v>
      </c>
      <c r="E4" s="104">
        <f>C4+D4</f>
        <v>110000</v>
      </c>
      <c r="F4" s="104">
        <v>10</v>
      </c>
      <c r="G4" s="104">
        <f>E4*10%</f>
        <v>11000</v>
      </c>
      <c r="H4" s="104">
        <f>E4-G4</f>
        <v>99000</v>
      </c>
      <c r="J4" s="104">
        <v>1</v>
      </c>
      <c r="K4" s="104" t="s">
        <v>393</v>
      </c>
      <c r="L4" s="104">
        <v>88000</v>
      </c>
      <c r="M4" s="104">
        <v>22000</v>
      </c>
      <c r="N4" s="104">
        <f>SUM(L4:M4)</f>
        <v>110000</v>
      </c>
      <c r="O4" s="104">
        <v>10</v>
      </c>
      <c r="P4" s="104">
        <f>N4*O4%</f>
        <v>11000</v>
      </c>
      <c r="Q4" s="104">
        <f>N4-P4</f>
        <v>99000</v>
      </c>
    </row>
    <row r="5" spans="1:17" x14ac:dyDescent="0.25">
      <c r="A5" s="104">
        <v>2</v>
      </c>
      <c r="B5" s="104" t="s">
        <v>394</v>
      </c>
      <c r="C5" s="104">
        <v>45000</v>
      </c>
      <c r="D5" s="104"/>
      <c r="E5" s="104">
        <f t="shared" ref="E5:E9" si="0">C5+D5</f>
        <v>45000</v>
      </c>
      <c r="F5" s="104">
        <v>15</v>
      </c>
      <c r="G5" s="104">
        <f>E5*15%</f>
        <v>6750</v>
      </c>
      <c r="H5" s="104">
        <f t="shared" ref="H5:H9" si="1">E5-G5</f>
        <v>38250</v>
      </c>
      <c r="J5" s="104">
        <v>2</v>
      </c>
      <c r="K5" s="104" t="s">
        <v>394</v>
      </c>
      <c r="L5" s="104">
        <v>45000</v>
      </c>
      <c r="M5" s="104"/>
      <c r="N5" s="104">
        <f t="shared" ref="N5:N9" si="2">SUM(L5:M5)</f>
        <v>45000</v>
      </c>
      <c r="O5" s="104">
        <v>15</v>
      </c>
      <c r="P5" s="104">
        <f>N5*O5%</f>
        <v>6750</v>
      </c>
      <c r="Q5" s="104">
        <f t="shared" ref="Q5:Q9" si="3">N5-P5</f>
        <v>38250</v>
      </c>
    </row>
    <row r="6" spans="1:17" x14ac:dyDescent="0.25">
      <c r="A6" s="104">
        <v>3</v>
      </c>
      <c r="B6" s="104" t="s">
        <v>395</v>
      </c>
      <c r="C6" s="104">
        <v>45000</v>
      </c>
      <c r="D6" s="104">
        <v>10000</v>
      </c>
      <c r="E6" s="104">
        <f t="shared" si="0"/>
        <v>55000</v>
      </c>
      <c r="F6" s="104">
        <v>15</v>
      </c>
      <c r="G6" s="104">
        <f t="shared" ref="G6:G7" si="4">E6*15%</f>
        <v>8250</v>
      </c>
      <c r="H6" s="104">
        <f t="shared" si="1"/>
        <v>46750</v>
      </c>
      <c r="J6" s="104">
        <v>3</v>
      </c>
      <c r="K6" s="104" t="s">
        <v>395</v>
      </c>
      <c r="L6" s="104">
        <v>45000</v>
      </c>
      <c r="M6" s="104">
        <v>10000</v>
      </c>
      <c r="N6" s="104">
        <f t="shared" si="2"/>
        <v>55000</v>
      </c>
      <c r="O6" s="104">
        <v>15</v>
      </c>
      <c r="P6" s="104">
        <f t="shared" ref="P6:P7" si="5">N6*O6%</f>
        <v>8250</v>
      </c>
      <c r="Q6" s="104">
        <f t="shared" si="3"/>
        <v>46750</v>
      </c>
    </row>
    <row r="7" spans="1:17" x14ac:dyDescent="0.25">
      <c r="A7" s="104">
        <v>4</v>
      </c>
      <c r="B7" s="104" t="s">
        <v>396</v>
      </c>
      <c r="C7" s="104">
        <v>345000</v>
      </c>
      <c r="D7" s="104"/>
      <c r="E7" s="104">
        <f t="shared" si="0"/>
        <v>345000</v>
      </c>
      <c r="F7" s="104">
        <v>15</v>
      </c>
      <c r="G7" s="104">
        <f t="shared" si="4"/>
        <v>51750</v>
      </c>
      <c r="H7" s="104">
        <f t="shared" si="1"/>
        <v>293250</v>
      </c>
      <c r="J7" s="104">
        <v>4</v>
      </c>
      <c r="K7" s="104" t="s">
        <v>396</v>
      </c>
      <c r="L7" s="104">
        <v>345000</v>
      </c>
      <c r="M7" s="104"/>
      <c r="N7" s="104">
        <f t="shared" si="2"/>
        <v>345000</v>
      </c>
      <c r="O7" s="104">
        <v>15</v>
      </c>
      <c r="P7" s="104">
        <f t="shared" si="5"/>
        <v>51750</v>
      </c>
      <c r="Q7" s="104">
        <f t="shared" si="3"/>
        <v>293250</v>
      </c>
    </row>
    <row r="8" spans="1:17" x14ac:dyDescent="0.25">
      <c r="A8" s="104">
        <v>5</v>
      </c>
      <c r="B8" s="104" t="s">
        <v>397</v>
      </c>
      <c r="C8" s="104">
        <v>650000</v>
      </c>
      <c r="D8" s="104"/>
      <c r="E8" s="104">
        <f t="shared" si="0"/>
        <v>650000</v>
      </c>
      <c r="F8" s="104">
        <v>40</v>
      </c>
      <c r="G8" s="104">
        <f>E8*40%</f>
        <v>260000</v>
      </c>
      <c r="H8" s="104">
        <f t="shared" si="1"/>
        <v>390000</v>
      </c>
      <c r="J8" s="104">
        <v>5</v>
      </c>
      <c r="K8" s="104" t="s">
        <v>397</v>
      </c>
      <c r="L8" s="104">
        <v>650000</v>
      </c>
      <c r="M8" s="104"/>
      <c r="N8" s="104">
        <f t="shared" si="2"/>
        <v>650000</v>
      </c>
      <c r="O8" s="104">
        <v>40</v>
      </c>
      <c r="P8" s="104">
        <f>N8*O8%</f>
        <v>260000</v>
      </c>
      <c r="Q8" s="104">
        <f t="shared" si="3"/>
        <v>390000</v>
      </c>
    </row>
    <row r="9" spans="1:17" x14ac:dyDescent="0.25">
      <c r="A9" s="104">
        <v>6</v>
      </c>
      <c r="B9" s="104" t="s">
        <v>398</v>
      </c>
      <c r="C9" s="104">
        <v>1000000</v>
      </c>
      <c r="D9" s="104"/>
      <c r="E9" s="104">
        <f t="shared" si="0"/>
        <v>1000000</v>
      </c>
      <c r="F9" s="104"/>
      <c r="G9" s="104"/>
      <c r="H9" s="104">
        <f t="shared" si="1"/>
        <v>1000000</v>
      </c>
      <c r="J9" s="104">
        <v>6</v>
      </c>
      <c r="K9" s="104" t="s">
        <v>398</v>
      </c>
      <c r="L9" s="104">
        <v>1000000</v>
      </c>
      <c r="M9" s="104"/>
      <c r="N9" s="104">
        <f t="shared" si="2"/>
        <v>1000000</v>
      </c>
      <c r="O9" s="104"/>
      <c r="P9" s="104"/>
      <c r="Q9" s="104">
        <f t="shared" si="3"/>
        <v>1000000</v>
      </c>
    </row>
    <row r="10" spans="1:17" x14ac:dyDescent="0.25">
      <c r="A10" s="104"/>
      <c r="B10" s="104"/>
      <c r="C10" s="104"/>
      <c r="D10" s="104"/>
      <c r="E10" s="104"/>
      <c r="F10" s="104"/>
      <c r="G10" s="104"/>
      <c r="H10" s="104"/>
      <c r="J10" s="104"/>
      <c r="K10" s="104"/>
      <c r="L10" s="104"/>
      <c r="M10" s="104"/>
      <c r="N10" s="104"/>
      <c r="O10" s="104"/>
      <c r="P10" s="104"/>
      <c r="Q10" s="104"/>
    </row>
    <row r="11" spans="1:17" s="86" customFormat="1" x14ac:dyDescent="0.25">
      <c r="A11" s="103"/>
      <c r="B11" s="103" t="s">
        <v>247</v>
      </c>
      <c r="C11" s="103">
        <f>SUM(C4:C10)</f>
        <v>2173000</v>
      </c>
      <c r="D11" s="103">
        <f t="shared" ref="D11:H11" si="6">SUM(D4:D10)</f>
        <v>32000</v>
      </c>
      <c r="E11" s="103">
        <f t="shared" si="6"/>
        <v>2205000</v>
      </c>
      <c r="F11" s="103"/>
      <c r="G11" s="103">
        <f t="shared" si="6"/>
        <v>337750</v>
      </c>
      <c r="H11" s="103">
        <f t="shared" si="6"/>
        <v>1867250</v>
      </c>
      <c r="I11" s="108"/>
      <c r="J11" s="103"/>
      <c r="K11" s="103" t="s">
        <v>247</v>
      </c>
      <c r="L11" s="103">
        <f>SUM(L4:L9)</f>
        <v>2173000</v>
      </c>
      <c r="M11" s="103">
        <f t="shared" ref="M11:Q11" si="7">SUM(M4:M9)</f>
        <v>32000</v>
      </c>
      <c r="N11" s="103">
        <f t="shared" si="7"/>
        <v>2205000</v>
      </c>
      <c r="O11" s="103">
        <f t="shared" si="7"/>
        <v>95</v>
      </c>
      <c r="P11" s="103">
        <f t="shared" si="7"/>
        <v>337750</v>
      </c>
      <c r="Q11" s="103">
        <f t="shared" si="7"/>
        <v>1867250</v>
      </c>
    </row>
    <row r="12" spans="1:17" x14ac:dyDescent="0.25">
      <c r="A12" s="104"/>
      <c r="B12" s="104"/>
      <c r="C12" s="104"/>
      <c r="D12" s="104"/>
      <c r="E12" s="104"/>
      <c r="F12" s="104"/>
      <c r="G12" s="104"/>
      <c r="H12" s="104"/>
      <c r="J12" s="104"/>
      <c r="K12" s="104"/>
      <c r="L12" s="104"/>
      <c r="M12" s="104"/>
      <c r="N12" s="104"/>
      <c r="O12" s="104"/>
      <c r="P12" s="104"/>
      <c r="Q12" s="104"/>
    </row>
  </sheetData>
  <mergeCells count="2">
    <mergeCell ref="A1:H2"/>
    <mergeCell ref="J1:Q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8"/>
  <sheetViews>
    <sheetView zoomScale="107" zoomScaleNormal="107" workbookViewId="0">
      <selection activeCell="F6" sqref="F6"/>
    </sheetView>
  </sheetViews>
  <sheetFormatPr defaultColWidth="8.85546875" defaultRowHeight="18.75" x14ac:dyDescent="0.25"/>
  <cols>
    <col min="1" max="2" width="8.85546875" style="12"/>
    <col min="3" max="3" width="13.5703125" style="12" bestFit="1" customWidth="1"/>
    <col min="4" max="4" width="15.5703125" style="12" bestFit="1" customWidth="1"/>
    <col min="5" max="5" width="7.7109375" style="12" customWidth="1"/>
    <col min="6" max="7" width="8.85546875" style="12"/>
    <col min="8" max="8" width="10" style="12" bestFit="1" customWidth="1"/>
    <col min="9" max="9" width="16.5703125" style="12" bestFit="1" customWidth="1"/>
    <col min="10" max="10" width="9.28515625" style="12" customWidth="1"/>
    <col min="11" max="13" width="8.85546875" style="12"/>
    <col min="14" max="14" width="22.5703125" style="12" bestFit="1" customWidth="1"/>
    <col min="15" max="15" width="13.5703125" style="12" bestFit="1" customWidth="1"/>
    <col min="16" max="16" width="8.85546875" style="12"/>
    <col min="17" max="17" width="7.7109375" style="12" bestFit="1" customWidth="1"/>
    <col min="18" max="18" width="14" style="12" bestFit="1" customWidth="1"/>
    <col min="19" max="19" width="15" style="12" bestFit="1" customWidth="1"/>
    <col min="20" max="20" width="17.7109375" style="12" bestFit="1" customWidth="1"/>
    <col min="21" max="21" width="8.85546875" style="12"/>
    <col min="22" max="22" width="7.7109375" style="12" bestFit="1" customWidth="1"/>
    <col min="23" max="23" width="14" style="12" bestFit="1" customWidth="1"/>
    <col min="24" max="24" width="15" style="12" bestFit="1" customWidth="1"/>
    <col min="25" max="25" width="17.7109375" style="12" bestFit="1" customWidth="1"/>
    <col min="26" max="16384" width="8.85546875" style="12"/>
  </cols>
  <sheetData>
    <row r="1" spans="1:25" x14ac:dyDescent="0.3">
      <c r="A1" s="123" t="s">
        <v>70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Q1" s="1"/>
      <c r="R1" s="1"/>
      <c r="S1" s="1"/>
      <c r="T1" s="1"/>
      <c r="U1" s="1"/>
      <c r="V1" s="1"/>
      <c r="W1" s="1"/>
      <c r="X1" s="1"/>
      <c r="Y1" s="1"/>
    </row>
    <row r="2" spans="1:25" x14ac:dyDescent="0.3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Q2" s="1"/>
      <c r="R2" s="1"/>
      <c r="S2" s="1"/>
      <c r="T2" s="1"/>
      <c r="U2" s="1"/>
      <c r="V2" s="1"/>
      <c r="W2" s="1"/>
      <c r="X2" s="1"/>
      <c r="Y2" s="1"/>
    </row>
    <row r="3" spans="1:25" x14ac:dyDescent="0.3">
      <c r="Q3" s="1"/>
      <c r="R3" s="1"/>
      <c r="S3" s="1"/>
      <c r="T3" s="1"/>
      <c r="U3" s="1"/>
      <c r="V3" s="1"/>
      <c r="W3" s="1"/>
      <c r="X3" s="1"/>
      <c r="Y3" s="1"/>
    </row>
    <row r="4" spans="1:25" x14ac:dyDescent="0.3">
      <c r="D4" s="124" t="s">
        <v>102</v>
      </c>
      <c r="E4" s="124"/>
      <c r="F4" s="124"/>
      <c r="G4" s="124"/>
      <c r="H4" s="124"/>
      <c r="J4" s="122" t="s">
        <v>63</v>
      </c>
      <c r="K4" s="122"/>
      <c r="L4" s="122"/>
      <c r="Q4" s="1"/>
      <c r="R4" s="1"/>
      <c r="S4" s="1"/>
      <c r="T4" s="1"/>
      <c r="U4" s="1"/>
      <c r="V4" s="1"/>
      <c r="W4" s="1"/>
      <c r="X4" s="1"/>
      <c r="Y4" s="1"/>
    </row>
    <row r="5" spans="1:25" x14ac:dyDescent="0.3">
      <c r="B5" s="57" t="s">
        <v>68</v>
      </c>
      <c r="C5" s="57" t="s">
        <v>67</v>
      </c>
      <c r="D5" s="57" t="s">
        <v>54</v>
      </c>
      <c r="E5" s="57" t="s">
        <v>55</v>
      </c>
      <c r="F5" s="57" t="s">
        <v>56</v>
      </c>
      <c r="G5" s="57" t="s">
        <v>57</v>
      </c>
      <c r="H5" s="57" t="s">
        <v>58</v>
      </c>
      <c r="I5" s="57" t="s">
        <v>59</v>
      </c>
      <c r="J5" s="57" t="s">
        <v>60</v>
      </c>
      <c r="K5" s="57" t="s">
        <v>61</v>
      </c>
      <c r="L5" s="57" t="s">
        <v>62</v>
      </c>
      <c r="M5" s="57" t="s">
        <v>65</v>
      </c>
      <c r="N5" s="57" t="s">
        <v>64</v>
      </c>
      <c r="O5" s="57" t="s">
        <v>66</v>
      </c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62">
        <v>1</v>
      </c>
      <c r="C6" s="62" t="s">
        <v>8</v>
      </c>
      <c r="D6" s="62">
        <v>25000</v>
      </c>
      <c r="E6" s="62">
        <f>D6*20%</f>
        <v>5000</v>
      </c>
      <c r="F6" s="62">
        <f>D6*2%</f>
        <v>500</v>
      </c>
      <c r="G6" s="62">
        <f>D6*1.5%</f>
        <v>375</v>
      </c>
      <c r="H6" s="62">
        <f>D6*2.5%</f>
        <v>625</v>
      </c>
      <c r="I6" s="62">
        <f>SUM(D6:H6)</f>
        <v>31500</v>
      </c>
      <c r="J6" s="62">
        <f>D6*12%</f>
        <v>3000</v>
      </c>
      <c r="K6" s="62">
        <f>D6*1%</f>
        <v>250</v>
      </c>
      <c r="L6" s="62">
        <f>I6*2.7%</f>
        <v>850.50000000000011</v>
      </c>
      <c r="M6" s="62">
        <f>D6*1.5%</f>
        <v>375</v>
      </c>
      <c r="N6" s="62">
        <f>SUM(J6:M6)</f>
        <v>4475.5</v>
      </c>
      <c r="O6" s="62">
        <f>I6-N6</f>
        <v>27024.5</v>
      </c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62">
        <v>2</v>
      </c>
      <c r="C7" s="62" t="s">
        <v>9</v>
      </c>
      <c r="D7" s="62">
        <v>35000</v>
      </c>
      <c r="E7" s="62">
        <f>D7*20%</f>
        <v>7000</v>
      </c>
      <c r="F7" s="62">
        <f>D7*2%</f>
        <v>700</v>
      </c>
      <c r="G7" s="62">
        <f>D7*1.5%</f>
        <v>525</v>
      </c>
      <c r="H7" s="62">
        <f>D7*2.5%</f>
        <v>875</v>
      </c>
      <c r="I7" s="62">
        <f>SUM(D7:H7)</f>
        <v>44100</v>
      </c>
      <c r="J7" s="62">
        <f>D7*12%</f>
        <v>4200</v>
      </c>
      <c r="K7" s="62">
        <f>D7*1%</f>
        <v>350</v>
      </c>
      <c r="L7" s="62">
        <f>I7*2.7%</f>
        <v>1190.7</v>
      </c>
      <c r="M7" s="62">
        <f>D7*1.5%</f>
        <v>525</v>
      </c>
      <c r="N7" s="62">
        <f>SUM(J7:M7)</f>
        <v>6265.7</v>
      </c>
      <c r="O7" s="62">
        <f>I7-N7</f>
        <v>37834.300000000003</v>
      </c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62">
        <v>3</v>
      </c>
      <c r="C8" s="62" t="s">
        <v>10</v>
      </c>
      <c r="D8" s="62">
        <v>28000</v>
      </c>
      <c r="E8" s="62">
        <f t="shared" ref="E8:E15" si="0">D8*20%</f>
        <v>5600</v>
      </c>
      <c r="F8" s="62">
        <f t="shared" ref="F8:F15" si="1">D8*2%</f>
        <v>560</v>
      </c>
      <c r="G8" s="62">
        <f t="shared" ref="G8:G15" si="2">D8*1.5%</f>
        <v>420</v>
      </c>
      <c r="H8" s="62">
        <f t="shared" ref="H8:H15" si="3">D8*2.5%</f>
        <v>700</v>
      </c>
      <c r="I8" s="62">
        <f t="shared" ref="I8:I15" si="4">SUM(D8:H8)</f>
        <v>35280</v>
      </c>
      <c r="J8" s="62">
        <f t="shared" ref="J8:J15" si="5">D8*12%</f>
        <v>3360</v>
      </c>
      <c r="K8" s="62">
        <f t="shared" ref="K8:K15" si="6">D8*1%</f>
        <v>280</v>
      </c>
      <c r="L8" s="62">
        <f t="shared" ref="L8:L15" si="7">I8*2.7%</f>
        <v>952.56000000000006</v>
      </c>
      <c r="M8" s="62">
        <f t="shared" ref="M8:M15" si="8">D8*1.5%</f>
        <v>420</v>
      </c>
      <c r="N8" s="62">
        <f t="shared" ref="N8:N15" si="9">SUM(J8:M8)</f>
        <v>5012.5600000000004</v>
      </c>
      <c r="O8" s="62">
        <f t="shared" ref="O8:O15" si="10">I8-N8</f>
        <v>30267.439999999999</v>
      </c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62">
        <v>4</v>
      </c>
      <c r="C9" s="62" t="s">
        <v>11</v>
      </c>
      <c r="D9" s="62">
        <v>15000</v>
      </c>
      <c r="E9" s="62">
        <f t="shared" si="0"/>
        <v>3000</v>
      </c>
      <c r="F9" s="62">
        <f t="shared" si="1"/>
        <v>300</v>
      </c>
      <c r="G9" s="62">
        <f t="shared" si="2"/>
        <v>225</v>
      </c>
      <c r="H9" s="62">
        <f t="shared" si="3"/>
        <v>375</v>
      </c>
      <c r="I9" s="62">
        <f t="shared" si="4"/>
        <v>18900</v>
      </c>
      <c r="J9" s="62">
        <f t="shared" si="5"/>
        <v>1800</v>
      </c>
      <c r="K9" s="62">
        <f t="shared" si="6"/>
        <v>150</v>
      </c>
      <c r="L9" s="62">
        <f t="shared" si="7"/>
        <v>510.30000000000007</v>
      </c>
      <c r="M9" s="62">
        <f t="shared" si="8"/>
        <v>225</v>
      </c>
      <c r="N9" s="62">
        <f t="shared" si="9"/>
        <v>2685.3</v>
      </c>
      <c r="O9" s="62">
        <f t="shared" si="10"/>
        <v>16214.7</v>
      </c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62">
        <v>5</v>
      </c>
      <c r="C10" s="62" t="s">
        <v>12</v>
      </c>
      <c r="D10" s="62">
        <v>36000</v>
      </c>
      <c r="E10" s="62">
        <f t="shared" si="0"/>
        <v>7200</v>
      </c>
      <c r="F10" s="62">
        <f t="shared" si="1"/>
        <v>720</v>
      </c>
      <c r="G10" s="62">
        <f t="shared" si="2"/>
        <v>540</v>
      </c>
      <c r="H10" s="62">
        <f t="shared" si="3"/>
        <v>900</v>
      </c>
      <c r="I10" s="62">
        <f t="shared" si="4"/>
        <v>45360</v>
      </c>
      <c r="J10" s="62">
        <f t="shared" si="5"/>
        <v>4320</v>
      </c>
      <c r="K10" s="62">
        <f t="shared" si="6"/>
        <v>360</v>
      </c>
      <c r="L10" s="62">
        <f t="shared" si="7"/>
        <v>1224.7200000000003</v>
      </c>
      <c r="M10" s="62">
        <f t="shared" si="8"/>
        <v>540</v>
      </c>
      <c r="N10" s="62">
        <f t="shared" si="9"/>
        <v>6444.72</v>
      </c>
      <c r="O10" s="62">
        <f t="shared" si="10"/>
        <v>38915.279999999999</v>
      </c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62">
        <v>6</v>
      </c>
      <c r="C11" s="62" t="s">
        <v>13</v>
      </c>
      <c r="D11" s="62">
        <v>58000</v>
      </c>
      <c r="E11" s="62">
        <f t="shared" si="0"/>
        <v>11600</v>
      </c>
      <c r="F11" s="62">
        <f t="shared" si="1"/>
        <v>1160</v>
      </c>
      <c r="G11" s="62">
        <f t="shared" si="2"/>
        <v>870</v>
      </c>
      <c r="H11" s="62">
        <f t="shared" si="3"/>
        <v>1450</v>
      </c>
      <c r="I11" s="62">
        <f t="shared" si="4"/>
        <v>73080</v>
      </c>
      <c r="J11" s="62">
        <f t="shared" si="5"/>
        <v>6960</v>
      </c>
      <c r="K11" s="62">
        <f t="shared" si="6"/>
        <v>580</v>
      </c>
      <c r="L11" s="62">
        <f t="shared" si="7"/>
        <v>1973.1600000000003</v>
      </c>
      <c r="M11" s="62">
        <f t="shared" si="8"/>
        <v>870</v>
      </c>
      <c r="N11" s="62">
        <f t="shared" si="9"/>
        <v>10383.16</v>
      </c>
      <c r="O11" s="62">
        <f t="shared" si="10"/>
        <v>62696.84</v>
      </c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62">
        <v>7</v>
      </c>
      <c r="C12" s="62" t="s">
        <v>14</v>
      </c>
      <c r="D12" s="62">
        <v>24000</v>
      </c>
      <c r="E12" s="62">
        <f t="shared" si="0"/>
        <v>4800</v>
      </c>
      <c r="F12" s="62">
        <f t="shared" si="1"/>
        <v>480</v>
      </c>
      <c r="G12" s="62">
        <f t="shared" si="2"/>
        <v>360</v>
      </c>
      <c r="H12" s="62">
        <f t="shared" si="3"/>
        <v>600</v>
      </c>
      <c r="I12" s="62">
        <f t="shared" si="4"/>
        <v>30240</v>
      </c>
      <c r="J12" s="62">
        <f t="shared" si="5"/>
        <v>2880</v>
      </c>
      <c r="K12" s="62">
        <f t="shared" si="6"/>
        <v>240</v>
      </c>
      <c r="L12" s="62">
        <f t="shared" si="7"/>
        <v>816.48000000000013</v>
      </c>
      <c r="M12" s="62">
        <f t="shared" si="8"/>
        <v>360</v>
      </c>
      <c r="N12" s="62">
        <f t="shared" si="9"/>
        <v>4296.4799999999996</v>
      </c>
      <c r="O12" s="62">
        <f t="shared" si="10"/>
        <v>25943.52</v>
      </c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62">
        <v>8</v>
      </c>
      <c r="C13" s="62" t="s">
        <v>15</v>
      </c>
      <c r="D13" s="62">
        <v>45000</v>
      </c>
      <c r="E13" s="62">
        <f t="shared" si="0"/>
        <v>9000</v>
      </c>
      <c r="F13" s="62">
        <f t="shared" si="1"/>
        <v>900</v>
      </c>
      <c r="G13" s="62">
        <f t="shared" si="2"/>
        <v>675</v>
      </c>
      <c r="H13" s="62">
        <f t="shared" si="3"/>
        <v>1125</v>
      </c>
      <c r="I13" s="62">
        <f t="shared" si="4"/>
        <v>56700</v>
      </c>
      <c r="J13" s="62">
        <f t="shared" si="5"/>
        <v>5400</v>
      </c>
      <c r="K13" s="62">
        <f t="shared" si="6"/>
        <v>450</v>
      </c>
      <c r="L13" s="62">
        <f t="shared" si="7"/>
        <v>1530.9</v>
      </c>
      <c r="M13" s="62">
        <f t="shared" si="8"/>
        <v>675</v>
      </c>
      <c r="N13" s="62">
        <f t="shared" si="9"/>
        <v>8055.9</v>
      </c>
      <c r="O13" s="62">
        <f t="shared" si="10"/>
        <v>48644.1</v>
      </c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62">
        <v>9</v>
      </c>
      <c r="C14" s="62" t="s">
        <v>16</v>
      </c>
      <c r="D14" s="62">
        <v>50000</v>
      </c>
      <c r="E14" s="62">
        <f t="shared" si="0"/>
        <v>10000</v>
      </c>
      <c r="F14" s="62">
        <f t="shared" si="1"/>
        <v>1000</v>
      </c>
      <c r="G14" s="62">
        <f t="shared" si="2"/>
        <v>750</v>
      </c>
      <c r="H14" s="62">
        <f t="shared" si="3"/>
        <v>1250</v>
      </c>
      <c r="I14" s="62">
        <f t="shared" si="4"/>
        <v>63000</v>
      </c>
      <c r="J14" s="62">
        <f t="shared" si="5"/>
        <v>6000</v>
      </c>
      <c r="K14" s="62">
        <f t="shared" si="6"/>
        <v>500</v>
      </c>
      <c r="L14" s="62">
        <f t="shared" si="7"/>
        <v>1701.0000000000002</v>
      </c>
      <c r="M14" s="62">
        <f t="shared" si="8"/>
        <v>750</v>
      </c>
      <c r="N14" s="62">
        <f t="shared" si="9"/>
        <v>8951</v>
      </c>
      <c r="O14" s="62">
        <f t="shared" si="10"/>
        <v>54049</v>
      </c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62">
        <v>10</v>
      </c>
      <c r="C15" s="62" t="s">
        <v>69</v>
      </c>
      <c r="D15" s="62">
        <v>65000</v>
      </c>
      <c r="E15" s="62">
        <f t="shared" si="0"/>
        <v>13000</v>
      </c>
      <c r="F15" s="62">
        <f t="shared" si="1"/>
        <v>1300</v>
      </c>
      <c r="G15" s="62">
        <f t="shared" si="2"/>
        <v>975</v>
      </c>
      <c r="H15" s="62">
        <f t="shared" si="3"/>
        <v>1625</v>
      </c>
      <c r="I15" s="62">
        <f t="shared" si="4"/>
        <v>81900</v>
      </c>
      <c r="J15" s="62">
        <f t="shared" si="5"/>
        <v>7800</v>
      </c>
      <c r="K15" s="62">
        <f t="shared" si="6"/>
        <v>650</v>
      </c>
      <c r="L15" s="62">
        <f t="shared" si="7"/>
        <v>2211.3000000000002</v>
      </c>
      <c r="M15" s="62">
        <f t="shared" si="8"/>
        <v>975</v>
      </c>
      <c r="N15" s="62">
        <f t="shared" si="9"/>
        <v>11636.3</v>
      </c>
      <c r="O15" s="62">
        <f t="shared" si="10"/>
        <v>70263.7</v>
      </c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Q16" s="4"/>
      <c r="R16" s="4"/>
      <c r="S16" s="4"/>
    </row>
    <row r="17" spans="17:19" x14ac:dyDescent="0.3">
      <c r="Q17" s="4"/>
      <c r="R17" s="4"/>
      <c r="S17" s="4"/>
    </row>
    <row r="18" spans="17:19" x14ac:dyDescent="0.3">
      <c r="Q18" s="4"/>
      <c r="R18" s="4"/>
      <c r="S18" s="4"/>
    </row>
  </sheetData>
  <mergeCells count="3">
    <mergeCell ref="J4:L4"/>
    <mergeCell ref="A1:O2"/>
    <mergeCell ref="D4:H4"/>
  </mergeCells>
  <conditionalFormatting sqref="O6:O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F13"/>
  <sheetViews>
    <sheetView workbookViewId="0">
      <selection activeCell="B6" sqref="B6"/>
    </sheetView>
  </sheetViews>
  <sheetFormatPr defaultColWidth="8.85546875" defaultRowHeight="18.75" x14ac:dyDescent="0.3"/>
  <cols>
    <col min="1" max="1" width="19" style="4" bestFit="1" customWidth="1"/>
    <col min="2" max="2" width="20.140625" style="4" bestFit="1" customWidth="1"/>
    <col min="3" max="3" width="17.28515625" style="4" bestFit="1" customWidth="1"/>
    <col min="4" max="4" width="17.5703125" style="4" bestFit="1" customWidth="1"/>
    <col min="5" max="5" width="13.28515625" style="4" bestFit="1" customWidth="1"/>
    <col min="6" max="6" width="20" style="4" bestFit="1" customWidth="1"/>
    <col min="7" max="16384" width="8.85546875" style="4"/>
  </cols>
  <sheetData>
    <row r="2" spans="1:6" x14ac:dyDescent="0.3">
      <c r="A2" s="58" t="s">
        <v>51</v>
      </c>
      <c r="B2" s="58" t="s">
        <v>48</v>
      </c>
      <c r="C2" s="58" t="s">
        <v>49</v>
      </c>
      <c r="D2" s="58" t="s">
        <v>50</v>
      </c>
      <c r="E2" s="58" t="s">
        <v>52</v>
      </c>
      <c r="F2" s="58" t="s">
        <v>53</v>
      </c>
    </row>
    <row r="3" spans="1:6" x14ac:dyDescent="0.3">
      <c r="A3" s="55" t="s">
        <v>37</v>
      </c>
      <c r="B3" s="55" t="str">
        <f>UPPER(A3)</f>
        <v>TUSHAR</v>
      </c>
      <c r="C3" s="55" t="str">
        <f>LOWER(A3)</f>
        <v>tushar</v>
      </c>
      <c r="D3" s="55" t="str">
        <f>PROPER(A3)</f>
        <v>Tushar</v>
      </c>
      <c r="E3" s="73">
        <f ca="1">TODAY()</f>
        <v>44693</v>
      </c>
      <c r="F3" s="74">
        <f ca="1">NOW()</f>
        <v>44693.514648495373</v>
      </c>
    </row>
    <row r="4" spans="1:6" x14ac:dyDescent="0.3">
      <c r="A4" s="55" t="s">
        <v>38</v>
      </c>
      <c r="B4" s="55" t="str">
        <f t="shared" ref="B4:B13" si="0">UPPER(A4)</f>
        <v>KOKARE</v>
      </c>
      <c r="C4" s="55" t="str">
        <f t="shared" ref="C4:C13" si="1">LOWER(A4)</f>
        <v>kokare</v>
      </c>
      <c r="D4" s="55" t="str">
        <f t="shared" ref="D4:D13" si="2">PROPER(A4)</f>
        <v>Kokare</v>
      </c>
      <c r="E4" s="73">
        <f t="shared" ref="E4:E13" ca="1" si="3">TODAY()</f>
        <v>44693</v>
      </c>
      <c r="F4" s="74">
        <f t="shared" ref="F4:F13" ca="1" si="4">NOW()</f>
        <v>44693.514648495373</v>
      </c>
    </row>
    <row r="5" spans="1:6" x14ac:dyDescent="0.3">
      <c r="A5" s="55" t="s">
        <v>39</v>
      </c>
      <c r="B5" s="55" t="str">
        <f t="shared" si="0"/>
        <v>COMPUTER</v>
      </c>
      <c r="C5" s="55" t="str">
        <f t="shared" si="1"/>
        <v>computer</v>
      </c>
      <c r="D5" s="55" t="str">
        <f t="shared" si="2"/>
        <v>Computer</v>
      </c>
      <c r="E5" s="73">
        <f t="shared" ca="1" si="3"/>
        <v>44693</v>
      </c>
      <c r="F5" s="74">
        <f t="shared" ca="1" si="4"/>
        <v>44693.514648495373</v>
      </c>
    </row>
    <row r="6" spans="1:6" x14ac:dyDescent="0.3">
      <c r="A6" s="55" t="s">
        <v>40</v>
      </c>
      <c r="B6" s="55" t="str">
        <f t="shared" si="0"/>
        <v>SOUND</v>
      </c>
      <c r="C6" s="55" t="str">
        <f t="shared" si="1"/>
        <v>sound</v>
      </c>
      <c r="D6" s="55" t="str">
        <f t="shared" si="2"/>
        <v>Sound</v>
      </c>
      <c r="E6" s="73">
        <f t="shared" ca="1" si="3"/>
        <v>44693</v>
      </c>
      <c r="F6" s="74">
        <f t="shared" ca="1" si="4"/>
        <v>44693.514648495373</v>
      </c>
    </row>
    <row r="7" spans="1:6" x14ac:dyDescent="0.3">
      <c r="A7" s="55" t="s">
        <v>41</v>
      </c>
      <c r="B7" s="55" t="str">
        <f t="shared" si="0"/>
        <v>WATCH</v>
      </c>
      <c r="C7" s="55" t="str">
        <f t="shared" si="1"/>
        <v>watch</v>
      </c>
      <c r="D7" s="55" t="str">
        <f t="shared" si="2"/>
        <v>Watch</v>
      </c>
      <c r="E7" s="73">
        <f t="shared" ca="1" si="3"/>
        <v>44693</v>
      </c>
      <c r="F7" s="74">
        <f t="shared" ca="1" si="4"/>
        <v>44693.514648495373</v>
      </c>
    </row>
    <row r="8" spans="1:6" x14ac:dyDescent="0.3">
      <c r="A8" s="55" t="s">
        <v>42</v>
      </c>
      <c r="B8" s="55" t="str">
        <f t="shared" si="0"/>
        <v>MOBILE</v>
      </c>
      <c r="C8" s="55" t="str">
        <f t="shared" si="1"/>
        <v>mobile</v>
      </c>
      <c r="D8" s="55" t="str">
        <f t="shared" si="2"/>
        <v>Mobile</v>
      </c>
      <c r="E8" s="73">
        <f t="shared" ca="1" si="3"/>
        <v>44693</v>
      </c>
      <c r="F8" s="74">
        <f t="shared" ca="1" si="4"/>
        <v>44693.514648495373</v>
      </c>
    </row>
    <row r="9" spans="1:6" x14ac:dyDescent="0.3">
      <c r="A9" s="55" t="s">
        <v>43</v>
      </c>
      <c r="B9" s="55" t="str">
        <f t="shared" si="0"/>
        <v>NORMAL</v>
      </c>
      <c r="C9" s="55" t="str">
        <f t="shared" si="1"/>
        <v>normal</v>
      </c>
      <c r="D9" s="55" t="str">
        <f t="shared" si="2"/>
        <v>Normal</v>
      </c>
      <c r="E9" s="73">
        <f t="shared" ca="1" si="3"/>
        <v>44693</v>
      </c>
      <c r="F9" s="74">
        <f t="shared" ca="1" si="4"/>
        <v>44693.514648495373</v>
      </c>
    </row>
    <row r="10" spans="1:6" x14ac:dyDescent="0.3">
      <c r="A10" s="55" t="s">
        <v>44</v>
      </c>
      <c r="B10" s="55" t="str">
        <f t="shared" si="0"/>
        <v>COUNT</v>
      </c>
      <c r="C10" s="55" t="str">
        <f t="shared" si="1"/>
        <v>count</v>
      </c>
      <c r="D10" s="55" t="str">
        <f t="shared" si="2"/>
        <v>Count</v>
      </c>
      <c r="E10" s="73">
        <f t="shared" ca="1" si="3"/>
        <v>44693</v>
      </c>
      <c r="F10" s="74">
        <f t="shared" ca="1" si="4"/>
        <v>44693.514648495373</v>
      </c>
    </row>
    <row r="11" spans="1:6" x14ac:dyDescent="0.3">
      <c r="A11" s="55" t="s">
        <v>45</v>
      </c>
      <c r="B11" s="55" t="str">
        <f t="shared" si="0"/>
        <v>FORMULA</v>
      </c>
      <c r="C11" s="55" t="str">
        <f t="shared" si="1"/>
        <v>formula</v>
      </c>
      <c r="D11" s="55" t="str">
        <f t="shared" si="2"/>
        <v>Formula</v>
      </c>
      <c r="E11" s="73">
        <f t="shared" ca="1" si="3"/>
        <v>44693</v>
      </c>
      <c r="F11" s="74">
        <f t="shared" ca="1" si="4"/>
        <v>44693.514648495373</v>
      </c>
    </row>
    <row r="12" spans="1:6" x14ac:dyDescent="0.3">
      <c r="A12" s="55" t="s">
        <v>46</v>
      </c>
      <c r="B12" s="55" t="str">
        <f t="shared" si="0"/>
        <v>ADEVERTIESMENT</v>
      </c>
      <c r="C12" s="55" t="str">
        <f t="shared" si="1"/>
        <v>adevertiesment</v>
      </c>
      <c r="D12" s="55" t="str">
        <f t="shared" si="2"/>
        <v>Adevertiesment</v>
      </c>
      <c r="E12" s="73">
        <f t="shared" ca="1" si="3"/>
        <v>44693</v>
      </c>
      <c r="F12" s="74">
        <f t="shared" ca="1" si="4"/>
        <v>44693.514648495373</v>
      </c>
    </row>
    <row r="13" spans="1:6" x14ac:dyDescent="0.3">
      <c r="A13" s="55" t="s">
        <v>47</v>
      </c>
      <c r="B13" s="55" t="str">
        <f t="shared" si="0"/>
        <v>OFFICE</v>
      </c>
      <c r="C13" s="55" t="str">
        <f t="shared" si="1"/>
        <v>office</v>
      </c>
      <c r="D13" s="55" t="str">
        <f t="shared" si="2"/>
        <v>Office</v>
      </c>
      <c r="E13" s="73">
        <f t="shared" ca="1" si="3"/>
        <v>44693</v>
      </c>
      <c r="F13" s="74">
        <f t="shared" ca="1" si="4"/>
        <v>44693.514648495373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4"/>
  <sheetViews>
    <sheetView tabSelected="1" zoomScale="115" zoomScaleNormal="115" workbookViewId="0">
      <selection activeCell="D7" sqref="D7"/>
    </sheetView>
  </sheetViews>
  <sheetFormatPr defaultColWidth="8.85546875" defaultRowHeight="18.75" x14ac:dyDescent="0.25"/>
  <cols>
    <col min="1" max="1" width="8.85546875" style="3"/>
    <col min="2" max="2" width="10.7109375" style="3" customWidth="1"/>
    <col min="3" max="3" width="14.28515625" style="3" bestFit="1" customWidth="1"/>
    <col min="4" max="4" width="16.7109375" style="3" bestFit="1" customWidth="1"/>
    <col min="5" max="5" width="11.7109375" style="3" bestFit="1" customWidth="1"/>
    <col min="6" max="6" width="14.140625" style="3" bestFit="1" customWidth="1"/>
    <col min="7" max="7" width="10.7109375" style="3" bestFit="1" customWidth="1"/>
    <col min="8" max="8" width="11.28515625" style="3" bestFit="1" customWidth="1"/>
    <col min="9" max="9" width="8.85546875" style="3"/>
    <col min="10" max="10" width="10" style="3" bestFit="1" customWidth="1"/>
    <col min="11" max="16384" width="8.85546875" style="3"/>
  </cols>
  <sheetData>
    <row r="1" spans="1:10" x14ac:dyDescent="0.25">
      <c r="A1" s="120" t="s">
        <v>101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x14ac:dyDescent="0.25">
      <c r="A2" s="120"/>
      <c r="B2" s="120"/>
      <c r="C2" s="120"/>
      <c r="D2" s="120"/>
      <c r="E2" s="120"/>
      <c r="F2" s="120"/>
      <c r="G2" s="120"/>
      <c r="H2" s="120"/>
      <c r="I2" s="120"/>
      <c r="J2" s="120"/>
    </row>
    <row r="4" spans="1:10" x14ac:dyDescent="0.25">
      <c r="A4" s="59" t="s">
        <v>68</v>
      </c>
      <c r="B4" s="59" t="s">
        <v>82</v>
      </c>
      <c r="C4" s="59" t="s">
        <v>83</v>
      </c>
      <c r="D4" s="59" t="s">
        <v>84</v>
      </c>
      <c r="E4" s="59" t="s">
        <v>85</v>
      </c>
      <c r="F4" s="59" t="s">
        <v>86</v>
      </c>
      <c r="G4" s="59" t="s">
        <v>87</v>
      </c>
      <c r="H4" s="59" t="s">
        <v>88</v>
      </c>
      <c r="I4" s="59" t="s">
        <v>89</v>
      </c>
      <c r="J4" s="59" t="s">
        <v>90</v>
      </c>
    </row>
    <row r="5" spans="1:10" x14ac:dyDescent="0.25">
      <c r="A5" s="62">
        <v>1</v>
      </c>
      <c r="B5" s="62">
        <v>12365</v>
      </c>
      <c r="C5" s="62" t="s">
        <v>8</v>
      </c>
      <c r="D5" s="62">
        <v>315</v>
      </c>
      <c r="E5" s="62">
        <v>235</v>
      </c>
      <c r="F5" s="62">
        <f>D5-E5</f>
        <v>80</v>
      </c>
      <c r="G5" s="62">
        <v>10.5</v>
      </c>
      <c r="H5" s="62">
        <f>F5*G5</f>
        <v>840</v>
      </c>
      <c r="I5" s="62">
        <f>H5*2.5%</f>
        <v>21</v>
      </c>
      <c r="J5" s="62">
        <f>H5+I5</f>
        <v>861</v>
      </c>
    </row>
    <row r="6" spans="1:10" x14ac:dyDescent="0.25">
      <c r="A6" s="62">
        <v>2</v>
      </c>
      <c r="B6" s="62">
        <v>12546</v>
      </c>
      <c r="C6" s="62" t="s">
        <v>9</v>
      </c>
      <c r="D6" s="62">
        <v>325</v>
      </c>
      <c r="E6" s="62">
        <v>214</v>
      </c>
      <c r="F6" s="62">
        <f t="shared" ref="F6:F14" si="0">D6-E6</f>
        <v>111</v>
      </c>
      <c r="G6" s="62">
        <v>10.5</v>
      </c>
      <c r="H6" s="62">
        <f t="shared" ref="H6:H14" si="1">F6*G6</f>
        <v>1165.5</v>
      </c>
      <c r="I6" s="62">
        <f t="shared" ref="I6:I14" si="2">H6*2.5%</f>
        <v>29.137500000000003</v>
      </c>
      <c r="J6" s="62">
        <f t="shared" ref="J6:J14" si="3">H6+I6</f>
        <v>1194.6375</v>
      </c>
    </row>
    <row r="7" spans="1:10" x14ac:dyDescent="0.25">
      <c r="A7" s="62">
        <v>3</v>
      </c>
      <c r="B7" s="62">
        <v>25632</v>
      </c>
      <c r="C7" s="62" t="s">
        <v>10</v>
      </c>
      <c r="D7" s="62">
        <v>369</v>
      </c>
      <c r="E7" s="62">
        <v>258</v>
      </c>
      <c r="F7" s="62">
        <f t="shared" si="0"/>
        <v>111</v>
      </c>
      <c r="G7" s="62">
        <v>10.5</v>
      </c>
      <c r="H7" s="62">
        <f t="shared" si="1"/>
        <v>1165.5</v>
      </c>
      <c r="I7" s="62">
        <f t="shared" si="2"/>
        <v>29.137500000000003</v>
      </c>
      <c r="J7" s="62">
        <f t="shared" si="3"/>
        <v>1194.6375</v>
      </c>
    </row>
    <row r="8" spans="1:10" x14ac:dyDescent="0.25">
      <c r="A8" s="62">
        <v>4</v>
      </c>
      <c r="B8" s="62">
        <v>36589</v>
      </c>
      <c r="C8" s="62" t="s">
        <v>11</v>
      </c>
      <c r="D8" s="62">
        <v>358</v>
      </c>
      <c r="E8" s="62">
        <v>269</v>
      </c>
      <c r="F8" s="62">
        <f t="shared" si="0"/>
        <v>89</v>
      </c>
      <c r="G8" s="62">
        <v>10.5</v>
      </c>
      <c r="H8" s="62">
        <f t="shared" si="1"/>
        <v>934.5</v>
      </c>
      <c r="I8" s="62">
        <f t="shared" si="2"/>
        <v>23.362500000000001</v>
      </c>
      <c r="J8" s="62">
        <f t="shared" si="3"/>
        <v>957.86249999999995</v>
      </c>
    </row>
    <row r="9" spans="1:10" x14ac:dyDescent="0.25">
      <c r="A9" s="62">
        <v>5</v>
      </c>
      <c r="B9" s="62">
        <v>15469</v>
      </c>
      <c r="C9" s="62" t="s">
        <v>12</v>
      </c>
      <c r="D9" s="62">
        <v>365</v>
      </c>
      <c r="E9" s="62">
        <v>254</v>
      </c>
      <c r="F9" s="62">
        <f t="shared" si="0"/>
        <v>111</v>
      </c>
      <c r="G9" s="62">
        <v>10.5</v>
      </c>
      <c r="H9" s="62">
        <f t="shared" si="1"/>
        <v>1165.5</v>
      </c>
      <c r="I9" s="62">
        <f t="shared" si="2"/>
        <v>29.137500000000003</v>
      </c>
      <c r="J9" s="62">
        <f t="shared" si="3"/>
        <v>1194.6375</v>
      </c>
    </row>
    <row r="10" spans="1:10" x14ac:dyDescent="0.25">
      <c r="A10" s="62">
        <v>6</v>
      </c>
      <c r="B10" s="62">
        <v>25478</v>
      </c>
      <c r="C10" s="62" t="s">
        <v>13</v>
      </c>
      <c r="D10" s="62">
        <v>364</v>
      </c>
      <c r="E10" s="62">
        <v>248</v>
      </c>
      <c r="F10" s="62">
        <f t="shared" si="0"/>
        <v>116</v>
      </c>
      <c r="G10" s="62">
        <v>10.5</v>
      </c>
      <c r="H10" s="62">
        <f t="shared" si="1"/>
        <v>1218</v>
      </c>
      <c r="I10" s="62">
        <f t="shared" si="2"/>
        <v>30.450000000000003</v>
      </c>
      <c r="J10" s="62">
        <f t="shared" si="3"/>
        <v>1248.45</v>
      </c>
    </row>
    <row r="11" spans="1:10" x14ac:dyDescent="0.25">
      <c r="A11" s="62">
        <v>7</v>
      </c>
      <c r="B11" s="62">
        <v>69854</v>
      </c>
      <c r="C11" s="62" t="s">
        <v>14</v>
      </c>
      <c r="D11" s="62">
        <v>389</v>
      </c>
      <c r="E11" s="62">
        <v>245</v>
      </c>
      <c r="F11" s="62">
        <f t="shared" si="0"/>
        <v>144</v>
      </c>
      <c r="G11" s="62">
        <v>10.5</v>
      </c>
      <c r="H11" s="62">
        <f t="shared" si="1"/>
        <v>1512</v>
      </c>
      <c r="I11" s="62">
        <f t="shared" si="2"/>
        <v>37.800000000000004</v>
      </c>
      <c r="J11" s="62">
        <f t="shared" si="3"/>
        <v>1549.8</v>
      </c>
    </row>
    <row r="12" spans="1:10" x14ac:dyDescent="0.25">
      <c r="A12" s="62">
        <v>8</v>
      </c>
      <c r="B12" s="62">
        <v>89654</v>
      </c>
      <c r="C12" s="62" t="s">
        <v>15</v>
      </c>
      <c r="D12" s="62">
        <v>314</v>
      </c>
      <c r="E12" s="62">
        <v>246</v>
      </c>
      <c r="F12" s="62">
        <f t="shared" si="0"/>
        <v>68</v>
      </c>
      <c r="G12" s="62">
        <v>10.5</v>
      </c>
      <c r="H12" s="62">
        <f t="shared" si="1"/>
        <v>714</v>
      </c>
      <c r="I12" s="62">
        <f t="shared" si="2"/>
        <v>17.850000000000001</v>
      </c>
      <c r="J12" s="62">
        <f t="shared" si="3"/>
        <v>731.85</v>
      </c>
    </row>
    <row r="13" spans="1:10" x14ac:dyDescent="0.25">
      <c r="A13" s="62">
        <v>9</v>
      </c>
      <c r="B13" s="62">
        <v>25698</v>
      </c>
      <c r="C13" s="62" t="s">
        <v>16</v>
      </c>
      <c r="D13" s="62">
        <v>321</v>
      </c>
      <c r="E13" s="62">
        <v>225</v>
      </c>
      <c r="F13" s="62">
        <f t="shared" si="0"/>
        <v>96</v>
      </c>
      <c r="G13" s="62">
        <v>10.5</v>
      </c>
      <c r="H13" s="62">
        <f t="shared" si="1"/>
        <v>1008</v>
      </c>
      <c r="I13" s="62">
        <f t="shared" si="2"/>
        <v>25.200000000000003</v>
      </c>
      <c r="J13" s="62">
        <f t="shared" si="3"/>
        <v>1033.2</v>
      </c>
    </row>
    <row r="14" spans="1:10" x14ac:dyDescent="0.25">
      <c r="A14" s="62">
        <v>10</v>
      </c>
      <c r="B14" s="62">
        <v>32569</v>
      </c>
      <c r="C14" s="62" t="s">
        <v>17</v>
      </c>
      <c r="D14" s="62">
        <v>357</v>
      </c>
      <c r="E14" s="62">
        <v>238</v>
      </c>
      <c r="F14" s="62">
        <f t="shared" si="0"/>
        <v>119</v>
      </c>
      <c r="G14" s="62">
        <v>10.5</v>
      </c>
      <c r="H14" s="62">
        <f t="shared" si="1"/>
        <v>1249.5</v>
      </c>
      <c r="I14" s="62">
        <f t="shared" si="2"/>
        <v>31.237500000000001</v>
      </c>
      <c r="J14" s="62">
        <f t="shared" si="3"/>
        <v>1280.7375</v>
      </c>
    </row>
  </sheetData>
  <mergeCells count="1">
    <mergeCell ref="A1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:AU69"/>
  <sheetViews>
    <sheetView zoomScale="107" zoomScaleNormal="107" workbookViewId="0">
      <selection activeCell="AX83" sqref="AX83"/>
    </sheetView>
  </sheetViews>
  <sheetFormatPr defaultColWidth="8.85546875" defaultRowHeight="18.75" x14ac:dyDescent="0.25"/>
  <cols>
    <col min="1" max="1" width="10.85546875" style="3" bestFit="1" customWidth="1"/>
    <col min="2" max="3" width="9.28515625" style="3" bestFit="1" customWidth="1"/>
    <col min="4" max="4" width="14.42578125" style="3" bestFit="1" customWidth="1"/>
    <col min="5" max="5" width="13.140625" style="3" bestFit="1" customWidth="1"/>
    <col min="6" max="6" width="16.42578125" style="3" bestFit="1" customWidth="1"/>
    <col min="7" max="7" width="15.7109375" style="3" bestFit="1" customWidth="1"/>
    <col min="8" max="8" width="2.28515625" style="3" bestFit="1" customWidth="1"/>
    <col min="9" max="9" width="2.28515625" style="9" bestFit="1" customWidth="1"/>
    <col min="10" max="10" width="2.28515625" style="3" bestFit="1" customWidth="1"/>
    <col min="11" max="11" width="10.85546875" style="3" bestFit="1" customWidth="1"/>
    <col min="12" max="12" width="9" style="3" bestFit="1" customWidth="1"/>
    <col min="13" max="13" width="8.85546875" style="3"/>
    <col min="14" max="15" width="14.42578125" style="3" bestFit="1" customWidth="1"/>
    <col min="16" max="16" width="16.42578125" style="3" bestFit="1" customWidth="1"/>
    <col min="17" max="17" width="15.7109375" style="3" bestFit="1" customWidth="1"/>
    <col min="18" max="18" width="2.28515625" style="3" bestFit="1" customWidth="1"/>
    <col min="19" max="19" width="2.28515625" style="9" bestFit="1" customWidth="1"/>
    <col min="20" max="20" width="2.28515625" style="3" bestFit="1" customWidth="1"/>
    <col min="21" max="21" width="10.85546875" style="3" bestFit="1" customWidth="1"/>
    <col min="22" max="22" width="9" style="3" customWidth="1"/>
    <col min="23" max="23" width="9.28515625" style="3" bestFit="1" customWidth="1"/>
    <col min="24" max="24" width="15" style="3" bestFit="1" customWidth="1"/>
    <col min="25" max="26" width="16.42578125" style="3" bestFit="1" customWidth="1"/>
    <col min="27" max="27" width="16.28515625" style="3" bestFit="1" customWidth="1"/>
    <col min="28" max="28" width="2.28515625" style="3" bestFit="1" customWidth="1"/>
    <col min="29" max="29" width="2.28515625" style="9" bestFit="1" customWidth="1"/>
    <col min="30" max="30" width="2.28515625" style="3" bestFit="1" customWidth="1"/>
    <col min="31" max="31" width="10.85546875" style="3" bestFit="1" customWidth="1"/>
    <col min="32" max="32" width="10.28515625" style="3" bestFit="1" customWidth="1"/>
    <col min="33" max="33" width="8.85546875" style="3"/>
    <col min="34" max="34" width="14.42578125" style="3" bestFit="1" customWidth="1"/>
    <col min="35" max="35" width="16.42578125" style="3" bestFit="1" customWidth="1"/>
    <col min="36" max="36" width="17.85546875" style="3" bestFit="1" customWidth="1"/>
    <col min="37" max="37" width="15.7109375" style="3" bestFit="1" customWidth="1"/>
    <col min="38" max="38" width="2.28515625" style="3" bestFit="1" customWidth="1"/>
    <col min="39" max="39" width="2.28515625" style="9" bestFit="1" customWidth="1"/>
    <col min="40" max="40" width="2.28515625" style="3" bestFit="1" customWidth="1"/>
    <col min="41" max="41" width="11.140625" style="3" bestFit="1" customWidth="1"/>
    <col min="42" max="42" width="9.28515625" style="3" bestFit="1" customWidth="1"/>
    <col min="43" max="43" width="8.85546875" style="3"/>
    <col min="44" max="44" width="14.7109375" style="3" bestFit="1" customWidth="1"/>
    <col min="45" max="45" width="18.28515625" style="3" bestFit="1" customWidth="1"/>
    <col min="46" max="46" width="16.7109375" style="3" bestFit="1" customWidth="1"/>
    <col min="47" max="47" width="15.85546875" style="3" bestFit="1" customWidth="1"/>
    <col min="48" max="16384" width="8.85546875" style="3"/>
  </cols>
  <sheetData>
    <row r="3" spans="1:47" x14ac:dyDescent="0.25">
      <c r="A3" s="5" t="s">
        <v>71</v>
      </c>
      <c r="B3" s="6">
        <v>8.2500000000000004E-2</v>
      </c>
      <c r="D3" s="120" t="s">
        <v>79</v>
      </c>
      <c r="E3" s="120"/>
      <c r="F3" s="120"/>
      <c r="K3" s="5" t="s">
        <v>71</v>
      </c>
      <c r="L3" s="6">
        <v>0.105</v>
      </c>
      <c r="N3" s="120" t="s">
        <v>80</v>
      </c>
      <c r="O3" s="120"/>
      <c r="P3" s="120"/>
      <c r="U3" s="5" t="s">
        <v>71</v>
      </c>
      <c r="V3" s="6">
        <v>0.106</v>
      </c>
      <c r="X3" s="120" t="s">
        <v>81</v>
      </c>
      <c r="Y3" s="120"/>
      <c r="Z3" s="120"/>
      <c r="AE3" s="5" t="s">
        <v>71</v>
      </c>
      <c r="AF3" s="6">
        <v>0.13250000000000001</v>
      </c>
      <c r="AO3" s="5" t="s">
        <v>71</v>
      </c>
      <c r="AP3" s="6">
        <v>0.06</v>
      </c>
    </row>
    <row r="4" spans="1:47" x14ac:dyDescent="0.25">
      <c r="A4" s="5" t="s">
        <v>72</v>
      </c>
      <c r="B4" s="5">
        <v>1</v>
      </c>
      <c r="D4" s="120"/>
      <c r="E4" s="120"/>
      <c r="F4" s="120"/>
      <c r="K4" s="5" t="s">
        <v>72</v>
      </c>
      <c r="L4" s="5">
        <v>2</v>
      </c>
      <c r="N4" s="120"/>
      <c r="O4" s="120"/>
      <c r="P4" s="120"/>
      <c r="U4" s="5" t="s">
        <v>72</v>
      </c>
      <c r="V4" s="5">
        <v>3</v>
      </c>
      <c r="X4" s="120"/>
      <c r="Y4" s="120"/>
      <c r="Z4" s="120"/>
      <c r="AE4" s="5" t="s">
        <v>72</v>
      </c>
      <c r="AF4" s="5">
        <v>4</v>
      </c>
      <c r="AO4" s="5" t="s">
        <v>72</v>
      </c>
      <c r="AP4" s="5">
        <v>5</v>
      </c>
    </row>
    <row r="5" spans="1:47" x14ac:dyDescent="0.25">
      <c r="A5" s="5" t="s">
        <v>73</v>
      </c>
      <c r="B5" s="5">
        <v>100000</v>
      </c>
      <c r="K5" s="5" t="s">
        <v>73</v>
      </c>
      <c r="L5" s="5">
        <v>500000</v>
      </c>
      <c r="U5" s="5" t="s">
        <v>73</v>
      </c>
      <c r="V5" s="5">
        <v>500500</v>
      </c>
      <c r="AE5" s="5" t="s">
        <v>73</v>
      </c>
      <c r="AF5" s="5">
        <v>1000000</v>
      </c>
      <c r="AO5" s="5" t="s">
        <v>73</v>
      </c>
      <c r="AP5" s="5">
        <v>900000</v>
      </c>
    </row>
    <row r="7" spans="1:47" x14ac:dyDescent="0.25">
      <c r="C7" s="5" t="s">
        <v>74</v>
      </c>
      <c r="D7" s="5" t="s">
        <v>75</v>
      </c>
      <c r="E7" s="5" t="s">
        <v>76</v>
      </c>
      <c r="F7" s="5" t="s">
        <v>77</v>
      </c>
      <c r="G7" s="5" t="s">
        <v>78</v>
      </c>
      <c r="M7" s="5" t="s">
        <v>74</v>
      </c>
      <c r="N7" s="5" t="s">
        <v>75</v>
      </c>
      <c r="O7" s="5" t="s">
        <v>76</v>
      </c>
      <c r="P7" s="5" t="s">
        <v>77</v>
      </c>
      <c r="Q7" s="5" t="s">
        <v>78</v>
      </c>
      <c r="W7" s="5" t="s">
        <v>74</v>
      </c>
      <c r="X7" s="5" t="s">
        <v>75</v>
      </c>
      <c r="Y7" s="5" t="s">
        <v>76</v>
      </c>
      <c r="Z7" s="5" t="s">
        <v>77</v>
      </c>
      <c r="AA7" s="5" t="s">
        <v>78</v>
      </c>
      <c r="AG7" s="5" t="s">
        <v>74</v>
      </c>
      <c r="AH7" s="5" t="s">
        <v>75</v>
      </c>
      <c r="AI7" s="5" t="s">
        <v>76</v>
      </c>
      <c r="AJ7" s="5" t="s">
        <v>77</v>
      </c>
      <c r="AK7" s="5" t="s">
        <v>78</v>
      </c>
      <c r="AQ7" s="5" t="s">
        <v>74</v>
      </c>
      <c r="AR7" s="5" t="s">
        <v>75</v>
      </c>
      <c r="AS7" s="5" t="s">
        <v>76</v>
      </c>
      <c r="AT7" s="5" t="s">
        <v>77</v>
      </c>
      <c r="AU7" s="5" t="s">
        <v>78</v>
      </c>
    </row>
    <row r="8" spans="1:47" x14ac:dyDescent="0.3">
      <c r="C8" s="3">
        <v>1</v>
      </c>
      <c r="D8" s="7">
        <f>PMT($B$3/12,$B$4*12,$B$5)</f>
        <v>-8710.406314086038</v>
      </c>
      <c r="E8" s="7">
        <f>IPMT($B$3/12,C8,$B$4*12,$B$5)</f>
        <v>-687.49999999999989</v>
      </c>
      <c r="F8" s="7">
        <f>PPMT($B$3/12,C8,$B$4*12,$B$5)</f>
        <v>-8022.9063140860389</v>
      </c>
      <c r="G8" s="7">
        <f>B5+F8</f>
        <v>91977.093685913962</v>
      </c>
      <c r="M8" s="3">
        <v>1</v>
      </c>
      <c r="N8" s="7">
        <f>PMT($L$3/12,$L$4*12,$L$5)</f>
        <v>-23188.020819685822</v>
      </c>
      <c r="O8" s="7">
        <f>IPMT($L$3/12,M8,L$4*12,$L$5)</f>
        <v>-4375</v>
      </c>
      <c r="P8" s="7">
        <f>PPMT($L$3/12,M8,$L$4*12,$L$5)</f>
        <v>-18813.020819685822</v>
      </c>
      <c r="Q8" s="7">
        <f>L5+P8</f>
        <v>481186.97918031417</v>
      </c>
      <c r="W8" s="3">
        <v>1</v>
      </c>
      <c r="X8" s="7">
        <f>PMT($V$3/12,$V$4*12,$V$5)</f>
        <v>-16291.083255231611</v>
      </c>
      <c r="Y8" s="7">
        <f>IPMT($V$3/12,W8,$V$4*12,$V$5)</f>
        <v>-4421.0833333333339</v>
      </c>
      <c r="Z8" s="10">
        <f>PPMT($V$3/12,W8,$V$4*12,$V$5)</f>
        <v>-11869.999921898278</v>
      </c>
      <c r="AA8" s="7">
        <f>V5+Z8</f>
        <v>488630.0000781017</v>
      </c>
      <c r="AG8" s="3">
        <v>1</v>
      </c>
      <c r="AH8" s="7">
        <f>PMT($AF$3/12,$AF$4*12,$AF$5)</f>
        <v>-26951.743387800896</v>
      </c>
      <c r="AI8" s="7">
        <f>IPMT($AF$3/12,AG8,$AF$4*12,$AF$5)</f>
        <v>-11041.666666666666</v>
      </c>
      <c r="AJ8" s="7">
        <f>PPMT($AF$3/12,AG8,$AF$4*12,$AF$5)</f>
        <v>-15910.076721134228</v>
      </c>
      <c r="AK8" s="7">
        <f>AF5+AJ8</f>
        <v>984089.92327886575</v>
      </c>
      <c r="AQ8" s="3">
        <v>1</v>
      </c>
      <c r="AR8" s="7">
        <f>PMT($AP$3/12,$AP$4*12,$AP$5)</f>
        <v>-17399.521376485121</v>
      </c>
      <c r="AS8" s="7">
        <f>IPMT($AP$3/12,AQ8,$AP$4*12,$AP$5)</f>
        <v>-4500</v>
      </c>
      <c r="AT8" s="7">
        <f>PPMT($AP$3/12,AQ8,$AP$4*12,$AP$5)</f>
        <v>-12899.521376485123</v>
      </c>
      <c r="AU8" s="7">
        <f>AP5+AT8</f>
        <v>887100.47862351488</v>
      </c>
    </row>
    <row r="9" spans="1:47" x14ac:dyDescent="0.3">
      <c r="C9" s="3">
        <v>2</v>
      </c>
      <c r="D9" s="7">
        <f t="shared" ref="D9:D19" si="0">PMT($B$3/12,$B$4*12,$B$5)</f>
        <v>-8710.406314086038</v>
      </c>
      <c r="E9" s="7">
        <f t="shared" ref="E9:E19" si="1">IPMT($B$3/12,C9,$B$4*12,$B$5)</f>
        <v>-632.34251909065836</v>
      </c>
      <c r="F9" s="7">
        <f t="shared" ref="F9:F19" si="2">PPMT($B$3/12,C9,$B$4*12,$B$5)</f>
        <v>-8078.0637949953798</v>
      </c>
      <c r="G9" s="7">
        <f>F9+G8</f>
        <v>83899.02989091858</v>
      </c>
      <c r="M9" s="3">
        <v>2</v>
      </c>
      <c r="N9" s="7">
        <f t="shared" ref="N9:N31" si="3">PMT($L$3/12,$L$4*12,$L$5)</f>
        <v>-23188.020819685822</v>
      </c>
      <c r="O9" s="7">
        <f t="shared" ref="O9:O31" si="4">IPMT($L$3/12,M9,L$4*12,$L$5)</f>
        <v>-4210.3860678277497</v>
      </c>
      <c r="P9" s="7">
        <f>PPMT($L$3/12,M9,$L$4*12,$L$5)</f>
        <v>-18977.634751858073</v>
      </c>
      <c r="Q9" s="7">
        <f>P9+Q8</f>
        <v>462209.3444284561</v>
      </c>
      <c r="W9" s="3">
        <v>2</v>
      </c>
      <c r="X9" s="7">
        <f t="shared" ref="X9:X43" si="5">PMT($V$3/12,$V$4*12,$V$5)</f>
        <v>-16291.083255231611</v>
      </c>
      <c r="Y9" s="7">
        <f t="shared" ref="Y9:Y43" si="6">IPMT($V$3/12,W9,$V$4*12,$V$5)</f>
        <v>-4316.2316673565647</v>
      </c>
      <c r="Z9" s="10">
        <f t="shared" ref="Z9:Z43" si="7">PPMT($V$3/12,W9,$V$4*12,$V$5)</f>
        <v>-11974.851587875046</v>
      </c>
      <c r="AA9" s="7">
        <f>Z9+AA8</f>
        <v>476655.14849022665</v>
      </c>
      <c r="AG9" s="3">
        <v>2</v>
      </c>
      <c r="AH9" s="7">
        <f t="shared" ref="AH9:AH55" si="8">PMT($AF$3/12,$AF$4*12,$AF$5)</f>
        <v>-26951.743387800896</v>
      </c>
      <c r="AI9" s="7">
        <f t="shared" ref="AI9:AI55" si="9">IPMT($AF$3/12,AG9,$AF$4*12,$AF$5)</f>
        <v>-10865.99290287081</v>
      </c>
      <c r="AJ9" s="7">
        <f t="shared" ref="AJ9:AJ55" si="10">PPMT($AF$3/12,AG9,$AF$4*12,$AF$5)</f>
        <v>-16085.750484930084</v>
      </c>
      <c r="AK9" s="7">
        <f>AJ9+AK8</f>
        <v>968004.17279393564</v>
      </c>
      <c r="AQ9" s="3">
        <v>2</v>
      </c>
      <c r="AR9" s="7">
        <f t="shared" ref="AR9:AR67" si="11">PMT($AP$3/12,$AP$4*12,$AP$5)</f>
        <v>-17399.521376485121</v>
      </c>
      <c r="AS9" s="7">
        <f t="shared" ref="AS9:AS67" si="12">IPMT($AP$3/12,AQ9,$AP$4*12,$AP$5)</f>
        <v>-4435.5023931175747</v>
      </c>
      <c r="AT9" s="7">
        <f t="shared" ref="AT9:AT67" si="13">PPMT($AP$3/12,AQ9,$AP$4*12,$AP$5)</f>
        <v>-12964.018983367547</v>
      </c>
      <c r="AU9" s="7">
        <f>AT9+AU8</f>
        <v>874136.45964014728</v>
      </c>
    </row>
    <row r="10" spans="1:47" x14ac:dyDescent="0.3">
      <c r="C10" s="3">
        <v>3</v>
      </c>
      <c r="D10" s="7">
        <f t="shared" si="0"/>
        <v>-8710.406314086038</v>
      </c>
      <c r="E10" s="7">
        <f t="shared" si="1"/>
        <v>-576.80583050006521</v>
      </c>
      <c r="F10" s="7">
        <f t="shared" si="2"/>
        <v>-8133.6004835859749</v>
      </c>
      <c r="G10" s="7">
        <f t="shared" ref="G10:G19" si="14">F10+G9</f>
        <v>75765.429407332602</v>
      </c>
      <c r="M10" s="3">
        <v>3</v>
      </c>
      <c r="N10" s="7">
        <f t="shared" si="3"/>
        <v>-23188.020819685822</v>
      </c>
      <c r="O10" s="7">
        <f t="shared" si="4"/>
        <v>-4044.3317637489909</v>
      </c>
      <c r="P10" s="7">
        <f t="shared" ref="P10:P31" si="15">PPMT($L$3/12,M10,$L$4*12,$L$5)</f>
        <v>-19143.689055936833</v>
      </c>
      <c r="Q10" s="7">
        <f t="shared" ref="Q10:Q31" si="16">P10+Q9</f>
        <v>443065.65537251928</v>
      </c>
      <c r="W10" s="3">
        <v>3</v>
      </c>
      <c r="X10" s="7">
        <f t="shared" si="5"/>
        <v>-16291.083255231611</v>
      </c>
      <c r="Y10" s="7">
        <f t="shared" si="6"/>
        <v>-4210.4538116636686</v>
      </c>
      <c r="Z10" s="10">
        <f t="shared" si="7"/>
        <v>-12080.629443567941</v>
      </c>
      <c r="AA10" s="7">
        <f t="shared" ref="AA10:AA43" si="17">Z10+AA9</f>
        <v>464574.51904665871</v>
      </c>
      <c r="AG10" s="3">
        <v>3</v>
      </c>
      <c r="AH10" s="7">
        <f t="shared" si="8"/>
        <v>-26951.743387800896</v>
      </c>
      <c r="AI10" s="7">
        <f t="shared" si="9"/>
        <v>-10688.37940793304</v>
      </c>
      <c r="AJ10" s="7">
        <f t="shared" si="10"/>
        <v>-16263.363979867854</v>
      </c>
      <c r="AK10" s="7">
        <f t="shared" ref="AK10:AK55" si="18">AJ10+AK9</f>
        <v>951740.80881406774</v>
      </c>
      <c r="AQ10" s="3">
        <v>3</v>
      </c>
      <c r="AR10" s="7">
        <f t="shared" si="11"/>
        <v>-17399.521376485121</v>
      </c>
      <c r="AS10" s="7">
        <f t="shared" si="12"/>
        <v>-4370.6822982007361</v>
      </c>
      <c r="AT10" s="7">
        <f t="shared" si="13"/>
        <v>-13028.839078284385</v>
      </c>
      <c r="AU10" s="7">
        <f t="shared" ref="AU10:AU67" si="19">AT10+AU9</f>
        <v>861107.62056186295</v>
      </c>
    </row>
    <row r="11" spans="1:47" x14ac:dyDescent="0.3">
      <c r="C11" s="3">
        <v>4</v>
      </c>
      <c r="D11" s="7">
        <f t="shared" si="0"/>
        <v>-8710.406314086038</v>
      </c>
      <c r="E11" s="7">
        <f t="shared" si="1"/>
        <v>-520.88732717541166</v>
      </c>
      <c r="F11" s="7">
        <f t="shared" si="2"/>
        <v>-8189.5189869106271</v>
      </c>
      <c r="G11" s="7">
        <f t="shared" si="14"/>
        <v>67575.910420421977</v>
      </c>
      <c r="M11" s="3">
        <v>4</v>
      </c>
      <c r="N11" s="7">
        <f t="shared" si="3"/>
        <v>-23188.020819685822</v>
      </c>
      <c r="O11" s="7">
        <f t="shared" si="4"/>
        <v>-3876.8244845095442</v>
      </c>
      <c r="P11" s="7">
        <f t="shared" si="15"/>
        <v>-19311.196335176282</v>
      </c>
      <c r="Q11" s="7">
        <f t="shared" si="16"/>
        <v>423754.45903734298</v>
      </c>
      <c r="W11" s="3">
        <v>4</v>
      </c>
      <c r="X11" s="7">
        <f t="shared" si="5"/>
        <v>-16291.083255231611</v>
      </c>
      <c r="Y11" s="7">
        <f t="shared" si="6"/>
        <v>-4103.7415849121517</v>
      </c>
      <c r="Z11" s="10">
        <f t="shared" si="7"/>
        <v>-12187.34167031946</v>
      </c>
      <c r="AA11" s="7">
        <f t="shared" si="17"/>
        <v>452387.17737633927</v>
      </c>
      <c r="AG11" s="3">
        <v>4</v>
      </c>
      <c r="AH11" s="7">
        <f t="shared" si="8"/>
        <v>-26951.743387800896</v>
      </c>
      <c r="AI11" s="7">
        <f t="shared" si="9"/>
        <v>-10508.804763988666</v>
      </c>
      <c r="AJ11" s="7">
        <f t="shared" si="10"/>
        <v>-16442.938623812232</v>
      </c>
      <c r="AK11" s="7">
        <f t="shared" si="18"/>
        <v>935297.87019025546</v>
      </c>
      <c r="AQ11" s="3">
        <v>4</v>
      </c>
      <c r="AR11" s="7">
        <f t="shared" si="11"/>
        <v>-17399.521376485121</v>
      </c>
      <c r="AS11" s="7">
        <f t="shared" si="12"/>
        <v>-4305.5381028093143</v>
      </c>
      <c r="AT11" s="7">
        <f t="shared" si="13"/>
        <v>-13093.983273675807</v>
      </c>
      <c r="AU11" s="7">
        <f t="shared" si="19"/>
        <v>848013.63728818716</v>
      </c>
    </row>
    <row r="12" spans="1:47" x14ac:dyDescent="0.3">
      <c r="C12" s="3">
        <v>5</v>
      </c>
      <c r="D12" s="7">
        <f t="shared" si="0"/>
        <v>-8710.406314086038</v>
      </c>
      <c r="E12" s="7">
        <f t="shared" si="1"/>
        <v>-464.58438414040108</v>
      </c>
      <c r="F12" s="7">
        <f t="shared" si="2"/>
        <v>-8245.8219299456377</v>
      </c>
      <c r="G12" s="7">
        <f t="shared" si="14"/>
        <v>59330.088490476337</v>
      </c>
      <c r="M12" s="3">
        <v>5</v>
      </c>
      <c r="N12" s="7">
        <f t="shared" si="3"/>
        <v>-23188.020819685822</v>
      </c>
      <c r="O12" s="7">
        <f t="shared" si="4"/>
        <v>-3707.8515165767512</v>
      </c>
      <c r="P12" s="7">
        <f t="shared" si="15"/>
        <v>-19480.169303109073</v>
      </c>
      <c r="Q12" s="7">
        <f t="shared" si="16"/>
        <v>404274.28973423393</v>
      </c>
      <c r="W12" s="3">
        <v>5</v>
      </c>
      <c r="X12" s="7">
        <f t="shared" si="5"/>
        <v>-16291.083255231611</v>
      </c>
      <c r="Y12" s="7">
        <f t="shared" si="6"/>
        <v>-3996.0867334909976</v>
      </c>
      <c r="Z12" s="10">
        <f t="shared" si="7"/>
        <v>-12294.996521740615</v>
      </c>
      <c r="AA12" s="7">
        <f t="shared" si="17"/>
        <v>440092.18085459864</v>
      </c>
      <c r="AG12" s="3">
        <v>5</v>
      </c>
      <c r="AH12" s="7">
        <f t="shared" si="8"/>
        <v>-26951.743387800896</v>
      </c>
      <c r="AI12" s="7">
        <f t="shared" si="9"/>
        <v>-10327.247316684074</v>
      </c>
      <c r="AJ12" s="7">
        <f t="shared" si="10"/>
        <v>-16624.496071116824</v>
      </c>
      <c r="AK12" s="7">
        <f t="shared" si="18"/>
        <v>918673.37411913858</v>
      </c>
      <c r="AQ12" s="3">
        <v>5</v>
      </c>
      <c r="AR12" s="7">
        <f t="shared" si="11"/>
        <v>-17399.521376485121</v>
      </c>
      <c r="AS12" s="7">
        <f t="shared" si="12"/>
        <v>-4240.0681864409353</v>
      </c>
      <c r="AT12" s="7">
        <f t="shared" si="13"/>
        <v>-13159.453190044185</v>
      </c>
      <c r="AU12" s="7">
        <f t="shared" si="19"/>
        <v>834854.18409814301</v>
      </c>
    </row>
    <row r="13" spans="1:47" x14ac:dyDescent="0.3">
      <c r="C13" s="3">
        <v>6</v>
      </c>
      <c r="D13" s="7">
        <f t="shared" si="0"/>
        <v>-8710.406314086038</v>
      </c>
      <c r="E13" s="7">
        <f t="shared" si="1"/>
        <v>-407.89435837202484</v>
      </c>
      <c r="F13" s="7">
        <f t="shared" si="2"/>
        <v>-8302.5119557140133</v>
      </c>
      <c r="G13" s="7">
        <f t="shared" si="14"/>
        <v>51027.576534762324</v>
      </c>
      <c r="M13" s="3">
        <v>6</v>
      </c>
      <c r="N13" s="7">
        <f t="shared" si="3"/>
        <v>-23188.020819685822</v>
      </c>
      <c r="O13" s="7">
        <f t="shared" si="4"/>
        <v>-3537.4000351745472</v>
      </c>
      <c r="P13" s="7">
        <f t="shared" si="15"/>
        <v>-19650.620784511273</v>
      </c>
      <c r="Q13" s="7">
        <f t="shared" si="16"/>
        <v>384623.66894972266</v>
      </c>
      <c r="W13" s="3">
        <v>6</v>
      </c>
      <c r="X13" s="7">
        <f t="shared" si="5"/>
        <v>-16291.083255231611</v>
      </c>
      <c r="Y13" s="7">
        <f t="shared" si="6"/>
        <v>-3887.4809308822887</v>
      </c>
      <c r="Z13" s="10">
        <f t="shared" si="7"/>
        <v>-12403.602324349324</v>
      </c>
      <c r="AA13" s="7">
        <f t="shared" si="17"/>
        <v>427688.5785302493</v>
      </c>
      <c r="AG13" s="3">
        <v>6</v>
      </c>
      <c r="AH13" s="7">
        <f t="shared" si="8"/>
        <v>-26951.743387800896</v>
      </c>
      <c r="AI13" s="7">
        <f t="shared" si="9"/>
        <v>-10143.685172565491</v>
      </c>
      <c r="AJ13" s="7">
        <f t="shared" si="10"/>
        <v>-16808.058215235404</v>
      </c>
      <c r="AK13" s="7">
        <f t="shared" si="18"/>
        <v>901865.31590390322</v>
      </c>
      <c r="AQ13" s="3">
        <v>6</v>
      </c>
      <c r="AR13" s="7">
        <f t="shared" si="11"/>
        <v>-17399.521376485121</v>
      </c>
      <c r="AS13" s="7">
        <f t="shared" si="12"/>
        <v>-4174.2709204907142</v>
      </c>
      <c r="AT13" s="7">
        <f t="shared" si="13"/>
        <v>-13225.250455994408</v>
      </c>
      <c r="AU13" s="7">
        <f t="shared" si="19"/>
        <v>821628.93364214862</v>
      </c>
    </row>
    <row r="14" spans="1:47" x14ac:dyDescent="0.3">
      <c r="C14" s="3">
        <v>7</v>
      </c>
      <c r="D14" s="7">
        <f t="shared" si="0"/>
        <v>-8710.406314086038</v>
      </c>
      <c r="E14" s="7">
        <f t="shared" si="1"/>
        <v>-350.81458867649098</v>
      </c>
      <c r="F14" s="7">
        <f t="shared" si="2"/>
        <v>-8359.5917254095475</v>
      </c>
      <c r="G14" s="7">
        <f t="shared" si="14"/>
        <v>42667.984809352776</v>
      </c>
      <c r="M14" s="3">
        <v>7</v>
      </c>
      <c r="N14" s="7">
        <f t="shared" si="3"/>
        <v>-23188.020819685822</v>
      </c>
      <c r="O14" s="7">
        <f t="shared" si="4"/>
        <v>-3365.4571033100733</v>
      </c>
      <c r="P14" s="7">
        <f t="shared" si="15"/>
        <v>-19822.563716375749</v>
      </c>
      <c r="Q14" s="7">
        <f t="shared" si="16"/>
        <v>364801.10523334693</v>
      </c>
      <c r="W14" s="3">
        <v>7</v>
      </c>
      <c r="X14" s="7">
        <f t="shared" si="5"/>
        <v>-16291.083255231611</v>
      </c>
      <c r="Y14" s="7">
        <f t="shared" si="6"/>
        <v>-3777.9157770172023</v>
      </c>
      <c r="Z14" s="10">
        <f t="shared" si="7"/>
        <v>-12513.167478214407</v>
      </c>
      <c r="AA14" s="7">
        <f t="shared" si="17"/>
        <v>415175.41105203488</v>
      </c>
      <c r="AG14" s="3">
        <v>7</v>
      </c>
      <c r="AH14" s="7">
        <f t="shared" si="8"/>
        <v>-26951.743387800896</v>
      </c>
      <c r="AI14" s="7">
        <f t="shared" si="9"/>
        <v>-9958.0961964389335</v>
      </c>
      <c r="AJ14" s="7">
        <f t="shared" si="10"/>
        <v>-16993.647191361961</v>
      </c>
      <c r="AK14" s="7">
        <f t="shared" si="18"/>
        <v>884871.66871254123</v>
      </c>
      <c r="AQ14" s="3">
        <v>7</v>
      </c>
      <c r="AR14" s="7">
        <f t="shared" si="11"/>
        <v>-17399.521376485121</v>
      </c>
      <c r="AS14" s="7">
        <f t="shared" si="12"/>
        <v>-4108.1446682107417</v>
      </c>
      <c r="AT14" s="7">
        <f t="shared" si="13"/>
        <v>-13291.37670827438</v>
      </c>
      <c r="AU14" s="7">
        <f t="shared" si="19"/>
        <v>808337.55693387426</v>
      </c>
    </row>
    <row r="15" spans="1:47" x14ac:dyDescent="0.3">
      <c r="C15" s="3">
        <v>8</v>
      </c>
      <c r="D15" s="7">
        <f t="shared" si="0"/>
        <v>-8710.406314086038</v>
      </c>
      <c r="E15" s="7">
        <f t="shared" si="1"/>
        <v>-293.34239556430032</v>
      </c>
      <c r="F15" s="7">
        <f t="shared" si="2"/>
        <v>-8417.0639185217387</v>
      </c>
      <c r="G15" s="7">
        <f t="shared" si="14"/>
        <v>34250.920890831039</v>
      </c>
      <c r="M15" s="3">
        <v>8</v>
      </c>
      <c r="N15" s="7">
        <f t="shared" si="3"/>
        <v>-23188.020819685822</v>
      </c>
      <c r="O15" s="7">
        <f t="shared" si="4"/>
        <v>-3192.0096707917851</v>
      </c>
      <c r="P15" s="7">
        <f t="shared" si="15"/>
        <v>-19996.011148894035</v>
      </c>
      <c r="Q15" s="7">
        <f t="shared" si="16"/>
        <v>344805.0940844529</v>
      </c>
      <c r="W15" s="3">
        <v>8</v>
      </c>
      <c r="X15" s="7">
        <f t="shared" si="5"/>
        <v>-16291.083255231611</v>
      </c>
      <c r="Y15" s="7">
        <f t="shared" si="6"/>
        <v>-3667.3827976263087</v>
      </c>
      <c r="Z15" s="10">
        <f t="shared" si="7"/>
        <v>-12623.700457605302</v>
      </c>
      <c r="AA15" s="7">
        <f t="shared" si="17"/>
        <v>402551.71059442958</v>
      </c>
      <c r="AG15" s="3">
        <v>8</v>
      </c>
      <c r="AH15" s="7">
        <f t="shared" si="8"/>
        <v>-26951.743387800896</v>
      </c>
      <c r="AI15" s="7">
        <f t="shared" si="9"/>
        <v>-9770.4580087009781</v>
      </c>
      <c r="AJ15" s="7">
        <f t="shared" si="10"/>
        <v>-17181.285379099918</v>
      </c>
      <c r="AK15" s="7">
        <f t="shared" si="18"/>
        <v>867690.38333344134</v>
      </c>
      <c r="AQ15" s="3">
        <v>8</v>
      </c>
      <c r="AR15" s="7">
        <f t="shared" si="11"/>
        <v>-17399.521376485121</v>
      </c>
      <c r="AS15" s="7">
        <f t="shared" si="12"/>
        <v>-4041.6877846693701</v>
      </c>
      <c r="AT15" s="7">
        <f t="shared" si="13"/>
        <v>-13357.83359181575</v>
      </c>
      <c r="AU15" s="7">
        <f t="shared" si="19"/>
        <v>794979.72334205848</v>
      </c>
    </row>
    <row r="16" spans="1:47" x14ac:dyDescent="0.3">
      <c r="C16" s="3">
        <v>9</v>
      </c>
      <c r="D16" s="7">
        <f t="shared" si="0"/>
        <v>-8710.406314086038</v>
      </c>
      <c r="E16" s="7">
        <f t="shared" si="1"/>
        <v>-235.4750811244634</v>
      </c>
      <c r="F16" s="7">
        <f t="shared" si="2"/>
        <v>-8474.9312329615768</v>
      </c>
      <c r="G16" s="7">
        <f t="shared" si="14"/>
        <v>25775.989657869461</v>
      </c>
      <c r="M16" s="3">
        <v>9</v>
      </c>
      <c r="N16" s="7">
        <f t="shared" si="3"/>
        <v>-23188.020819685822</v>
      </c>
      <c r="O16" s="7">
        <f t="shared" si="4"/>
        <v>-3017.0445732389626</v>
      </c>
      <c r="P16" s="7">
        <f t="shared" si="15"/>
        <v>-20170.976246446859</v>
      </c>
      <c r="Q16" s="7">
        <f t="shared" si="16"/>
        <v>324634.11783800606</v>
      </c>
      <c r="W16" s="3">
        <v>9</v>
      </c>
      <c r="X16" s="7">
        <f t="shared" si="5"/>
        <v>-16291.083255231611</v>
      </c>
      <c r="Y16" s="7">
        <f t="shared" si="6"/>
        <v>-3555.8734435841284</v>
      </c>
      <c r="Z16" s="10">
        <f t="shared" si="7"/>
        <v>-12735.209811647481</v>
      </c>
      <c r="AA16" s="7">
        <f t="shared" si="17"/>
        <v>389816.5007827821</v>
      </c>
      <c r="AG16" s="3">
        <v>9</v>
      </c>
      <c r="AH16" s="7">
        <f t="shared" si="8"/>
        <v>-26951.743387800896</v>
      </c>
      <c r="AI16" s="7">
        <f t="shared" si="9"/>
        <v>-9580.7479826400831</v>
      </c>
      <c r="AJ16" s="7">
        <f t="shared" si="10"/>
        <v>-17370.995405160815</v>
      </c>
      <c r="AK16" s="7">
        <f t="shared" si="18"/>
        <v>850319.38792828051</v>
      </c>
      <c r="AQ16" s="3">
        <v>9</v>
      </c>
      <c r="AR16" s="7">
        <f t="shared" si="11"/>
        <v>-17399.521376485121</v>
      </c>
      <c r="AS16" s="7">
        <f t="shared" si="12"/>
        <v>-3974.8986167102912</v>
      </c>
      <c r="AT16" s="7">
        <f t="shared" si="13"/>
        <v>-13424.622759774831</v>
      </c>
      <c r="AU16" s="7">
        <f t="shared" si="19"/>
        <v>781555.10058228369</v>
      </c>
    </row>
    <row r="17" spans="1:47" x14ac:dyDescent="0.3">
      <c r="C17" s="3">
        <v>10</v>
      </c>
      <c r="D17" s="7">
        <f t="shared" si="0"/>
        <v>-8710.406314086038</v>
      </c>
      <c r="E17" s="7">
        <f t="shared" si="1"/>
        <v>-177.20992889785254</v>
      </c>
      <c r="F17" s="7">
        <f t="shared" si="2"/>
        <v>-8533.1963851881846</v>
      </c>
      <c r="G17" s="7">
        <f t="shared" si="14"/>
        <v>17242.793272681276</v>
      </c>
      <c r="M17" s="3">
        <v>10</v>
      </c>
      <c r="N17" s="7">
        <f t="shared" si="3"/>
        <v>-23188.020819685822</v>
      </c>
      <c r="O17" s="7">
        <f t="shared" si="4"/>
        <v>-2840.5485310825529</v>
      </c>
      <c r="P17" s="7">
        <f t="shared" si="15"/>
        <v>-20347.472288603269</v>
      </c>
      <c r="Q17" s="7">
        <f t="shared" si="16"/>
        <v>304286.64554940281</v>
      </c>
      <c r="W17" s="3">
        <v>10</v>
      </c>
      <c r="X17" s="7">
        <f t="shared" si="5"/>
        <v>-16291.083255231611</v>
      </c>
      <c r="Y17" s="7">
        <f t="shared" si="6"/>
        <v>-3443.3790902479086</v>
      </c>
      <c r="Z17" s="10">
        <f t="shared" si="7"/>
        <v>-12847.704164983701</v>
      </c>
      <c r="AA17" s="7">
        <f t="shared" si="17"/>
        <v>376968.79661779839</v>
      </c>
      <c r="AG17" s="3">
        <v>10</v>
      </c>
      <c r="AH17" s="7">
        <f t="shared" si="8"/>
        <v>-26951.743387800896</v>
      </c>
      <c r="AI17" s="7">
        <f t="shared" si="9"/>
        <v>-9388.9432417080989</v>
      </c>
      <c r="AJ17" s="7">
        <f t="shared" si="10"/>
        <v>-17562.800146092799</v>
      </c>
      <c r="AK17" s="7">
        <f t="shared" si="18"/>
        <v>832756.58778218774</v>
      </c>
      <c r="AQ17" s="3">
        <v>10</v>
      </c>
      <c r="AR17" s="7">
        <f t="shared" si="11"/>
        <v>-17399.521376485121</v>
      </c>
      <c r="AS17" s="7">
        <f t="shared" si="12"/>
        <v>-3907.7755029114169</v>
      </c>
      <c r="AT17" s="7">
        <f t="shared" si="13"/>
        <v>-13491.745873573704</v>
      </c>
      <c r="AU17" s="7">
        <f t="shared" si="19"/>
        <v>768063.35470870999</v>
      </c>
    </row>
    <row r="18" spans="1:47" x14ac:dyDescent="0.3">
      <c r="C18" s="3">
        <v>11</v>
      </c>
      <c r="D18" s="7">
        <f t="shared" si="0"/>
        <v>-8710.406314086038</v>
      </c>
      <c r="E18" s="7">
        <f t="shared" si="1"/>
        <v>-118.54420374968377</v>
      </c>
      <c r="F18" s="7">
        <f t="shared" si="2"/>
        <v>-8591.8621103363548</v>
      </c>
      <c r="G18" s="7">
        <f t="shared" si="14"/>
        <v>8650.9311623449212</v>
      </c>
      <c r="M18" s="3">
        <v>11</v>
      </c>
      <c r="N18" s="7">
        <f t="shared" si="3"/>
        <v>-23188.020819685822</v>
      </c>
      <c r="O18" s="7">
        <f t="shared" si="4"/>
        <v>-2662.5081485572737</v>
      </c>
      <c r="P18" s="7">
        <f t="shared" si="15"/>
        <v>-20525.512671128548</v>
      </c>
      <c r="Q18" s="7">
        <f t="shared" si="16"/>
        <v>283761.13287827425</v>
      </c>
      <c r="W18" s="3">
        <v>11</v>
      </c>
      <c r="X18" s="7">
        <f t="shared" si="5"/>
        <v>-16291.083255231611</v>
      </c>
      <c r="Y18" s="7">
        <f t="shared" si="6"/>
        <v>-3329.8910367905528</v>
      </c>
      <c r="Z18" s="10">
        <f t="shared" si="7"/>
        <v>-12961.19221844106</v>
      </c>
      <c r="AA18" s="7">
        <f t="shared" si="17"/>
        <v>364007.60439935734</v>
      </c>
      <c r="AG18" s="3">
        <v>11</v>
      </c>
      <c r="AH18" s="7">
        <f t="shared" si="8"/>
        <v>-26951.743387800896</v>
      </c>
      <c r="AI18" s="7">
        <f t="shared" si="9"/>
        <v>-9195.0206567616569</v>
      </c>
      <c r="AJ18" s="7">
        <f t="shared" si="10"/>
        <v>-17756.722731039237</v>
      </c>
      <c r="AK18" s="7">
        <f t="shared" si="18"/>
        <v>814999.86505114846</v>
      </c>
      <c r="AQ18" s="3">
        <v>11</v>
      </c>
      <c r="AR18" s="7">
        <f t="shared" si="11"/>
        <v>-17399.521376485121</v>
      </c>
      <c r="AS18" s="7">
        <f t="shared" si="12"/>
        <v>-3840.3167735435491</v>
      </c>
      <c r="AT18" s="7">
        <f t="shared" si="13"/>
        <v>-13559.204602941572</v>
      </c>
      <c r="AU18" s="7">
        <f t="shared" si="19"/>
        <v>754504.15010576847</v>
      </c>
    </row>
    <row r="19" spans="1:47" x14ac:dyDescent="0.3">
      <c r="C19" s="3">
        <v>12</v>
      </c>
      <c r="D19" s="7">
        <f t="shared" si="0"/>
        <v>-8710.406314086038</v>
      </c>
      <c r="E19" s="7">
        <f t="shared" si="1"/>
        <v>-59.475151741121309</v>
      </c>
      <c r="F19" s="7">
        <f t="shared" si="2"/>
        <v>-8650.9311623449175</v>
      </c>
      <c r="G19" s="7">
        <f t="shared" si="14"/>
        <v>0</v>
      </c>
      <c r="M19" s="3">
        <v>12</v>
      </c>
      <c r="N19" s="7">
        <f t="shared" si="3"/>
        <v>-23188.020819685822</v>
      </c>
      <c r="O19" s="7">
        <f t="shared" si="4"/>
        <v>-2482.9099126848996</v>
      </c>
      <c r="P19" s="7">
        <f t="shared" si="15"/>
        <v>-20705.110907000922</v>
      </c>
      <c r="Q19" s="7">
        <f t="shared" si="16"/>
        <v>263056.02197127335</v>
      </c>
      <c r="W19" s="3">
        <v>12</v>
      </c>
      <c r="X19" s="7">
        <f t="shared" si="5"/>
        <v>-16291.083255231611</v>
      </c>
      <c r="Y19" s="7">
        <f t="shared" si="6"/>
        <v>-3215.4005055276566</v>
      </c>
      <c r="Z19" s="10">
        <f t="shared" si="7"/>
        <v>-13075.682749703954</v>
      </c>
      <c r="AA19" s="7">
        <f t="shared" si="17"/>
        <v>350931.92164965341</v>
      </c>
      <c r="AG19" s="3">
        <v>12</v>
      </c>
      <c r="AH19" s="7">
        <f t="shared" si="8"/>
        <v>-26951.743387800896</v>
      </c>
      <c r="AI19" s="7">
        <f t="shared" si="9"/>
        <v>-8998.9568432730994</v>
      </c>
      <c r="AJ19" s="7">
        <f t="shared" si="10"/>
        <v>-17952.786544527797</v>
      </c>
      <c r="AK19" s="7">
        <f t="shared" si="18"/>
        <v>797047.07850662072</v>
      </c>
      <c r="AQ19" s="3">
        <v>12</v>
      </c>
      <c r="AR19" s="7">
        <f t="shared" si="11"/>
        <v>-17399.521376485121</v>
      </c>
      <c r="AS19" s="7">
        <f t="shared" si="12"/>
        <v>-3772.5207505288408</v>
      </c>
      <c r="AT19" s="7">
        <f t="shared" si="13"/>
        <v>-13627.000625956282</v>
      </c>
      <c r="AU19" s="7">
        <f t="shared" si="19"/>
        <v>740877.14947981213</v>
      </c>
    </row>
    <row r="20" spans="1:47" x14ac:dyDescent="0.3">
      <c r="E20" s="8">
        <f>SUM(E8:E19)</f>
        <v>-4524.8757690324737</v>
      </c>
      <c r="F20" s="8">
        <f>SUM(F8:F19)</f>
        <v>-100000</v>
      </c>
      <c r="M20" s="3">
        <v>13</v>
      </c>
      <c r="N20" s="7">
        <f t="shared" si="3"/>
        <v>-23188.020819685822</v>
      </c>
      <c r="O20" s="7">
        <f t="shared" si="4"/>
        <v>-2301.7401922486411</v>
      </c>
      <c r="P20" s="7">
        <f t="shared" si="15"/>
        <v>-20886.280627437183</v>
      </c>
      <c r="Q20" s="7">
        <f t="shared" si="16"/>
        <v>242169.74134383618</v>
      </c>
      <c r="W20" s="3">
        <v>13</v>
      </c>
      <c r="X20" s="7">
        <f t="shared" si="5"/>
        <v>-16291.083255231611</v>
      </c>
      <c r="Y20" s="7">
        <f t="shared" si="6"/>
        <v>-3099.8986412386057</v>
      </c>
      <c r="Z20" s="10">
        <f t="shared" si="7"/>
        <v>-13191.184613993006</v>
      </c>
      <c r="AA20" s="7">
        <f t="shared" si="17"/>
        <v>337740.73703566042</v>
      </c>
      <c r="AG20" s="3">
        <v>13</v>
      </c>
      <c r="AH20" s="7">
        <f t="shared" si="8"/>
        <v>-26951.743387800896</v>
      </c>
      <c r="AI20" s="7">
        <f t="shared" si="9"/>
        <v>-8800.7281585106048</v>
      </c>
      <c r="AJ20" s="7">
        <f t="shared" si="10"/>
        <v>-18151.015229290289</v>
      </c>
      <c r="AK20" s="7">
        <f t="shared" si="18"/>
        <v>778896.06327733048</v>
      </c>
      <c r="AQ20" s="3">
        <v>13</v>
      </c>
      <c r="AR20" s="7">
        <f t="shared" si="11"/>
        <v>-17399.521376485121</v>
      </c>
      <c r="AS20" s="7">
        <f t="shared" si="12"/>
        <v>-3704.3857473990602</v>
      </c>
      <c r="AT20" s="7">
        <f t="shared" si="13"/>
        <v>-13695.135629086062</v>
      </c>
      <c r="AU20" s="7">
        <f t="shared" si="19"/>
        <v>727182.01385072607</v>
      </c>
    </row>
    <row r="21" spans="1:47" x14ac:dyDescent="0.3">
      <c r="A21" s="53"/>
      <c r="B21" s="53"/>
      <c r="C21" s="53"/>
      <c r="D21" s="53"/>
      <c r="E21" s="60"/>
      <c r="F21" s="60"/>
      <c r="G21" s="53"/>
      <c r="M21" s="3">
        <v>14</v>
      </c>
      <c r="N21" s="7">
        <f t="shared" si="3"/>
        <v>-23188.020819685822</v>
      </c>
      <c r="O21" s="7">
        <f t="shared" si="4"/>
        <v>-2118.9852367585659</v>
      </c>
      <c r="P21" s="7">
        <f t="shared" si="15"/>
        <v>-21069.035582927256</v>
      </c>
      <c r="Q21" s="7">
        <f t="shared" si="16"/>
        <v>221100.70576090892</v>
      </c>
      <c r="W21" s="3">
        <v>14</v>
      </c>
      <c r="X21" s="7">
        <f t="shared" si="5"/>
        <v>-16291.083255231611</v>
      </c>
      <c r="Y21" s="7">
        <f t="shared" si="6"/>
        <v>-2983.3765104816675</v>
      </c>
      <c r="Z21" s="10">
        <f t="shared" si="7"/>
        <v>-13307.706744749945</v>
      </c>
      <c r="AA21" s="7">
        <f t="shared" si="17"/>
        <v>324433.03029091045</v>
      </c>
      <c r="AG21" s="3">
        <v>14</v>
      </c>
      <c r="AH21" s="7">
        <f t="shared" si="8"/>
        <v>-26951.743387800896</v>
      </c>
      <c r="AI21" s="7">
        <f t="shared" si="9"/>
        <v>-8600.3106986871917</v>
      </c>
      <c r="AJ21" s="7">
        <f t="shared" si="10"/>
        <v>-18351.432689113703</v>
      </c>
      <c r="AK21" s="7">
        <f t="shared" si="18"/>
        <v>760544.63058821682</v>
      </c>
      <c r="AQ21" s="3">
        <v>14</v>
      </c>
      <c r="AR21" s="7">
        <f t="shared" si="11"/>
        <v>-17399.521376485121</v>
      </c>
      <c r="AS21" s="7">
        <f t="shared" si="12"/>
        <v>-3635.9100692536294</v>
      </c>
      <c r="AT21" s="7">
        <f t="shared" si="13"/>
        <v>-13763.611307231493</v>
      </c>
      <c r="AU21" s="7">
        <f t="shared" si="19"/>
        <v>713418.40254349459</v>
      </c>
    </row>
    <row r="22" spans="1:47" x14ac:dyDescent="0.3">
      <c r="A22" s="61"/>
      <c r="B22" s="61"/>
      <c r="C22" s="61"/>
      <c r="D22" s="61"/>
      <c r="E22" s="61"/>
      <c r="F22" s="61"/>
      <c r="G22" s="61"/>
      <c r="M22" s="3">
        <v>15</v>
      </c>
      <c r="N22" s="7">
        <f t="shared" si="3"/>
        <v>-23188.020819685822</v>
      </c>
      <c r="O22" s="7">
        <f t="shared" si="4"/>
        <v>-1934.6311754079527</v>
      </c>
      <c r="P22" s="7">
        <f t="shared" si="15"/>
        <v>-21253.389644277871</v>
      </c>
      <c r="Q22" s="7">
        <f t="shared" si="16"/>
        <v>199847.31611663106</v>
      </c>
      <c r="W22" s="3">
        <v>15</v>
      </c>
      <c r="X22" s="7">
        <f t="shared" si="5"/>
        <v>-16291.083255231611</v>
      </c>
      <c r="Y22" s="7">
        <f t="shared" si="6"/>
        <v>-2865.8251009030428</v>
      </c>
      <c r="Z22" s="10">
        <f t="shared" si="7"/>
        <v>-13425.258154328569</v>
      </c>
      <c r="AA22" s="7">
        <f t="shared" si="17"/>
        <v>311007.77213658189</v>
      </c>
      <c r="AG22" s="3">
        <v>15</v>
      </c>
      <c r="AH22" s="7">
        <f t="shared" si="8"/>
        <v>-26951.743387800896</v>
      </c>
      <c r="AI22" s="7">
        <f t="shared" si="9"/>
        <v>-8397.6802960782279</v>
      </c>
      <c r="AJ22" s="7">
        <f t="shared" si="10"/>
        <v>-18554.063091722666</v>
      </c>
      <c r="AK22" s="7">
        <f t="shared" si="18"/>
        <v>741990.56749649416</v>
      </c>
      <c r="AQ22" s="3">
        <v>15</v>
      </c>
      <c r="AR22" s="7">
        <f t="shared" si="11"/>
        <v>-17399.521376485121</v>
      </c>
      <c r="AS22" s="7">
        <f t="shared" si="12"/>
        <v>-3567.0920127174713</v>
      </c>
      <c r="AT22" s="7">
        <f t="shared" si="13"/>
        <v>-13832.429363767649</v>
      </c>
      <c r="AU22" s="7">
        <f t="shared" si="19"/>
        <v>699585.97317972698</v>
      </c>
    </row>
    <row r="23" spans="1:47" x14ac:dyDescent="0.3">
      <c r="M23" s="3">
        <v>16</v>
      </c>
      <c r="N23" s="7">
        <f t="shared" si="3"/>
        <v>-23188.020819685822</v>
      </c>
      <c r="O23" s="7">
        <f t="shared" si="4"/>
        <v>-1748.6640160205211</v>
      </c>
      <c r="P23" s="7">
        <f t="shared" si="15"/>
        <v>-21439.356803665301</v>
      </c>
      <c r="Q23" s="7">
        <f t="shared" si="16"/>
        <v>178407.95931296574</v>
      </c>
      <c r="W23" s="3">
        <v>16</v>
      </c>
      <c r="X23" s="7">
        <f t="shared" si="5"/>
        <v>-16291.083255231611</v>
      </c>
      <c r="Y23" s="7">
        <f t="shared" si="6"/>
        <v>-2747.2353205398072</v>
      </c>
      <c r="Z23" s="10">
        <f t="shared" si="7"/>
        <v>-13543.847934691805</v>
      </c>
      <c r="AA23" s="7">
        <f t="shared" si="17"/>
        <v>297463.92420189007</v>
      </c>
      <c r="AG23" s="3">
        <v>16</v>
      </c>
      <c r="AH23" s="7">
        <f t="shared" si="8"/>
        <v>-26951.743387800896</v>
      </c>
      <c r="AI23" s="7">
        <f t="shared" si="9"/>
        <v>-8192.8125161071221</v>
      </c>
      <c r="AJ23" s="7">
        <f t="shared" si="10"/>
        <v>-18758.930871693774</v>
      </c>
      <c r="AK23" s="7">
        <f t="shared" si="18"/>
        <v>723231.63662480039</v>
      </c>
      <c r="AQ23" s="3">
        <v>16</v>
      </c>
      <c r="AR23" s="7">
        <f t="shared" si="11"/>
        <v>-17399.521376485121</v>
      </c>
      <c r="AS23" s="7">
        <f t="shared" si="12"/>
        <v>-3497.9298658986336</v>
      </c>
      <c r="AT23" s="7">
        <f t="shared" si="13"/>
        <v>-13901.591510586488</v>
      </c>
      <c r="AU23" s="7">
        <f t="shared" si="19"/>
        <v>685684.38166914054</v>
      </c>
    </row>
    <row r="24" spans="1:47" x14ac:dyDescent="0.3">
      <c r="A24" s="5" t="s">
        <v>71</v>
      </c>
      <c r="B24" s="6">
        <v>8.2500000000000004E-2</v>
      </c>
      <c r="C24" s="125" t="s">
        <v>333</v>
      </c>
      <c r="D24" s="125"/>
      <c r="E24" s="125"/>
      <c r="F24" s="125"/>
      <c r="G24" s="125"/>
      <c r="M24" s="3">
        <v>17</v>
      </c>
      <c r="N24" s="7">
        <f t="shared" si="3"/>
        <v>-23188.020819685822</v>
      </c>
      <c r="O24" s="7">
        <f t="shared" si="4"/>
        <v>-1561.0696439884496</v>
      </c>
      <c r="P24" s="7">
        <f t="shared" si="15"/>
        <v>-21626.951175697373</v>
      </c>
      <c r="Q24" s="7">
        <f t="shared" si="16"/>
        <v>156781.00813726836</v>
      </c>
      <c r="W24" s="3">
        <v>17</v>
      </c>
      <c r="X24" s="7">
        <f t="shared" si="5"/>
        <v>-16291.083255231611</v>
      </c>
      <c r="Y24" s="7">
        <f t="shared" si="6"/>
        <v>-2627.5979971166962</v>
      </c>
      <c r="Z24" s="10">
        <f t="shared" si="7"/>
        <v>-13663.485258114915</v>
      </c>
      <c r="AA24" s="7">
        <f t="shared" si="17"/>
        <v>283800.43894377514</v>
      </c>
      <c r="AG24" s="3">
        <v>17</v>
      </c>
      <c r="AH24" s="7">
        <f t="shared" si="8"/>
        <v>-26951.743387800896</v>
      </c>
      <c r="AI24" s="7">
        <f t="shared" si="9"/>
        <v>-7985.6826543988373</v>
      </c>
      <c r="AJ24" s="7">
        <f t="shared" si="10"/>
        <v>-18966.060733402057</v>
      </c>
      <c r="AK24" s="7">
        <f t="shared" si="18"/>
        <v>704265.57589139836</v>
      </c>
      <c r="AQ24" s="3">
        <v>17</v>
      </c>
      <c r="AR24" s="7">
        <f t="shared" si="11"/>
        <v>-17399.521376485121</v>
      </c>
      <c r="AS24" s="7">
        <f t="shared" si="12"/>
        <v>-3428.421908345701</v>
      </c>
      <c r="AT24" s="7">
        <f t="shared" si="13"/>
        <v>-13971.09946813942</v>
      </c>
      <c r="AU24" s="7">
        <f t="shared" si="19"/>
        <v>671713.28220100107</v>
      </c>
    </row>
    <row r="25" spans="1:47" x14ac:dyDescent="0.3">
      <c r="A25" s="5" t="s">
        <v>72</v>
      </c>
      <c r="B25" s="5">
        <v>1</v>
      </c>
      <c r="M25" s="3">
        <v>18</v>
      </c>
      <c r="N25" s="7">
        <f t="shared" si="3"/>
        <v>-23188.020819685822</v>
      </c>
      <c r="O25" s="7">
        <f t="shared" si="4"/>
        <v>-1371.8338212010979</v>
      </c>
      <c r="P25" s="7">
        <f t="shared" si="15"/>
        <v>-21816.186998484729</v>
      </c>
      <c r="Q25" s="7">
        <f t="shared" si="16"/>
        <v>134964.82113878365</v>
      </c>
      <c r="W25" s="3">
        <v>18</v>
      </c>
      <c r="X25" s="7">
        <f t="shared" si="5"/>
        <v>-16291.083255231611</v>
      </c>
      <c r="Y25" s="7">
        <f t="shared" si="6"/>
        <v>-2506.903877336681</v>
      </c>
      <c r="Z25" s="10">
        <f t="shared" si="7"/>
        <v>-13784.179377894929</v>
      </c>
      <c r="AA25" s="7">
        <f t="shared" si="17"/>
        <v>270016.25956588023</v>
      </c>
      <c r="AG25" s="3">
        <v>18</v>
      </c>
      <c r="AH25" s="7">
        <f t="shared" si="8"/>
        <v>-26951.743387800896</v>
      </c>
      <c r="AI25" s="7">
        <f t="shared" si="9"/>
        <v>-7776.2657338008567</v>
      </c>
      <c r="AJ25" s="7">
        <f t="shared" si="10"/>
        <v>-19175.477654000035</v>
      </c>
      <c r="AK25" s="7">
        <f t="shared" si="18"/>
        <v>685090.09823739831</v>
      </c>
      <c r="AQ25" s="3">
        <v>18</v>
      </c>
      <c r="AR25" s="7">
        <f t="shared" si="11"/>
        <v>-17399.521376485121</v>
      </c>
      <c r="AS25" s="7">
        <f t="shared" si="12"/>
        <v>-3358.5664110050043</v>
      </c>
      <c r="AT25" s="7">
        <f t="shared" si="13"/>
        <v>-14040.954965480118</v>
      </c>
      <c r="AU25" s="7">
        <f t="shared" si="19"/>
        <v>657672.32723552093</v>
      </c>
    </row>
    <row r="26" spans="1:47" x14ac:dyDescent="0.3">
      <c r="A26" s="5" t="s">
        <v>73</v>
      </c>
      <c r="B26" s="5">
        <v>100000</v>
      </c>
      <c r="M26" s="3">
        <v>19</v>
      </c>
      <c r="N26" s="7">
        <f t="shared" si="3"/>
        <v>-23188.020819685822</v>
      </c>
      <c r="O26" s="7">
        <f t="shared" si="4"/>
        <v>-1180.9421849643566</v>
      </c>
      <c r="P26" s="7">
        <f t="shared" si="15"/>
        <v>-22007.078634721463</v>
      </c>
      <c r="Q26" s="7">
        <f t="shared" si="16"/>
        <v>112957.74250406219</v>
      </c>
      <c r="W26" s="3">
        <v>19</v>
      </c>
      <c r="X26" s="7">
        <f t="shared" si="5"/>
        <v>-16291.083255231611</v>
      </c>
      <c r="Y26" s="7">
        <f t="shared" si="6"/>
        <v>-2385.1436261652752</v>
      </c>
      <c r="Z26" s="10">
        <f t="shared" si="7"/>
        <v>-13905.939629066335</v>
      </c>
      <c r="AA26" s="7">
        <f t="shared" si="17"/>
        <v>256110.3199368139</v>
      </c>
      <c r="AG26" s="3">
        <v>19</v>
      </c>
      <c r="AH26" s="7">
        <f t="shared" si="8"/>
        <v>-26951.743387800896</v>
      </c>
      <c r="AI26" s="7">
        <f t="shared" si="9"/>
        <v>-7564.5365013712726</v>
      </c>
      <c r="AJ26" s="7">
        <f t="shared" si="10"/>
        <v>-19387.206886429623</v>
      </c>
      <c r="AK26" s="7">
        <f t="shared" si="18"/>
        <v>665702.89135096874</v>
      </c>
      <c r="AQ26" s="3">
        <v>19</v>
      </c>
      <c r="AR26" s="7">
        <f t="shared" si="11"/>
        <v>-17399.521376485121</v>
      </c>
      <c r="AS26" s="7">
        <f t="shared" si="12"/>
        <v>-3288.3616361776035</v>
      </c>
      <c r="AT26" s="7">
        <f t="shared" si="13"/>
        <v>-14111.159740307519</v>
      </c>
      <c r="AU26" s="7">
        <f t="shared" si="19"/>
        <v>643561.16749521345</v>
      </c>
    </row>
    <row r="27" spans="1:47" x14ac:dyDescent="0.3">
      <c r="F27" s="7"/>
      <c r="M27" s="3">
        <v>20</v>
      </c>
      <c r="N27" s="7">
        <f t="shared" si="3"/>
        <v>-23188.020819685822</v>
      </c>
      <c r="O27" s="7">
        <f t="shared" si="4"/>
        <v>-988.38024691054397</v>
      </c>
      <c r="P27" s="7">
        <f t="shared" si="15"/>
        <v>-22199.640572775279</v>
      </c>
      <c r="Q27" s="7">
        <f t="shared" si="16"/>
        <v>90758.101931286918</v>
      </c>
      <c r="W27" s="3">
        <v>20</v>
      </c>
      <c r="X27" s="7">
        <f t="shared" si="5"/>
        <v>-16291.083255231611</v>
      </c>
      <c r="Y27" s="7">
        <f t="shared" si="6"/>
        <v>-2262.3078261085229</v>
      </c>
      <c r="Z27" s="10">
        <f t="shared" si="7"/>
        <v>-14028.775429123087</v>
      </c>
      <c r="AA27" s="7">
        <f t="shared" si="17"/>
        <v>242081.54450769082</v>
      </c>
      <c r="AG27" s="3">
        <v>20</v>
      </c>
      <c r="AH27" s="7">
        <f t="shared" si="8"/>
        <v>-26951.743387800896</v>
      </c>
      <c r="AI27" s="7">
        <f t="shared" si="9"/>
        <v>-7350.4694253336129</v>
      </c>
      <c r="AJ27" s="7">
        <f t="shared" si="10"/>
        <v>-19601.273962467283</v>
      </c>
      <c r="AK27" s="7">
        <f t="shared" si="18"/>
        <v>646101.61738850141</v>
      </c>
      <c r="AQ27" s="3">
        <v>20</v>
      </c>
      <c r="AR27" s="7">
        <f t="shared" si="11"/>
        <v>-17399.521376485121</v>
      </c>
      <c r="AS27" s="7">
        <f t="shared" si="12"/>
        <v>-3217.8058374760658</v>
      </c>
      <c r="AT27" s="7">
        <f t="shared" si="13"/>
        <v>-14181.715539009057</v>
      </c>
      <c r="AU27" s="7">
        <f t="shared" si="19"/>
        <v>629379.45195620437</v>
      </c>
    </row>
    <row r="28" spans="1:47" x14ac:dyDescent="0.3">
      <c r="C28" s="5" t="s">
        <v>74</v>
      </c>
      <c r="D28" s="5" t="s">
        <v>75</v>
      </c>
      <c r="E28" s="5" t="s">
        <v>76</v>
      </c>
      <c r="F28" s="5" t="s">
        <v>77</v>
      </c>
      <c r="G28" s="5" t="s">
        <v>78</v>
      </c>
      <c r="M28" s="3">
        <v>21</v>
      </c>
      <c r="N28" s="7">
        <f t="shared" si="3"/>
        <v>-23188.020819685822</v>
      </c>
      <c r="O28" s="7">
        <f t="shared" si="4"/>
        <v>-794.13339189876001</v>
      </c>
      <c r="P28" s="7">
        <f t="shared" si="15"/>
        <v>-22393.88742778706</v>
      </c>
      <c r="Q28" s="7">
        <f t="shared" si="16"/>
        <v>68364.214503499854</v>
      </c>
      <c r="W28" s="3">
        <v>21</v>
      </c>
      <c r="X28" s="7">
        <f t="shared" si="5"/>
        <v>-16291.083255231611</v>
      </c>
      <c r="Y28" s="7">
        <f t="shared" si="6"/>
        <v>-2138.3869764846027</v>
      </c>
      <c r="Z28" s="10">
        <f t="shared" si="7"/>
        <v>-14152.696278747007</v>
      </c>
      <c r="AA28" s="7">
        <f t="shared" si="17"/>
        <v>227928.84822894383</v>
      </c>
      <c r="AG28" s="3">
        <v>21</v>
      </c>
      <c r="AH28" s="7">
        <f t="shared" si="8"/>
        <v>-26951.743387800896</v>
      </c>
      <c r="AI28" s="7">
        <f t="shared" si="9"/>
        <v>-7134.0386919980365</v>
      </c>
      <c r="AJ28" s="7">
        <f t="shared" si="10"/>
        <v>-19817.704695802859</v>
      </c>
      <c r="AK28" s="7">
        <f t="shared" si="18"/>
        <v>626283.91269269853</v>
      </c>
      <c r="AQ28" s="3">
        <v>21</v>
      </c>
      <c r="AR28" s="7">
        <f t="shared" si="11"/>
        <v>-17399.521376485121</v>
      </c>
      <c r="AS28" s="7">
        <f t="shared" si="12"/>
        <v>-3146.8972597810202</v>
      </c>
      <c r="AT28" s="7">
        <f t="shared" si="13"/>
        <v>-14252.624116704101</v>
      </c>
      <c r="AU28" s="7">
        <f t="shared" si="19"/>
        <v>615126.82783950027</v>
      </c>
    </row>
    <row r="29" spans="1:47" x14ac:dyDescent="0.3">
      <c r="C29" s="53">
        <v>1</v>
      </c>
      <c r="D29" s="7">
        <f t="shared" ref="D29:D40" si="20">PMT($B$24/12,$B$25*12,$B$26)</f>
        <v>-8710.406314086038</v>
      </c>
      <c r="E29" s="7">
        <f>IPMT($B$24/12,C29,$B$25*12,$B$26)</f>
        <v>-687.49999999999989</v>
      </c>
      <c r="F29" s="7">
        <f>PPMT($B$24/12,C29,$B$25*12,$B$26)</f>
        <v>-8022.9063140860389</v>
      </c>
      <c r="G29" s="7">
        <f>B26+F29</f>
        <v>91977.093685913962</v>
      </c>
      <c r="M29" s="3">
        <v>22</v>
      </c>
      <c r="N29" s="7">
        <f t="shared" si="3"/>
        <v>-23188.020819685822</v>
      </c>
      <c r="O29" s="7">
        <f t="shared" si="4"/>
        <v>-598.18687690562342</v>
      </c>
      <c r="P29" s="7">
        <f t="shared" si="15"/>
        <v>-22589.833942780198</v>
      </c>
      <c r="Q29" s="7">
        <f t="shared" si="16"/>
        <v>45774.380560719655</v>
      </c>
      <c r="W29" s="3">
        <v>22</v>
      </c>
      <c r="X29" s="7">
        <f t="shared" si="5"/>
        <v>-16291.083255231611</v>
      </c>
      <c r="Y29" s="7">
        <f t="shared" si="6"/>
        <v>-2013.3714926890041</v>
      </c>
      <c r="Z29" s="10">
        <f t="shared" si="7"/>
        <v>-14277.711762542607</v>
      </c>
      <c r="AA29" s="7">
        <f t="shared" si="17"/>
        <v>213651.13646640122</v>
      </c>
      <c r="AG29" s="3">
        <v>22</v>
      </c>
      <c r="AH29" s="7">
        <f t="shared" si="8"/>
        <v>-26951.743387800896</v>
      </c>
      <c r="AI29" s="7">
        <f t="shared" si="9"/>
        <v>-6915.2182026485461</v>
      </c>
      <c r="AJ29" s="7">
        <f t="shared" si="10"/>
        <v>-20036.52518515235</v>
      </c>
      <c r="AK29" s="7">
        <f t="shared" si="18"/>
        <v>606247.38750754623</v>
      </c>
      <c r="AQ29" s="3">
        <v>22</v>
      </c>
      <c r="AR29" s="7">
        <f t="shared" si="11"/>
        <v>-17399.521376485121</v>
      </c>
      <c r="AS29" s="7">
        <f t="shared" si="12"/>
        <v>-3075.6341391974997</v>
      </c>
      <c r="AT29" s="7">
        <f t="shared" si="13"/>
        <v>-14323.887237287623</v>
      </c>
      <c r="AU29" s="7">
        <f t="shared" si="19"/>
        <v>600802.94060221268</v>
      </c>
    </row>
    <row r="30" spans="1:47" x14ac:dyDescent="0.3">
      <c r="C30" s="53">
        <v>2</v>
      </c>
      <c r="D30" s="7">
        <f t="shared" si="20"/>
        <v>-8710.406314086038</v>
      </c>
      <c r="E30" s="7">
        <f t="shared" ref="E30:E40" si="21">IPMT($B$24/12,C30,$B$25*12,$B$26)</f>
        <v>-632.34251909065836</v>
      </c>
      <c r="F30" s="7">
        <f t="shared" ref="F30:F40" si="22">PPMT($B$24/12,C30,$B$25*12,$B$26)</f>
        <v>-8078.0637949953798</v>
      </c>
      <c r="G30" s="7">
        <f>F30+G29</f>
        <v>83899.02989091858</v>
      </c>
      <c r="M30" s="3">
        <v>23</v>
      </c>
      <c r="N30" s="7">
        <f t="shared" si="3"/>
        <v>-23188.020819685822</v>
      </c>
      <c r="O30" s="7">
        <f t="shared" si="4"/>
        <v>-400.52582990629662</v>
      </c>
      <c r="P30" s="7">
        <f t="shared" si="15"/>
        <v>-22787.494989779527</v>
      </c>
      <c r="Q30" s="7">
        <f t="shared" si="16"/>
        <v>22986.885570940129</v>
      </c>
      <c r="W30" s="3">
        <v>23</v>
      </c>
      <c r="X30" s="7">
        <f t="shared" si="5"/>
        <v>-16291.083255231611</v>
      </c>
      <c r="Y30" s="7">
        <f t="shared" si="6"/>
        <v>-1887.2517054532111</v>
      </c>
      <c r="Z30" s="10">
        <f t="shared" si="7"/>
        <v>-14403.831549778401</v>
      </c>
      <c r="AA30" s="7">
        <f t="shared" si="17"/>
        <v>199247.30491662282</v>
      </c>
      <c r="AG30" s="3">
        <v>23</v>
      </c>
      <c r="AH30" s="7">
        <f t="shared" si="8"/>
        <v>-26951.743387800896</v>
      </c>
      <c r="AI30" s="7">
        <f t="shared" si="9"/>
        <v>-6693.9815703958229</v>
      </c>
      <c r="AJ30" s="7">
        <f t="shared" si="10"/>
        <v>-20257.761817405073</v>
      </c>
      <c r="AK30" s="7">
        <f t="shared" si="18"/>
        <v>585989.62569014111</v>
      </c>
      <c r="AQ30" s="3">
        <v>23</v>
      </c>
      <c r="AR30" s="7">
        <f t="shared" si="11"/>
        <v>-17399.521376485121</v>
      </c>
      <c r="AS30" s="7">
        <f t="shared" si="12"/>
        <v>-3004.0147030110616</v>
      </c>
      <c r="AT30" s="7">
        <f t="shared" si="13"/>
        <v>-14395.506673474061</v>
      </c>
      <c r="AU30" s="7">
        <f t="shared" si="19"/>
        <v>586407.43392873858</v>
      </c>
    </row>
    <row r="31" spans="1:47" x14ac:dyDescent="0.3">
      <c r="C31" s="53">
        <v>3</v>
      </c>
      <c r="D31" s="7">
        <f t="shared" si="20"/>
        <v>-8710.406314086038</v>
      </c>
      <c r="E31" s="7">
        <f t="shared" si="21"/>
        <v>-576.80583050006521</v>
      </c>
      <c r="F31" s="7">
        <f t="shared" si="22"/>
        <v>-8133.6004835859749</v>
      </c>
      <c r="G31" s="7">
        <f t="shared" ref="G31:G40" si="23">F31+G30</f>
        <v>75765.429407332602</v>
      </c>
      <c r="M31" s="3">
        <v>24</v>
      </c>
      <c r="N31" s="7">
        <f t="shared" si="3"/>
        <v>-23188.020819685822</v>
      </c>
      <c r="O31" s="7">
        <f t="shared" si="4"/>
        <v>-201.13524874572582</v>
      </c>
      <c r="P31" s="7">
        <f t="shared" si="15"/>
        <v>-22986.885570940096</v>
      </c>
      <c r="Q31" s="7">
        <f t="shared" si="16"/>
        <v>3.2741809263825417E-11</v>
      </c>
      <c r="W31" s="3">
        <v>24</v>
      </c>
      <c r="X31" s="7">
        <f t="shared" si="5"/>
        <v>-16291.083255231611</v>
      </c>
      <c r="Y31" s="7">
        <f t="shared" si="6"/>
        <v>-1760.0178600968354</v>
      </c>
      <c r="Z31" s="10">
        <f t="shared" si="7"/>
        <v>-14531.065395134776</v>
      </c>
      <c r="AA31" s="7">
        <f t="shared" si="17"/>
        <v>184716.23952148805</v>
      </c>
      <c r="AG31" s="3">
        <v>24</v>
      </c>
      <c r="AH31" s="7">
        <f t="shared" si="8"/>
        <v>-26951.743387800896</v>
      </c>
      <c r="AI31" s="7">
        <f t="shared" si="9"/>
        <v>-6470.3021169953081</v>
      </c>
      <c r="AJ31" s="7">
        <f t="shared" si="10"/>
        <v>-20481.44127080559</v>
      </c>
      <c r="AK31" s="7">
        <f t="shared" si="18"/>
        <v>565508.18441933556</v>
      </c>
      <c r="AQ31" s="3">
        <v>24</v>
      </c>
      <c r="AR31" s="7">
        <f t="shared" si="11"/>
        <v>-17399.521376485121</v>
      </c>
      <c r="AS31" s="7">
        <f t="shared" si="12"/>
        <v>-2932.0371696436914</v>
      </c>
      <c r="AT31" s="7">
        <f t="shared" si="13"/>
        <v>-14467.484206841433</v>
      </c>
      <c r="AU31" s="7">
        <f t="shared" si="19"/>
        <v>571939.94972189714</v>
      </c>
    </row>
    <row r="32" spans="1:47" x14ac:dyDescent="0.3">
      <c r="C32" s="53">
        <v>4</v>
      </c>
      <c r="D32" s="7">
        <f t="shared" si="20"/>
        <v>-8710.406314086038</v>
      </c>
      <c r="E32" s="7">
        <f t="shared" si="21"/>
        <v>-520.88732717541166</v>
      </c>
      <c r="F32" s="7">
        <f t="shared" si="22"/>
        <v>-8189.5189869106271</v>
      </c>
      <c r="G32" s="7">
        <f t="shared" si="23"/>
        <v>67575.910420421977</v>
      </c>
      <c r="O32" s="8">
        <f>SUM(O8:O31)</f>
        <v>-56512.499672459657</v>
      </c>
      <c r="P32" s="8">
        <f>SUM(P8:P31)</f>
        <v>-500000.00000000012</v>
      </c>
      <c r="W32" s="3">
        <v>25</v>
      </c>
      <c r="X32" s="7">
        <f t="shared" si="5"/>
        <v>-16291.083255231611</v>
      </c>
      <c r="Y32" s="7">
        <f t="shared" si="6"/>
        <v>-1631.6601157731448</v>
      </c>
      <c r="Z32" s="10">
        <f t="shared" si="7"/>
        <v>-14659.423139458466</v>
      </c>
      <c r="AA32" s="7">
        <f t="shared" si="17"/>
        <v>170056.81638202959</v>
      </c>
      <c r="AG32" s="3">
        <v>25</v>
      </c>
      <c r="AH32" s="7">
        <f t="shared" si="8"/>
        <v>-26951.743387800896</v>
      </c>
      <c r="AI32" s="7">
        <f t="shared" si="9"/>
        <v>-6244.1528696301639</v>
      </c>
      <c r="AJ32" s="7">
        <f t="shared" si="10"/>
        <v>-20707.590518170728</v>
      </c>
      <c r="AK32" s="7">
        <f t="shared" si="18"/>
        <v>544800.59390116483</v>
      </c>
      <c r="AQ32" s="3">
        <v>25</v>
      </c>
      <c r="AR32" s="7">
        <f t="shared" si="11"/>
        <v>-17399.521376485121</v>
      </c>
      <c r="AS32" s="7">
        <f t="shared" si="12"/>
        <v>-2859.6997486094847</v>
      </c>
      <c r="AT32" s="7">
        <f t="shared" si="13"/>
        <v>-14539.821627875637</v>
      </c>
      <c r="AU32" s="7">
        <f t="shared" si="19"/>
        <v>557400.12809402146</v>
      </c>
    </row>
    <row r="33" spans="3:47" x14ac:dyDescent="0.3">
      <c r="C33" s="53">
        <v>5</v>
      </c>
      <c r="D33" s="7">
        <f t="shared" si="20"/>
        <v>-8710.406314086038</v>
      </c>
      <c r="E33" s="7">
        <f t="shared" si="21"/>
        <v>-464.58438414040108</v>
      </c>
      <c r="F33" s="7">
        <f t="shared" si="22"/>
        <v>-8245.8219299456377</v>
      </c>
      <c r="G33" s="7">
        <f t="shared" si="23"/>
        <v>59330.088490476337</v>
      </c>
      <c r="W33" s="3">
        <v>26</v>
      </c>
      <c r="X33" s="7">
        <f t="shared" si="5"/>
        <v>-16291.083255231611</v>
      </c>
      <c r="Y33" s="7">
        <f t="shared" si="6"/>
        <v>-1502.1685447079285</v>
      </c>
      <c r="Z33" s="10">
        <f t="shared" si="7"/>
        <v>-14788.914710523683</v>
      </c>
      <c r="AA33" s="7">
        <f t="shared" si="17"/>
        <v>155267.90167150591</v>
      </c>
      <c r="AG33" s="3">
        <v>26</v>
      </c>
      <c r="AH33" s="7">
        <f t="shared" si="8"/>
        <v>-26951.743387800896</v>
      </c>
      <c r="AI33" s="7">
        <f t="shared" si="9"/>
        <v>-6015.506557658694</v>
      </c>
      <c r="AJ33" s="7">
        <f t="shared" si="10"/>
        <v>-20936.236830142199</v>
      </c>
      <c r="AK33" s="7">
        <f t="shared" si="18"/>
        <v>523864.35707102262</v>
      </c>
      <c r="AQ33" s="3">
        <v>26</v>
      </c>
      <c r="AR33" s="7">
        <f t="shared" si="11"/>
        <v>-17399.521376485121</v>
      </c>
      <c r="AS33" s="7">
        <f t="shared" si="12"/>
        <v>-2787.0006404701062</v>
      </c>
      <c r="AT33" s="7">
        <f t="shared" si="13"/>
        <v>-14612.520736015016</v>
      </c>
      <c r="AU33" s="7">
        <f t="shared" si="19"/>
        <v>542787.60735800641</v>
      </c>
    </row>
    <row r="34" spans="3:47" x14ac:dyDescent="0.3">
      <c r="C34" s="53">
        <v>6</v>
      </c>
      <c r="D34" s="7">
        <f t="shared" si="20"/>
        <v>-8710.406314086038</v>
      </c>
      <c r="E34" s="7">
        <f t="shared" si="21"/>
        <v>-407.89435837202484</v>
      </c>
      <c r="F34" s="7">
        <f t="shared" si="22"/>
        <v>-8302.5119557140133</v>
      </c>
      <c r="G34" s="7">
        <f t="shared" si="23"/>
        <v>51027.576534762324</v>
      </c>
      <c r="W34" s="3">
        <v>27</v>
      </c>
      <c r="X34" s="7">
        <f t="shared" si="5"/>
        <v>-16291.083255231611</v>
      </c>
      <c r="Y34" s="7">
        <f t="shared" si="6"/>
        <v>-1371.5331314316356</v>
      </c>
      <c r="Z34" s="10">
        <f t="shared" si="7"/>
        <v>-14919.550123799976</v>
      </c>
      <c r="AA34" s="7">
        <f t="shared" si="17"/>
        <v>140348.35154770594</v>
      </c>
      <c r="AG34" s="3">
        <v>27</v>
      </c>
      <c r="AH34" s="7">
        <f t="shared" si="8"/>
        <v>-26951.743387800896</v>
      </c>
      <c r="AI34" s="7">
        <f t="shared" si="9"/>
        <v>-5784.3356093258744</v>
      </c>
      <c r="AJ34" s="7">
        <f t="shared" si="10"/>
        <v>-21167.407778475019</v>
      </c>
      <c r="AK34" s="7">
        <f t="shared" si="18"/>
        <v>502696.94929254759</v>
      </c>
      <c r="AQ34" s="3">
        <v>27</v>
      </c>
      <c r="AR34" s="7">
        <f t="shared" si="11"/>
        <v>-17399.521376485121</v>
      </c>
      <c r="AS34" s="7">
        <f t="shared" si="12"/>
        <v>-2713.9380367900308</v>
      </c>
      <c r="AT34" s="7">
        <f t="shared" si="13"/>
        <v>-14685.583339695091</v>
      </c>
      <c r="AU34" s="7">
        <f t="shared" si="19"/>
        <v>528102.02401831129</v>
      </c>
    </row>
    <row r="35" spans="3:47" x14ac:dyDescent="0.3">
      <c r="C35" s="53">
        <v>7</v>
      </c>
      <c r="D35" s="7">
        <f t="shared" si="20"/>
        <v>-8710.406314086038</v>
      </c>
      <c r="E35" s="7">
        <f t="shared" si="21"/>
        <v>-350.81458867649098</v>
      </c>
      <c r="F35" s="7">
        <f t="shared" si="22"/>
        <v>-8359.5917254095475</v>
      </c>
      <c r="G35" s="7">
        <f t="shared" si="23"/>
        <v>42667.984809352776</v>
      </c>
      <c r="W35" s="3">
        <v>28</v>
      </c>
      <c r="X35" s="7">
        <f t="shared" si="5"/>
        <v>-16291.083255231611</v>
      </c>
      <c r="Y35" s="7">
        <f t="shared" si="6"/>
        <v>-1239.7437720047358</v>
      </c>
      <c r="Z35" s="10">
        <f t="shared" si="7"/>
        <v>-15051.339483226875</v>
      </c>
      <c r="AA35" s="7">
        <f t="shared" si="17"/>
        <v>125297.01206447906</v>
      </c>
      <c r="AG35" s="3">
        <v>28</v>
      </c>
      <c r="AH35" s="7">
        <f t="shared" si="8"/>
        <v>-26951.743387800896</v>
      </c>
      <c r="AI35" s="7">
        <f t="shared" si="9"/>
        <v>-5550.6121484385467</v>
      </c>
      <c r="AJ35" s="7">
        <f t="shared" si="10"/>
        <v>-21401.131239362348</v>
      </c>
      <c r="AK35" s="7">
        <f t="shared" si="18"/>
        <v>481295.81805318524</v>
      </c>
      <c r="AQ35" s="3">
        <v>28</v>
      </c>
      <c r="AR35" s="7">
        <f t="shared" si="11"/>
        <v>-17399.521376485121</v>
      </c>
      <c r="AS35" s="7">
        <f t="shared" si="12"/>
        <v>-2640.5101200915556</v>
      </c>
      <c r="AT35" s="7">
        <f t="shared" si="13"/>
        <v>-14759.011256393567</v>
      </c>
      <c r="AU35" s="7">
        <f t="shared" si="19"/>
        <v>513343.01276191772</v>
      </c>
    </row>
    <row r="36" spans="3:47" x14ac:dyDescent="0.3">
      <c r="C36" s="53">
        <v>8</v>
      </c>
      <c r="D36" s="7">
        <f t="shared" si="20"/>
        <v>-8710.406314086038</v>
      </c>
      <c r="E36" s="7">
        <f t="shared" si="21"/>
        <v>-293.34239556430032</v>
      </c>
      <c r="F36" s="7">
        <f t="shared" si="22"/>
        <v>-8417.0639185217387</v>
      </c>
      <c r="G36" s="7">
        <f t="shared" si="23"/>
        <v>34250.920890831039</v>
      </c>
      <c r="W36" s="3">
        <v>29</v>
      </c>
      <c r="X36" s="7">
        <f t="shared" si="5"/>
        <v>-16291.083255231611</v>
      </c>
      <c r="Y36" s="7">
        <f t="shared" si="6"/>
        <v>-1106.790273236232</v>
      </c>
      <c r="Z36" s="10">
        <f t="shared" si="7"/>
        <v>-15184.292981995379</v>
      </c>
      <c r="AA36" s="7">
        <f t="shared" si="17"/>
        <v>110112.71908248367</v>
      </c>
      <c r="AG36" s="3">
        <v>29</v>
      </c>
      <c r="AH36" s="7">
        <f t="shared" si="8"/>
        <v>-26951.743387800896</v>
      </c>
      <c r="AI36" s="7">
        <f t="shared" si="9"/>
        <v>-5314.3079910039214</v>
      </c>
      <c r="AJ36" s="7">
        <f t="shared" si="10"/>
        <v>-21637.435396796976</v>
      </c>
      <c r="AK36" s="7">
        <f t="shared" si="18"/>
        <v>459658.38265638828</v>
      </c>
      <c r="AQ36" s="3">
        <v>29</v>
      </c>
      <c r="AR36" s="7">
        <f t="shared" si="11"/>
        <v>-17399.521376485121</v>
      </c>
      <c r="AS36" s="7">
        <f t="shared" si="12"/>
        <v>-2566.7150638095873</v>
      </c>
      <c r="AT36" s="7">
        <f t="shared" si="13"/>
        <v>-14832.806312675535</v>
      </c>
      <c r="AU36" s="7">
        <f t="shared" si="19"/>
        <v>498510.20644924219</v>
      </c>
    </row>
    <row r="37" spans="3:47" x14ac:dyDescent="0.3">
      <c r="C37" s="53">
        <v>9</v>
      </c>
      <c r="D37" s="7">
        <f t="shared" si="20"/>
        <v>-8710.406314086038</v>
      </c>
      <c r="E37" s="7">
        <f t="shared" si="21"/>
        <v>-235.4750811244634</v>
      </c>
      <c r="F37" s="7">
        <f t="shared" si="22"/>
        <v>-8474.9312329615768</v>
      </c>
      <c r="G37" s="7">
        <f t="shared" si="23"/>
        <v>25775.989657869461</v>
      </c>
      <c r="W37" s="3">
        <v>30</v>
      </c>
      <c r="X37" s="7">
        <f t="shared" si="5"/>
        <v>-16291.083255231611</v>
      </c>
      <c r="Y37" s="7">
        <f t="shared" si="6"/>
        <v>-972.66235189527288</v>
      </c>
      <c r="Z37" s="10">
        <f t="shared" si="7"/>
        <v>-15318.420903336337</v>
      </c>
      <c r="AA37" s="7">
        <f t="shared" si="17"/>
        <v>94794.298179147328</v>
      </c>
      <c r="AG37" s="3">
        <v>30</v>
      </c>
      <c r="AH37" s="7">
        <f t="shared" si="8"/>
        <v>-26951.743387800896</v>
      </c>
      <c r="AI37" s="7">
        <f t="shared" si="9"/>
        <v>-5075.3946418309542</v>
      </c>
      <c r="AJ37" s="7">
        <f t="shared" si="10"/>
        <v>-21876.348745969939</v>
      </c>
      <c r="AK37" s="7">
        <f t="shared" si="18"/>
        <v>437782.03391041834</v>
      </c>
      <c r="AQ37" s="3">
        <v>30</v>
      </c>
      <c r="AR37" s="7">
        <f t="shared" si="11"/>
        <v>-17399.521376485121</v>
      </c>
      <c r="AS37" s="7">
        <f t="shared" si="12"/>
        <v>-2492.5510322462101</v>
      </c>
      <c r="AT37" s="7">
        <f t="shared" si="13"/>
        <v>-14906.970344238913</v>
      </c>
      <c r="AU37" s="7">
        <f t="shared" si="19"/>
        <v>483603.23610500328</v>
      </c>
    </row>
    <row r="38" spans="3:47" x14ac:dyDescent="0.3">
      <c r="C38" s="53">
        <v>10</v>
      </c>
      <c r="D38" s="7">
        <f t="shared" si="20"/>
        <v>-8710.406314086038</v>
      </c>
      <c r="E38" s="7">
        <f t="shared" si="21"/>
        <v>-177.20992889785254</v>
      </c>
      <c r="F38" s="7">
        <f t="shared" si="22"/>
        <v>-8533.1963851881846</v>
      </c>
      <c r="G38" s="7">
        <f t="shared" si="23"/>
        <v>17242.793272681276</v>
      </c>
      <c r="W38" s="3">
        <v>31</v>
      </c>
      <c r="X38" s="7">
        <f t="shared" si="5"/>
        <v>-16291.083255231611</v>
      </c>
      <c r="Y38" s="7">
        <f t="shared" si="6"/>
        <v>-837.34963391580175</v>
      </c>
      <c r="Z38" s="10">
        <f t="shared" si="7"/>
        <v>-15453.733621315811</v>
      </c>
      <c r="AA38" s="7">
        <f t="shared" si="17"/>
        <v>79340.564557831516</v>
      </c>
      <c r="AG38" s="3">
        <v>31</v>
      </c>
      <c r="AH38" s="7">
        <f t="shared" si="8"/>
        <v>-26951.743387800896</v>
      </c>
      <c r="AI38" s="7">
        <f t="shared" si="9"/>
        <v>-4833.843291094201</v>
      </c>
      <c r="AJ38" s="7">
        <f t="shared" si="10"/>
        <v>-22117.900096706693</v>
      </c>
      <c r="AK38" s="7">
        <f t="shared" si="18"/>
        <v>415664.13381371164</v>
      </c>
      <c r="AQ38" s="3">
        <v>31</v>
      </c>
      <c r="AR38" s="7">
        <f t="shared" si="11"/>
        <v>-17399.521376485121</v>
      </c>
      <c r="AS38" s="7">
        <f t="shared" si="12"/>
        <v>-2418.0161805250159</v>
      </c>
      <c r="AT38" s="7">
        <f t="shared" si="13"/>
        <v>-14981.505195960108</v>
      </c>
      <c r="AU38" s="7">
        <f t="shared" si="19"/>
        <v>468621.73090904317</v>
      </c>
    </row>
    <row r="39" spans="3:47" x14ac:dyDescent="0.3">
      <c r="C39" s="53">
        <v>11</v>
      </c>
      <c r="D39" s="7">
        <f t="shared" si="20"/>
        <v>-8710.406314086038</v>
      </c>
      <c r="E39" s="7">
        <f t="shared" si="21"/>
        <v>-118.54420374968377</v>
      </c>
      <c r="F39" s="7">
        <f t="shared" si="22"/>
        <v>-8591.8621103363548</v>
      </c>
      <c r="G39" s="7">
        <f t="shared" si="23"/>
        <v>8650.9311623449212</v>
      </c>
      <c r="W39" s="3">
        <v>32</v>
      </c>
      <c r="X39" s="7">
        <f t="shared" si="5"/>
        <v>-16291.083255231611</v>
      </c>
      <c r="Y39" s="7">
        <f t="shared" si="6"/>
        <v>-700.84165359417898</v>
      </c>
      <c r="Z39" s="10">
        <f t="shared" si="7"/>
        <v>-15590.241601637434</v>
      </c>
      <c r="AA39" s="7">
        <f t="shared" si="17"/>
        <v>63750.322956194083</v>
      </c>
      <c r="AG39" s="3">
        <v>32</v>
      </c>
      <c r="AH39" s="7">
        <f t="shared" si="8"/>
        <v>-26951.743387800896</v>
      </c>
      <c r="AI39" s="7">
        <f t="shared" si="9"/>
        <v>-4589.6248108597338</v>
      </c>
      <c r="AJ39" s="7">
        <f t="shared" si="10"/>
        <v>-22362.118576941164</v>
      </c>
      <c r="AK39" s="7">
        <f t="shared" si="18"/>
        <v>393302.0152367705</v>
      </c>
      <c r="AQ39" s="3">
        <v>32</v>
      </c>
      <c r="AR39" s="7">
        <f t="shared" si="11"/>
        <v>-17399.521376485121</v>
      </c>
      <c r="AS39" s="7">
        <f t="shared" si="12"/>
        <v>-2343.1086545452149</v>
      </c>
      <c r="AT39" s="7">
        <f t="shared" si="13"/>
        <v>-15056.412721939907</v>
      </c>
      <c r="AU39" s="7">
        <f t="shared" si="19"/>
        <v>453565.31818710326</v>
      </c>
    </row>
    <row r="40" spans="3:47" x14ac:dyDescent="0.3">
      <c r="C40" s="53">
        <v>12</v>
      </c>
      <c r="D40" s="7">
        <f t="shared" si="20"/>
        <v>-8710.406314086038</v>
      </c>
      <c r="E40" s="7">
        <f t="shared" si="21"/>
        <v>-59.475151741121309</v>
      </c>
      <c r="F40" s="7">
        <f t="shared" si="22"/>
        <v>-8650.9311623449175</v>
      </c>
      <c r="G40" s="7">
        <f t="shared" si="23"/>
        <v>0</v>
      </c>
      <c r="W40" s="3">
        <v>33</v>
      </c>
      <c r="X40" s="7">
        <f t="shared" si="5"/>
        <v>-16291.083255231611</v>
      </c>
      <c r="Y40" s="7">
        <f t="shared" si="6"/>
        <v>-563.12785277971489</v>
      </c>
      <c r="Z40" s="10">
        <f t="shared" si="7"/>
        <v>-15727.955402451897</v>
      </c>
      <c r="AA40" s="7">
        <f>Z40+AA39</f>
        <v>48022.367553742188</v>
      </c>
      <c r="AG40" s="3">
        <v>33</v>
      </c>
      <c r="AH40" s="7">
        <f t="shared" si="8"/>
        <v>-26951.743387800896</v>
      </c>
      <c r="AI40" s="7">
        <f t="shared" si="9"/>
        <v>-4342.7097515726737</v>
      </c>
      <c r="AJ40" s="7">
        <f t="shared" si="10"/>
        <v>-22609.033636228221</v>
      </c>
      <c r="AK40" s="7">
        <f t="shared" si="18"/>
        <v>370692.98160054226</v>
      </c>
      <c r="AQ40" s="3">
        <v>33</v>
      </c>
      <c r="AR40" s="7">
        <f t="shared" si="11"/>
        <v>-17399.521376485121</v>
      </c>
      <c r="AS40" s="7">
        <f t="shared" si="12"/>
        <v>-2267.826590935515</v>
      </c>
      <c r="AT40" s="7">
        <f t="shared" si="13"/>
        <v>-15131.694785549609</v>
      </c>
      <c r="AU40" s="7">
        <f t="shared" si="19"/>
        <v>438433.62340155366</v>
      </c>
    </row>
    <row r="41" spans="3:47" x14ac:dyDescent="0.3">
      <c r="D41" s="7"/>
      <c r="W41" s="3">
        <v>34</v>
      </c>
      <c r="X41" s="7">
        <f t="shared" si="5"/>
        <v>-16291.083255231611</v>
      </c>
      <c r="Y41" s="7">
        <f t="shared" si="6"/>
        <v>-424.19758005805653</v>
      </c>
      <c r="Z41" s="10">
        <f t="shared" si="7"/>
        <v>-15866.885675173553</v>
      </c>
      <c r="AA41" s="7">
        <f t="shared" si="17"/>
        <v>32155.481878568637</v>
      </c>
      <c r="AG41" s="3">
        <v>34</v>
      </c>
      <c r="AH41" s="7">
        <f t="shared" si="8"/>
        <v>-26951.743387800896</v>
      </c>
      <c r="AI41" s="7">
        <f t="shared" si="9"/>
        <v>-4093.0683385059874</v>
      </c>
      <c r="AJ41" s="7">
        <f t="shared" si="10"/>
        <v>-22858.67504929491</v>
      </c>
      <c r="AK41" s="7">
        <f t="shared" si="18"/>
        <v>347834.30655124737</v>
      </c>
      <c r="AQ41" s="3">
        <v>34</v>
      </c>
      <c r="AR41" s="7">
        <f t="shared" si="11"/>
        <v>-17399.521376485121</v>
      </c>
      <c r="AS41" s="7">
        <f t="shared" si="12"/>
        <v>-2192.1681170077673</v>
      </c>
      <c r="AT41" s="7">
        <f t="shared" si="13"/>
        <v>-15207.353259477353</v>
      </c>
      <c r="AU41" s="7">
        <f t="shared" si="19"/>
        <v>423226.2701420763</v>
      </c>
    </row>
    <row r="42" spans="3:47" x14ac:dyDescent="0.3">
      <c r="D42" s="7"/>
      <c r="W42" s="3">
        <v>35</v>
      </c>
      <c r="X42" s="7">
        <f t="shared" si="5"/>
        <v>-16291.083255231611</v>
      </c>
      <c r="Y42" s="7">
        <f t="shared" si="6"/>
        <v>-284.0400899273568</v>
      </c>
      <c r="Z42" s="10">
        <f t="shared" si="7"/>
        <v>-16007.043165304254</v>
      </c>
      <c r="AA42" s="7">
        <f t="shared" si="17"/>
        <v>16148.438713264382</v>
      </c>
      <c r="AG42" s="3">
        <v>35</v>
      </c>
      <c r="AH42" s="7">
        <f t="shared" si="8"/>
        <v>-26951.743387800896</v>
      </c>
      <c r="AI42" s="7">
        <f t="shared" si="9"/>
        <v>-3840.670468170023</v>
      </c>
      <c r="AJ42" s="7">
        <f t="shared" si="10"/>
        <v>-23111.072919630871</v>
      </c>
      <c r="AK42" s="7">
        <f t="shared" si="18"/>
        <v>324723.23363161652</v>
      </c>
      <c r="AQ42" s="3">
        <v>35</v>
      </c>
      <c r="AR42" s="7">
        <f t="shared" si="11"/>
        <v>-17399.521376485121</v>
      </c>
      <c r="AS42" s="7">
        <f t="shared" si="12"/>
        <v>-2116.13135071038</v>
      </c>
      <c r="AT42" s="7">
        <f t="shared" si="13"/>
        <v>-15283.390025774741</v>
      </c>
      <c r="AU42" s="7">
        <f t="shared" si="19"/>
        <v>407942.88011630159</v>
      </c>
    </row>
    <row r="43" spans="3:47" x14ac:dyDescent="0.3">
      <c r="W43" s="3">
        <v>36</v>
      </c>
      <c r="X43" s="7">
        <f t="shared" si="5"/>
        <v>-16291.083255231611</v>
      </c>
      <c r="Y43" s="7">
        <f t="shared" si="6"/>
        <v>-142.6445419671692</v>
      </c>
      <c r="Z43" s="10">
        <f t="shared" si="7"/>
        <v>-16148.438713264442</v>
      </c>
      <c r="AA43" s="7">
        <f t="shared" si="17"/>
        <v>-6.0026650317013264E-11</v>
      </c>
      <c r="AG43" s="3">
        <v>36</v>
      </c>
      <c r="AH43" s="7">
        <f t="shared" si="8"/>
        <v>-26951.743387800896</v>
      </c>
      <c r="AI43" s="7">
        <f t="shared" si="9"/>
        <v>-3585.4857046824318</v>
      </c>
      <c r="AJ43" s="7">
        <f t="shared" si="10"/>
        <v>-23366.257683118463</v>
      </c>
      <c r="AK43" s="7">
        <f t="shared" si="18"/>
        <v>301356.97594849806</v>
      </c>
      <c r="AQ43" s="3">
        <v>36</v>
      </c>
      <c r="AR43" s="7">
        <f t="shared" si="11"/>
        <v>-17399.521376485121</v>
      </c>
      <c r="AS43" s="7">
        <f t="shared" si="12"/>
        <v>-2039.7144005815069</v>
      </c>
      <c r="AT43" s="7">
        <f t="shared" si="13"/>
        <v>-15359.806975903615</v>
      </c>
      <c r="AU43" s="7">
        <f t="shared" si="19"/>
        <v>392583.07314039796</v>
      </c>
    </row>
    <row r="44" spans="3:47" x14ac:dyDescent="0.25">
      <c r="Y44" s="8">
        <f>SUM(Y8:Y43)</f>
        <v>-85978.997188337933</v>
      </c>
      <c r="Z44" s="8">
        <f>SUM(Z8:Z43)</f>
        <v>-500500.00000000006</v>
      </c>
      <c r="AG44" s="3">
        <v>37</v>
      </c>
      <c r="AH44" s="7">
        <f t="shared" si="8"/>
        <v>-26951.743387800896</v>
      </c>
      <c r="AI44" s="7">
        <f t="shared" si="9"/>
        <v>-3327.4832760979989</v>
      </c>
      <c r="AJ44" s="7">
        <f t="shared" si="10"/>
        <v>-23624.260111702897</v>
      </c>
      <c r="AK44" s="7">
        <f t="shared" si="18"/>
        <v>277732.71583679516</v>
      </c>
      <c r="AQ44" s="3">
        <v>37</v>
      </c>
      <c r="AR44" s="7">
        <f t="shared" si="11"/>
        <v>-17399.521376485121</v>
      </c>
      <c r="AS44" s="7">
        <f t="shared" si="12"/>
        <v>-1962.9153657019888</v>
      </c>
      <c r="AT44" s="7">
        <f t="shared" si="13"/>
        <v>-15436.606010783133</v>
      </c>
      <c r="AU44" s="7">
        <f t="shared" si="19"/>
        <v>377146.46712961484</v>
      </c>
    </row>
    <row r="45" spans="3:47" x14ac:dyDescent="0.25">
      <c r="AG45" s="3">
        <v>38</v>
      </c>
      <c r="AH45" s="7">
        <f t="shared" si="8"/>
        <v>-26951.743387800896</v>
      </c>
      <c r="AI45" s="7">
        <f t="shared" si="9"/>
        <v>-3066.6320706979468</v>
      </c>
      <c r="AJ45" s="7">
        <f t="shared" si="10"/>
        <v>-23885.11131710295</v>
      </c>
      <c r="AK45" s="7">
        <f t="shared" si="18"/>
        <v>253847.60451969222</v>
      </c>
      <c r="AQ45" s="3">
        <v>38</v>
      </c>
      <c r="AR45" s="7">
        <f t="shared" si="11"/>
        <v>-17399.521376485121</v>
      </c>
      <c r="AS45" s="7">
        <f t="shared" si="12"/>
        <v>-1885.7323356480729</v>
      </c>
      <c r="AT45" s="7">
        <f t="shared" si="13"/>
        <v>-15513.789040837048</v>
      </c>
      <c r="AU45" s="7">
        <f t="shared" si="19"/>
        <v>361632.67808877781</v>
      </c>
    </row>
    <row r="46" spans="3:47" x14ac:dyDescent="0.25">
      <c r="AG46" s="3">
        <v>39</v>
      </c>
      <c r="AH46" s="7">
        <f t="shared" si="8"/>
        <v>-26951.743387800896</v>
      </c>
      <c r="AI46" s="7">
        <f t="shared" si="9"/>
        <v>-2802.9006332382678</v>
      </c>
      <c r="AJ46" s="7">
        <f t="shared" si="10"/>
        <v>-24148.842754562625</v>
      </c>
      <c r="AK46" s="7">
        <f t="shared" si="18"/>
        <v>229698.7617651296</v>
      </c>
      <c r="AQ46" s="3">
        <v>39</v>
      </c>
      <c r="AR46" s="7">
        <f t="shared" si="11"/>
        <v>-17399.521376485121</v>
      </c>
      <c r="AS46" s="7">
        <f t="shared" si="12"/>
        <v>-1808.1633904438877</v>
      </c>
      <c r="AT46" s="7">
        <f t="shared" si="13"/>
        <v>-15591.357986041236</v>
      </c>
      <c r="AU46" s="7">
        <f t="shared" si="19"/>
        <v>346041.32010273659</v>
      </c>
    </row>
    <row r="47" spans="3:47" x14ac:dyDescent="0.25">
      <c r="AG47" s="3">
        <v>40</v>
      </c>
      <c r="AH47" s="7">
        <f t="shared" si="8"/>
        <v>-26951.743387800896</v>
      </c>
      <c r="AI47" s="7">
        <f t="shared" si="9"/>
        <v>-2536.2571611566386</v>
      </c>
      <c r="AJ47" s="7">
        <f t="shared" si="10"/>
        <v>-24415.486226644258</v>
      </c>
      <c r="AK47" s="7">
        <f t="shared" si="18"/>
        <v>205283.27553848535</v>
      </c>
      <c r="AQ47" s="3">
        <v>40</v>
      </c>
      <c r="AR47" s="7">
        <f t="shared" si="11"/>
        <v>-17399.521376485121</v>
      </c>
      <c r="AS47" s="7">
        <f t="shared" si="12"/>
        <v>-1730.2066005136819</v>
      </c>
      <c r="AT47" s="7">
        <f t="shared" si="13"/>
        <v>-15669.314775971439</v>
      </c>
      <c r="AU47" s="7">
        <f t="shared" si="19"/>
        <v>330372.00532676512</v>
      </c>
    </row>
    <row r="48" spans="3:47" x14ac:dyDescent="0.25">
      <c r="AG48" s="3">
        <v>41</v>
      </c>
      <c r="AH48" s="7">
        <f t="shared" si="8"/>
        <v>-26951.743387800896</v>
      </c>
      <c r="AI48" s="7">
        <f t="shared" si="9"/>
        <v>-2266.6695007374419</v>
      </c>
      <c r="AJ48" s="7">
        <f t="shared" si="10"/>
        <v>-24685.073887063456</v>
      </c>
      <c r="AK48" s="7">
        <f t="shared" si="18"/>
        <v>180598.2016514219</v>
      </c>
      <c r="AQ48" s="3">
        <v>41</v>
      </c>
      <c r="AR48" s="7">
        <f t="shared" si="11"/>
        <v>-17399.521376485121</v>
      </c>
      <c r="AS48" s="7">
        <f t="shared" si="12"/>
        <v>-1651.8600266338242</v>
      </c>
      <c r="AT48" s="7">
        <f t="shared" si="13"/>
        <v>-15747.661349851298</v>
      </c>
      <c r="AU48" s="7">
        <f t="shared" si="19"/>
        <v>314624.34397691383</v>
      </c>
    </row>
    <row r="49" spans="33:47" x14ac:dyDescent="0.25">
      <c r="AG49" s="3">
        <v>42</v>
      </c>
      <c r="AH49" s="7">
        <f t="shared" si="8"/>
        <v>-26951.743387800896</v>
      </c>
      <c r="AI49" s="7">
        <f t="shared" si="9"/>
        <v>-1994.1051432344495</v>
      </c>
      <c r="AJ49" s="7">
        <f t="shared" si="10"/>
        <v>-24957.638244566446</v>
      </c>
      <c r="AK49" s="7">
        <f t="shared" si="18"/>
        <v>155640.56340685545</v>
      </c>
      <c r="AQ49" s="3">
        <v>42</v>
      </c>
      <c r="AR49" s="7">
        <f t="shared" si="11"/>
        <v>-17399.521376485121</v>
      </c>
      <c r="AS49" s="7">
        <f t="shared" si="12"/>
        <v>-1573.1217198845677</v>
      </c>
      <c r="AT49" s="7">
        <f t="shared" si="13"/>
        <v>-15826.399656600553</v>
      </c>
      <c r="AU49" s="7">
        <f t="shared" si="19"/>
        <v>298797.94432031328</v>
      </c>
    </row>
    <row r="50" spans="33:47" x14ac:dyDescent="0.25">
      <c r="AG50" s="3">
        <v>43</v>
      </c>
      <c r="AH50" s="7">
        <f t="shared" si="8"/>
        <v>-26951.743387800896</v>
      </c>
      <c r="AI50" s="7">
        <f t="shared" si="9"/>
        <v>-1718.5312209506953</v>
      </c>
      <c r="AJ50" s="7">
        <f t="shared" si="10"/>
        <v>-25233.2121668502</v>
      </c>
      <c r="AK50" s="7">
        <f t="shared" si="18"/>
        <v>130407.35124000526</v>
      </c>
      <c r="AQ50" s="3">
        <v>43</v>
      </c>
      <c r="AR50" s="7">
        <f t="shared" si="11"/>
        <v>-17399.521376485121</v>
      </c>
      <c r="AS50" s="7">
        <f t="shared" si="12"/>
        <v>-1493.9897216015652</v>
      </c>
      <c r="AT50" s="7">
        <f t="shared" si="13"/>
        <v>-15905.531654883558</v>
      </c>
      <c r="AU50" s="7">
        <f t="shared" si="19"/>
        <v>282892.4126654297</v>
      </c>
    </row>
    <row r="51" spans="33:47" x14ac:dyDescent="0.25">
      <c r="AG51" s="3">
        <v>44</v>
      </c>
      <c r="AH51" s="7">
        <f t="shared" si="8"/>
        <v>-26951.743387800896</v>
      </c>
      <c r="AI51" s="7">
        <f t="shared" si="9"/>
        <v>-1439.9145032750575</v>
      </c>
      <c r="AJ51" s="7">
        <f t="shared" si="10"/>
        <v>-25511.828884525843</v>
      </c>
      <c r="AK51" s="7">
        <f t="shared" si="18"/>
        <v>104895.52235547942</v>
      </c>
      <c r="AQ51" s="3">
        <v>44</v>
      </c>
      <c r="AR51" s="7">
        <f t="shared" si="11"/>
        <v>-17399.521376485121</v>
      </c>
      <c r="AS51" s="7">
        <f t="shared" si="12"/>
        <v>-1414.462063327147</v>
      </c>
      <c r="AT51" s="7">
        <f t="shared" si="13"/>
        <v>-15985.059313157974</v>
      </c>
      <c r="AU51" s="7">
        <f t="shared" si="19"/>
        <v>266907.35335227172</v>
      </c>
    </row>
    <row r="52" spans="33:47" x14ac:dyDescent="0.25">
      <c r="AG52" s="3">
        <v>45</v>
      </c>
      <c r="AH52" s="7">
        <f t="shared" si="8"/>
        <v>-26951.743387800896</v>
      </c>
      <c r="AI52" s="7">
        <f t="shared" si="9"/>
        <v>-1158.2213926750846</v>
      </c>
      <c r="AJ52" s="7">
        <f t="shared" si="10"/>
        <v>-25793.521995125808</v>
      </c>
      <c r="AK52" s="7">
        <f t="shared" si="18"/>
        <v>79102.000360353617</v>
      </c>
      <c r="AQ52" s="3">
        <v>45</v>
      </c>
      <c r="AR52" s="7">
        <f t="shared" si="11"/>
        <v>-17399.521376485121</v>
      </c>
      <c r="AS52" s="7">
        <f t="shared" si="12"/>
        <v>-1334.5367667613571</v>
      </c>
      <c r="AT52" s="7">
        <f t="shared" si="13"/>
        <v>-16064.984609723764</v>
      </c>
      <c r="AU52" s="7">
        <f t="shared" si="19"/>
        <v>250842.36874254796</v>
      </c>
    </row>
    <row r="53" spans="33:47" x14ac:dyDescent="0.25">
      <c r="AG53" s="3">
        <v>46</v>
      </c>
      <c r="AH53" s="7">
        <f t="shared" si="8"/>
        <v>-26951.743387800896</v>
      </c>
      <c r="AI53" s="7">
        <f t="shared" si="9"/>
        <v>-873.41792064557092</v>
      </c>
      <c r="AJ53" s="7">
        <f t="shared" si="10"/>
        <v>-26078.325467155326</v>
      </c>
      <c r="AK53" s="7">
        <f t="shared" si="18"/>
        <v>53023.674893198287</v>
      </c>
      <c r="AQ53" s="3">
        <v>46</v>
      </c>
      <c r="AR53" s="7">
        <f t="shared" si="11"/>
        <v>-17399.521376485121</v>
      </c>
      <c r="AS53" s="7">
        <f t="shared" si="12"/>
        <v>-1254.2118437127385</v>
      </c>
      <c r="AT53" s="7">
        <f t="shared" si="13"/>
        <v>-16145.309532772382</v>
      </c>
      <c r="AU53" s="7">
        <f t="shared" si="19"/>
        <v>234697.05920977559</v>
      </c>
    </row>
    <row r="54" spans="33:47" x14ac:dyDescent="0.25">
      <c r="AG54" s="3">
        <v>47</v>
      </c>
      <c r="AH54" s="7">
        <f t="shared" si="8"/>
        <v>-26951.743387800896</v>
      </c>
      <c r="AI54" s="7">
        <f t="shared" si="9"/>
        <v>-585.46974361239722</v>
      </c>
      <c r="AJ54" s="7">
        <f t="shared" si="10"/>
        <v>-26366.273644188499</v>
      </c>
      <c r="AK54" s="7">
        <f t="shared" si="18"/>
        <v>26657.401249009788</v>
      </c>
      <c r="AQ54" s="3">
        <v>47</v>
      </c>
      <c r="AR54" s="7">
        <f t="shared" si="11"/>
        <v>-17399.521376485121</v>
      </c>
      <c r="AS54" s="7">
        <f t="shared" si="12"/>
        <v>-1173.4852960488763</v>
      </c>
      <c r="AT54" s="7">
        <f t="shared" si="13"/>
        <v>-16226.036080436246</v>
      </c>
      <c r="AU54" s="7">
        <f t="shared" si="19"/>
        <v>218471.02312933933</v>
      </c>
    </row>
    <row r="55" spans="33:47" x14ac:dyDescent="0.25">
      <c r="AG55" s="3">
        <v>48</v>
      </c>
      <c r="AH55" s="7">
        <f t="shared" si="8"/>
        <v>-26951.743387800896</v>
      </c>
      <c r="AI55" s="7">
        <f t="shared" si="9"/>
        <v>-294.34213879114924</v>
      </c>
      <c r="AJ55" s="7">
        <f t="shared" si="10"/>
        <v>-26657.401249009748</v>
      </c>
      <c r="AK55" s="7">
        <f t="shared" si="18"/>
        <v>4.0017766878008842E-11</v>
      </c>
      <c r="AQ55" s="3">
        <v>48</v>
      </c>
      <c r="AR55" s="7">
        <f t="shared" si="11"/>
        <v>-17399.521376485121</v>
      </c>
      <c r="AS55" s="7">
        <f t="shared" si="12"/>
        <v>-1092.3551156466954</v>
      </c>
      <c r="AT55" s="7">
        <f t="shared" si="13"/>
        <v>-16307.166260838427</v>
      </c>
      <c r="AU55" s="7">
        <f t="shared" si="19"/>
        <v>202163.85686850091</v>
      </c>
    </row>
    <row r="56" spans="33:47" x14ac:dyDescent="0.25">
      <c r="AI56" s="8">
        <f>SUM(AI8:AI55)</f>
        <v>-293683.68261444289</v>
      </c>
      <c r="AJ56" s="8">
        <f>SUM(AJ8:AJ55)</f>
        <v>-1000000</v>
      </c>
      <c r="AQ56" s="3">
        <v>49</v>
      </c>
      <c r="AR56" s="7">
        <f t="shared" si="11"/>
        <v>-17399.521376485121</v>
      </c>
      <c r="AS56" s="7">
        <f t="shared" si="12"/>
        <v>-1010.8192843425032</v>
      </c>
      <c r="AT56" s="7">
        <f t="shared" si="13"/>
        <v>-16388.702092142619</v>
      </c>
      <c r="AU56" s="7">
        <f t="shared" si="19"/>
        <v>185775.15477635828</v>
      </c>
    </row>
    <row r="57" spans="33:47" x14ac:dyDescent="0.25">
      <c r="AQ57" s="3">
        <v>50</v>
      </c>
      <c r="AR57" s="7">
        <f t="shared" si="11"/>
        <v>-17399.521376485121</v>
      </c>
      <c r="AS57" s="7">
        <f t="shared" si="12"/>
        <v>-928.87577388179011</v>
      </c>
      <c r="AT57" s="7">
        <f t="shared" si="13"/>
        <v>-16470.64560260333</v>
      </c>
      <c r="AU57" s="7">
        <f t="shared" si="19"/>
        <v>169304.50917375495</v>
      </c>
    </row>
    <row r="58" spans="33:47" x14ac:dyDescent="0.25">
      <c r="AQ58" s="3">
        <v>51</v>
      </c>
      <c r="AR58" s="7">
        <f t="shared" si="11"/>
        <v>-17399.521376485121</v>
      </c>
      <c r="AS58" s="7">
        <f t="shared" si="12"/>
        <v>-846.52254586877348</v>
      </c>
      <c r="AT58" s="7">
        <f t="shared" si="13"/>
        <v>-16552.99883061635</v>
      </c>
      <c r="AU58" s="7">
        <f t="shared" si="19"/>
        <v>152751.51034313859</v>
      </c>
    </row>
    <row r="59" spans="33:47" x14ac:dyDescent="0.25">
      <c r="AQ59" s="3">
        <v>52</v>
      </c>
      <c r="AR59" s="7">
        <f t="shared" si="11"/>
        <v>-17399.521376485121</v>
      </c>
      <c r="AS59" s="7">
        <f t="shared" si="12"/>
        <v>-763.75755171569165</v>
      </c>
      <c r="AT59" s="7">
        <f t="shared" si="13"/>
        <v>-16635.76382476943</v>
      </c>
      <c r="AU59" s="7">
        <f t="shared" si="19"/>
        <v>136115.74651836915</v>
      </c>
    </row>
    <row r="60" spans="33:47" x14ac:dyDescent="0.25">
      <c r="AQ60" s="3">
        <v>53</v>
      </c>
      <c r="AR60" s="7">
        <f t="shared" si="11"/>
        <v>-17399.521376485121</v>
      </c>
      <c r="AS60" s="7">
        <f t="shared" si="12"/>
        <v>-680.57873259184441</v>
      </c>
      <c r="AT60" s="7">
        <f t="shared" si="13"/>
        <v>-16718.942643893279</v>
      </c>
      <c r="AU60" s="7">
        <f t="shared" si="19"/>
        <v>119396.80387447588</v>
      </c>
    </row>
    <row r="61" spans="33:47" x14ac:dyDescent="0.25">
      <c r="AQ61" s="3">
        <v>54</v>
      </c>
      <c r="AR61" s="7">
        <f t="shared" si="11"/>
        <v>-17399.521376485121</v>
      </c>
      <c r="AS61" s="7">
        <f t="shared" si="12"/>
        <v>-596.98401937237793</v>
      </c>
      <c r="AT61" s="7">
        <f t="shared" si="13"/>
        <v>-16802.537357112746</v>
      </c>
      <c r="AU61" s="7">
        <f t="shared" si="19"/>
        <v>102594.26651736314</v>
      </c>
    </row>
    <row r="62" spans="33:47" x14ac:dyDescent="0.25">
      <c r="AQ62" s="3">
        <v>55</v>
      </c>
      <c r="AR62" s="7">
        <f t="shared" si="11"/>
        <v>-17399.521376485121</v>
      </c>
      <c r="AS62" s="7">
        <f t="shared" si="12"/>
        <v>-512.97133258681436</v>
      </c>
      <c r="AT62" s="7">
        <f t="shared" si="13"/>
        <v>-16886.550043898307</v>
      </c>
      <c r="AU62" s="7">
        <f t="shared" si="19"/>
        <v>85707.716473464825</v>
      </c>
    </row>
    <row r="63" spans="33:47" x14ac:dyDescent="0.25">
      <c r="AQ63" s="3">
        <v>56</v>
      </c>
      <c r="AR63" s="7">
        <f t="shared" si="11"/>
        <v>-17399.521376485121</v>
      </c>
      <c r="AS63" s="7">
        <f t="shared" si="12"/>
        <v>-428.53858236732276</v>
      </c>
      <c r="AT63" s="7">
        <f t="shared" si="13"/>
        <v>-16970.982794117801</v>
      </c>
      <c r="AU63" s="7">
        <f t="shared" si="19"/>
        <v>68736.733679347031</v>
      </c>
    </row>
    <row r="64" spans="33:47" x14ac:dyDescent="0.25">
      <c r="AQ64" s="3">
        <v>57</v>
      </c>
      <c r="AR64" s="7">
        <f t="shared" si="11"/>
        <v>-17399.521376485121</v>
      </c>
      <c r="AS64" s="7">
        <f t="shared" si="12"/>
        <v>-343.68366839673371</v>
      </c>
      <c r="AT64" s="7">
        <f t="shared" si="13"/>
        <v>-17055.837708088387</v>
      </c>
      <c r="AU64" s="7">
        <f t="shared" si="19"/>
        <v>51680.895971258644</v>
      </c>
    </row>
    <row r="65" spans="43:47" x14ac:dyDescent="0.25">
      <c r="AQ65" s="3">
        <v>58</v>
      </c>
      <c r="AR65" s="7">
        <f t="shared" si="11"/>
        <v>-17399.521376485121</v>
      </c>
      <c r="AS65" s="7">
        <f t="shared" si="12"/>
        <v>-258.40447985629174</v>
      </c>
      <c r="AT65" s="7">
        <f t="shared" si="13"/>
        <v>-17141.116896628831</v>
      </c>
      <c r="AU65" s="7">
        <f t="shared" si="19"/>
        <v>34539.779074629812</v>
      </c>
    </row>
    <row r="66" spans="43:47" x14ac:dyDescent="0.25">
      <c r="AQ66" s="3">
        <v>59</v>
      </c>
      <c r="AR66" s="7">
        <f t="shared" si="11"/>
        <v>-17399.521376485121</v>
      </c>
      <c r="AS66" s="7">
        <f t="shared" si="12"/>
        <v>-172.69889537314756</v>
      </c>
      <c r="AT66" s="7">
        <f t="shared" si="13"/>
        <v>-17226.822481111976</v>
      </c>
      <c r="AU66" s="7">
        <f t="shared" si="19"/>
        <v>17312.956593517836</v>
      </c>
    </row>
    <row r="67" spans="43:47" x14ac:dyDescent="0.25">
      <c r="AQ67" s="3">
        <v>60</v>
      </c>
      <c r="AR67" s="7">
        <f t="shared" si="11"/>
        <v>-17399.521376485121</v>
      </c>
      <c r="AS67" s="7">
        <f t="shared" si="12"/>
        <v>-86.564782967587689</v>
      </c>
      <c r="AT67" s="7">
        <f t="shared" si="13"/>
        <v>-17312.956593517534</v>
      </c>
      <c r="AU67" s="7">
        <f t="shared" si="19"/>
        <v>3.0195224098861217E-10</v>
      </c>
    </row>
    <row r="68" spans="43:47" x14ac:dyDescent="0.25">
      <c r="AS68" s="8">
        <f>SUM(AS8:AS67)</f>
        <v>-143971.28258910758</v>
      </c>
      <c r="AT68" s="8">
        <f>SUM(AT8:AT67)</f>
        <v>-899999.99999999953</v>
      </c>
    </row>
    <row r="69" spans="43:47" x14ac:dyDescent="0.25">
      <c r="AS69" s="7"/>
    </row>
  </sheetData>
  <mergeCells count="4">
    <mergeCell ref="D3:F4"/>
    <mergeCell ref="N3:P4"/>
    <mergeCell ref="X3:Z4"/>
    <mergeCell ref="C24:G2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D2:N25"/>
  <sheetViews>
    <sheetView topLeftCell="B1" workbookViewId="0">
      <selection activeCell="I9" sqref="I9"/>
    </sheetView>
  </sheetViews>
  <sheetFormatPr defaultColWidth="8.85546875" defaultRowHeight="18.75" x14ac:dyDescent="0.25"/>
  <cols>
    <col min="1" max="4" width="8.85546875" style="3"/>
    <col min="5" max="5" width="18.28515625" style="3" bestFit="1" customWidth="1"/>
    <col min="6" max="6" width="11.42578125" style="3" customWidth="1"/>
    <col min="7" max="7" width="15.140625" style="3" bestFit="1" customWidth="1"/>
    <col min="8" max="8" width="13.7109375" style="3" bestFit="1" customWidth="1"/>
    <col min="9" max="9" width="14.85546875" style="3" bestFit="1" customWidth="1"/>
    <col min="10" max="10" width="15.7109375" style="3" bestFit="1" customWidth="1"/>
    <col min="11" max="12" width="14.85546875" style="3" bestFit="1" customWidth="1"/>
    <col min="13" max="16384" width="8.85546875" style="3"/>
  </cols>
  <sheetData>
    <row r="2" spans="4:14" x14ac:dyDescent="0.25">
      <c r="F2" s="120" t="s">
        <v>91</v>
      </c>
      <c r="G2" s="120"/>
      <c r="H2" s="120"/>
      <c r="I2" s="120"/>
      <c r="J2" s="120"/>
      <c r="K2" s="120"/>
      <c r="L2" s="120"/>
      <c r="M2" s="120"/>
      <c r="N2" s="120"/>
    </row>
    <row r="3" spans="4:14" x14ac:dyDescent="0.25">
      <c r="F3" s="120"/>
      <c r="G3" s="120"/>
      <c r="H3" s="120"/>
      <c r="I3" s="120"/>
      <c r="J3" s="120"/>
      <c r="K3" s="120"/>
      <c r="L3" s="120"/>
      <c r="M3" s="120"/>
      <c r="N3" s="120"/>
    </row>
    <row r="5" spans="4:14" x14ac:dyDescent="0.25">
      <c r="E5" s="5" t="s">
        <v>92</v>
      </c>
      <c r="F5" s="5">
        <v>48000</v>
      </c>
    </row>
    <row r="6" spans="4:14" x14ac:dyDescent="0.25">
      <c r="D6" s="3" t="s">
        <v>331</v>
      </c>
      <c r="E6" s="5" t="s">
        <v>93</v>
      </c>
      <c r="F6" s="5">
        <v>5000</v>
      </c>
    </row>
    <row r="7" spans="4:14" x14ac:dyDescent="0.25">
      <c r="E7" s="5" t="s">
        <v>94</v>
      </c>
      <c r="F7" s="5">
        <v>5</v>
      </c>
    </row>
    <row r="9" spans="4:14" x14ac:dyDescent="0.25">
      <c r="G9" s="5" t="s">
        <v>332</v>
      </c>
      <c r="H9" s="5" t="s">
        <v>96</v>
      </c>
      <c r="I9" s="5" t="s">
        <v>97</v>
      </c>
      <c r="J9" s="5" t="s">
        <v>98</v>
      </c>
      <c r="K9" s="5" t="s">
        <v>99</v>
      </c>
      <c r="L9" s="5" t="s">
        <v>100</v>
      </c>
    </row>
    <row r="10" spans="4:14" x14ac:dyDescent="0.25">
      <c r="G10" s="3">
        <v>1</v>
      </c>
      <c r="H10" s="7">
        <f>SLN($F$5,$F$6,$F$7)</f>
        <v>8600</v>
      </c>
      <c r="I10" s="7">
        <f>SYD($F$5,$F$6,$F$7,G10)</f>
        <v>14333.333333333334</v>
      </c>
      <c r="J10" s="7">
        <f>DB($F$5,$F$6,$F$7,G10)</f>
        <v>17472</v>
      </c>
      <c r="K10" s="7">
        <f>DDB($F$5,$F$6,$F$7,G10)</f>
        <v>19200</v>
      </c>
      <c r="L10" s="7">
        <f>VDB($F$5,$F$6,$F$7,G10-1,G10)</f>
        <v>19200</v>
      </c>
    </row>
    <row r="11" spans="4:14" x14ac:dyDescent="0.25">
      <c r="G11" s="3">
        <v>2</v>
      </c>
      <c r="H11" s="7">
        <f t="shared" ref="H11:H14" si="0">SLN($F$5,$F$6,$F$7)</f>
        <v>8600</v>
      </c>
      <c r="I11" s="7">
        <f t="shared" ref="I11:I14" si="1">SYD($F$5,$F$6,$F$7,G11)</f>
        <v>11466.666666666666</v>
      </c>
      <c r="J11" s="7">
        <f t="shared" ref="J11:J13" si="2">DB($F$5,$F$6,$F$7,G11)</f>
        <v>11112.191999999999</v>
      </c>
      <c r="K11" s="7">
        <f t="shared" ref="K11:K14" si="3">DDB($F$5,$F$6,$F$7,G11)</f>
        <v>11520</v>
      </c>
      <c r="L11" s="7">
        <f t="shared" ref="L11:L14" si="4">VDB($F$5,$F$6,$F$7,G11-1,G11)</f>
        <v>11520</v>
      </c>
    </row>
    <row r="12" spans="4:14" x14ac:dyDescent="0.25">
      <c r="G12" s="3">
        <v>3</v>
      </c>
      <c r="H12" s="7">
        <f t="shared" si="0"/>
        <v>8600</v>
      </c>
      <c r="I12" s="7">
        <f t="shared" si="1"/>
        <v>8600</v>
      </c>
      <c r="J12" s="7">
        <f t="shared" si="2"/>
        <v>7067.354112</v>
      </c>
      <c r="K12" s="7">
        <f t="shared" si="3"/>
        <v>6912</v>
      </c>
      <c r="L12" s="7">
        <f t="shared" si="4"/>
        <v>6912</v>
      </c>
    </row>
    <row r="13" spans="4:14" x14ac:dyDescent="0.25">
      <c r="G13" s="3">
        <v>4</v>
      </c>
      <c r="H13" s="7">
        <f t="shared" si="0"/>
        <v>8600</v>
      </c>
      <c r="I13" s="7">
        <f t="shared" si="1"/>
        <v>5733.333333333333</v>
      </c>
      <c r="J13" s="7">
        <f t="shared" si="2"/>
        <v>4494.8372152319998</v>
      </c>
      <c r="K13" s="7">
        <f t="shared" si="3"/>
        <v>4147.2</v>
      </c>
      <c r="L13" s="7">
        <f t="shared" si="4"/>
        <v>4147.2</v>
      </c>
    </row>
    <row r="14" spans="4:14" x14ac:dyDescent="0.25">
      <c r="G14" s="3">
        <v>5</v>
      </c>
      <c r="H14" s="7">
        <f t="shared" si="0"/>
        <v>8600</v>
      </c>
      <c r="I14" s="7">
        <f t="shared" si="1"/>
        <v>2866.6666666666665</v>
      </c>
      <c r="J14" s="7">
        <f>DB($F$5,$F$6,$F$7,G14)</f>
        <v>2858.7164688875519</v>
      </c>
      <c r="K14" s="7">
        <f t="shared" si="3"/>
        <v>1220.7999999999993</v>
      </c>
      <c r="L14" s="7">
        <f t="shared" si="4"/>
        <v>1220.8000000000002</v>
      </c>
    </row>
    <row r="15" spans="4:14" x14ac:dyDescent="0.25">
      <c r="H15" s="7"/>
      <c r="I15" s="7"/>
    </row>
    <row r="17" spans="7:12" x14ac:dyDescent="0.25">
      <c r="H17" s="125" t="s">
        <v>103</v>
      </c>
      <c r="I17" s="125"/>
      <c r="J17" s="125"/>
      <c r="K17" s="125"/>
      <c r="L17" s="125"/>
    </row>
    <row r="18" spans="7:12" x14ac:dyDescent="0.25">
      <c r="H18" s="125"/>
      <c r="I18" s="125"/>
      <c r="J18" s="125"/>
      <c r="K18" s="125"/>
      <c r="L18" s="125"/>
    </row>
    <row r="19" spans="7:12" x14ac:dyDescent="0.25">
      <c r="G19" s="3" t="s">
        <v>95</v>
      </c>
      <c r="H19" s="3" t="s">
        <v>96</v>
      </c>
      <c r="I19" s="3" t="s">
        <v>97</v>
      </c>
      <c r="J19" s="3" t="s">
        <v>98</v>
      </c>
      <c r="K19" s="3" t="s">
        <v>99</v>
      </c>
      <c r="L19" s="3" t="s">
        <v>100</v>
      </c>
    </row>
    <row r="20" spans="7:12" x14ac:dyDescent="0.25">
      <c r="G20" s="3">
        <v>0</v>
      </c>
      <c r="H20" s="3">
        <v>25000</v>
      </c>
      <c r="I20" s="3">
        <v>25000</v>
      </c>
      <c r="J20" s="3">
        <v>25000</v>
      </c>
      <c r="K20" s="3">
        <v>25000</v>
      </c>
      <c r="L20" s="3">
        <v>25000</v>
      </c>
    </row>
    <row r="21" spans="7:12" x14ac:dyDescent="0.25">
      <c r="G21" s="3">
        <v>1</v>
      </c>
      <c r="H21" s="7">
        <f>H20-H10</f>
        <v>16400</v>
      </c>
      <c r="I21" s="7">
        <f>I20-I10</f>
        <v>10666.666666666666</v>
      </c>
      <c r="J21" s="7">
        <f>J20-J10</f>
        <v>7528</v>
      </c>
      <c r="K21" s="7">
        <f>K20-K10</f>
        <v>5800</v>
      </c>
      <c r="L21" s="7">
        <f>L20-L10</f>
        <v>5800</v>
      </c>
    </row>
    <row r="22" spans="7:12" x14ac:dyDescent="0.25">
      <c r="G22" s="3">
        <v>2</v>
      </c>
    </row>
    <row r="23" spans="7:12" x14ac:dyDescent="0.25">
      <c r="G23" s="3">
        <v>3</v>
      </c>
    </row>
    <row r="24" spans="7:12" x14ac:dyDescent="0.25">
      <c r="G24" s="3">
        <v>4</v>
      </c>
    </row>
    <row r="25" spans="7:12" x14ac:dyDescent="0.25">
      <c r="G25" s="3">
        <v>5</v>
      </c>
    </row>
  </sheetData>
  <mergeCells count="2">
    <mergeCell ref="F2:N3"/>
    <mergeCell ref="H17:L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Y28"/>
  <sheetViews>
    <sheetView zoomScale="80" zoomScaleNormal="80" workbookViewId="0">
      <selection activeCell="E24" sqref="E24"/>
    </sheetView>
  </sheetViews>
  <sheetFormatPr defaultColWidth="8.85546875" defaultRowHeight="18.75" x14ac:dyDescent="0.25"/>
  <cols>
    <col min="1" max="1" width="8.85546875" style="3"/>
    <col min="2" max="2" width="6.7109375" style="3" bestFit="1" customWidth="1"/>
    <col min="3" max="3" width="13.5703125" style="3" bestFit="1" customWidth="1"/>
    <col min="4" max="4" width="15.5703125" style="3" bestFit="1" customWidth="1"/>
    <col min="5" max="8" width="8.85546875" style="3"/>
    <col min="9" max="9" width="16.5703125" style="3" bestFit="1" customWidth="1"/>
    <col min="10" max="13" width="8.85546875" style="3"/>
    <col min="14" max="14" width="22.5703125" style="3" bestFit="1" customWidth="1"/>
    <col min="15" max="15" width="13.5703125" style="3" bestFit="1" customWidth="1"/>
    <col min="16" max="16" width="2.28515625" style="12" bestFit="1" customWidth="1"/>
    <col min="17" max="17" width="2.28515625" style="9" bestFit="1" customWidth="1"/>
    <col min="18" max="18" width="2.28515625" style="3" bestFit="1" customWidth="1"/>
    <col min="19" max="19" width="7.42578125" style="3" bestFit="1" customWidth="1"/>
    <col min="20" max="20" width="13.5703125" style="3" bestFit="1" customWidth="1"/>
    <col min="21" max="21" width="17.28515625" style="3" bestFit="1" customWidth="1"/>
    <col min="22" max="22" width="13.5703125" style="3" bestFit="1" customWidth="1"/>
    <col min="23" max="16384" width="8.85546875" style="3"/>
  </cols>
  <sheetData>
    <row r="1" spans="1:25" x14ac:dyDescent="0.25">
      <c r="A1" s="123" t="s">
        <v>70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1"/>
      <c r="Q1" s="14"/>
      <c r="S1" s="15"/>
      <c r="T1" s="15"/>
      <c r="U1" s="15"/>
      <c r="V1" s="15"/>
      <c r="W1" s="15"/>
      <c r="X1" s="15"/>
      <c r="Y1" s="15"/>
    </row>
    <row r="2" spans="1:25" x14ac:dyDescent="0.25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1"/>
      <c r="Q2" s="14"/>
      <c r="S2" s="120" t="s">
        <v>104</v>
      </c>
      <c r="T2" s="120"/>
      <c r="U2" s="120"/>
      <c r="V2" s="120"/>
      <c r="W2" s="120"/>
      <c r="X2" s="15"/>
      <c r="Y2" s="15"/>
    </row>
    <row r="3" spans="1:2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S3" s="120"/>
      <c r="T3" s="120"/>
      <c r="U3" s="120"/>
      <c r="V3" s="120"/>
      <c r="W3" s="120"/>
    </row>
    <row r="4" spans="1:25" x14ac:dyDescent="0.25">
      <c r="A4" s="12"/>
      <c r="B4" s="62"/>
      <c r="C4" s="62"/>
      <c r="D4" s="122" t="s">
        <v>102</v>
      </c>
      <c r="E4" s="122"/>
      <c r="F4" s="122"/>
      <c r="G4" s="122"/>
      <c r="H4" s="122"/>
      <c r="I4" s="62"/>
      <c r="J4" s="122" t="s">
        <v>63</v>
      </c>
      <c r="K4" s="122"/>
      <c r="L4" s="122"/>
      <c r="M4" s="62"/>
      <c r="N4" s="62"/>
      <c r="O4" s="62"/>
    </row>
    <row r="5" spans="1:25" x14ac:dyDescent="0.25">
      <c r="A5" s="12"/>
      <c r="B5" s="57" t="s">
        <v>68</v>
      </c>
      <c r="C5" s="57" t="s">
        <v>67</v>
      </c>
      <c r="D5" s="57" t="s">
        <v>54</v>
      </c>
      <c r="E5" s="57" t="s">
        <v>55</v>
      </c>
      <c r="F5" s="57" t="s">
        <v>56</v>
      </c>
      <c r="G5" s="57" t="s">
        <v>57</v>
      </c>
      <c r="H5" s="57" t="s">
        <v>58</v>
      </c>
      <c r="I5" s="57" t="s">
        <v>59</v>
      </c>
      <c r="J5" s="57" t="s">
        <v>60</v>
      </c>
      <c r="K5" s="57" t="s">
        <v>61</v>
      </c>
      <c r="L5" s="57" t="s">
        <v>62</v>
      </c>
      <c r="M5" s="57" t="s">
        <v>65</v>
      </c>
      <c r="N5" s="57" t="s">
        <v>64</v>
      </c>
      <c r="O5" s="57" t="s">
        <v>66</v>
      </c>
      <c r="P5" s="13"/>
      <c r="S5" s="57" t="s">
        <v>105</v>
      </c>
      <c r="T5" s="57" t="s">
        <v>67</v>
      </c>
      <c r="U5" s="57" t="s">
        <v>106</v>
      </c>
      <c r="V5" s="57" t="s">
        <v>66</v>
      </c>
      <c r="X5" s="13"/>
    </row>
    <row r="6" spans="1:25" x14ac:dyDescent="0.25">
      <c r="A6" s="12"/>
      <c r="B6" s="62">
        <v>1</v>
      </c>
      <c r="C6" s="62" t="s">
        <v>8</v>
      </c>
      <c r="D6" s="62">
        <v>25000</v>
      </c>
      <c r="E6" s="62">
        <f>D6*20%</f>
        <v>5000</v>
      </c>
      <c r="F6" s="62">
        <f>D6*2%</f>
        <v>500</v>
      </c>
      <c r="G6" s="62">
        <f>D6*1.5%</f>
        <v>375</v>
      </c>
      <c r="H6" s="62">
        <f>D6*2.5%</f>
        <v>625</v>
      </c>
      <c r="I6" s="62">
        <f>SUM(D6:H6)</f>
        <v>31500</v>
      </c>
      <c r="J6" s="62">
        <f>D6*12%</f>
        <v>3000</v>
      </c>
      <c r="K6" s="62">
        <f>D6*1%</f>
        <v>250</v>
      </c>
      <c r="L6" s="62">
        <f>I6*2.7%</f>
        <v>850.50000000000011</v>
      </c>
      <c r="M6" s="62">
        <f>D6*1.5%</f>
        <v>375</v>
      </c>
      <c r="N6" s="62">
        <f>SUM(J6:M6)</f>
        <v>4475.5</v>
      </c>
      <c r="O6" s="62">
        <f>I6-N6</f>
        <v>27024.5</v>
      </c>
      <c r="S6" s="62">
        <v>1</v>
      </c>
      <c r="T6" s="62" t="s">
        <v>8</v>
      </c>
      <c r="U6" s="62">
        <f>LOOKUP(T6,C6:C15,I6:I15)</f>
        <v>31500</v>
      </c>
      <c r="V6" s="62">
        <f>LOOKUP(T6,C6:C15,O6:O15)</f>
        <v>27024.5</v>
      </c>
    </row>
    <row r="7" spans="1:25" x14ac:dyDescent="0.25">
      <c r="A7" s="12"/>
      <c r="B7" s="62">
        <v>2</v>
      </c>
      <c r="C7" s="62" t="s">
        <v>9</v>
      </c>
      <c r="D7" s="62">
        <v>35000</v>
      </c>
      <c r="E7" s="62">
        <f>D7*20%</f>
        <v>7000</v>
      </c>
      <c r="F7" s="62">
        <f>D7*2%</f>
        <v>700</v>
      </c>
      <c r="G7" s="62">
        <f>D7*1.5%</f>
        <v>525</v>
      </c>
      <c r="H7" s="62">
        <f>D7*2.5%</f>
        <v>875</v>
      </c>
      <c r="I7" s="62">
        <f>SUM(D7:H7)</f>
        <v>44100</v>
      </c>
      <c r="J7" s="62">
        <f>D7*12%</f>
        <v>4200</v>
      </c>
      <c r="K7" s="62">
        <f>D7*1%</f>
        <v>350</v>
      </c>
      <c r="L7" s="62">
        <f>I7*2.7%</f>
        <v>1190.7</v>
      </c>
      <c r="M7" s="62">
        <f>D7*1.5%</f>
        <v>525</v>
      </c>
      <c r="N7" s="62">
        <f>SUM(J7:M7)</f>
        <v>6265.7</v>
      </c>
      <c r="O7" s="62">
        <f>I7-N7</f>
        <v>37834.300000000003</v>
      </c>
      <c r="S7" s="62">
        <v>2</v>
      </c>
      <c r="T7" s="62" t="s">
        <v>9</v>
      </c>
      <c r="U7" s="62">
        <f t="shared" ref="U7:U15" si="0">LOOKUP(T7,C7:C15,I7:I15)</f>
        <v>44100</v>
      </c>
      <c r="V7" s="62">
        <f t="shared" ref="V7:V15" si="1">LOOKUP(T7,C7:C15,O7:O15)</f>
        <v>37834.300000000003</v>
      </c>
      <c r="X7" s="25"/>
    </row>
    <row r="8" spans="1:25" x14ac:dyDescent="0.25">
      <c r="A8" s="12"/>
      <c r="B8" s="62">
        <v>3</v>
      </c>
      <c r="C8" s="62" t="s">
        <v>10</v>
      </c>
      <c r="D8" s="62">
        <v>28000</v>
      </c>
      <c r="E8" s="62">
        <f t="shared" ref="E8:E15" si="2">D8*20%</f>
        <v>5600</v>
      </c>
      <c r="F8" s="62">
        <f t="shared" ref="F8:F15" si="3">D8*2%</f>
        <v>560</v>
      </c>
      <c r="G8" s="62">
        <f t="shared" ref="G8:G15" si="4">D8*1.5%</f>
        <v>420</v>
      </c>
      <c r="H8" s="62">
        <f t="shared" ref="H8:H15" si="5">D8*2.5%</f>
        <v>700</v>
      </c>
      <c r="I8" s="62">
        <f t="shared" ref="I8:I15" si="6">SUM(D8:H8)</f>
        <v>35280</v>
      </c>
      <c r="J8" s="62">
        <f t="shared" ref="J8:J15" si="7">D8*12%</f>
        <v>3360</v>
      </c>
      <c r="K8" s="62">
        <f t="shared" ref="K8:K15" si="8">D8*1%</f>
        <v>280</v>
      </c>
      <c r="L8" s="62">
        <f t="shared" ref="L8:L15" si="9">I8*2.7%</f>
        <v>952.56000000000006</v>
      </c>
      <c r="M8" s="62">
        <f t="shared" ref="M8:M15" si="10">D8*1.5%</f>
        <v>420</v>
      </c>
      <c r="N8" s="62">
        <f t="shared" ref="N8:N15" si="11">SUM(J8:M8)</f>
        <v>5012.5600000000004</v>
      </c>
      <c r="O8" s="62">
        <f t="shared" ref="O8:O15" si="12">I8-N8</f>
        <v>30267.439999999999</v>
      </c>
      <c r="S8" s="62">
        <v>3</v>
      </c>
      <c r="T8" s="62" t="s">
        <v>10</v>
      </c>
      <c r="U8" s="62">
        <f t="shared" si="0"/>
        <v>35280</v>
      </c>
      <c r="V8" s="62">
        <f t="shared" si="1"/>
        <v>30267.439999999999</v>
      </c>
      <c r="X8" s="25"/>
    </row>
    <row r="9" spans="1:25" x14ac:dyDescent="0.25">
      <c r="A9" s="12"/>
      <c r="B9" s="62">
        <v>4</v>
      </c>
      <c r="C9" s="62" t="s">
        <v>11</v>
      </c>
      <c r="D9" s="62">
        <v>15000</v>
      </c>
      <c r="E9" s="62">
        <f t="shared" si="2"/>
        <v>3000</v>
      </c>
      <c r="F9" s="62">
        <f t="shared" si="3"/>
        <v>300</v>
      </c>
      <c r="G9" s="62">
        <f t="shared" si="4"/>
        <v>225</v>
      </c>
      <c r="H9" s="62">
        <f t="shared" si="5"/>
        <v>375</v>
      </c>
      <c r="I9" s="62">
        <f t="shared" si="6"/>
        <v>18900</v>
      </c>
      <c r="J9" s="62">
        <f t="shared" si="7"/>
        <v>1800</v>
      </c>
      <c r="K9" s="62">
        <f t="shared" si="8"/>
        <v>150</v>
      </c>
      <c r="L9" s="62">
        <f t="shared" si="9"/>
        <v>510.30000000000007</v>
      </c>
      <c r="M9" s="62">
        <f t="shared" si="10"/>
        <v>225</v>
      </c>
      <c r="N9" s="62">
        <f t="shared" si="11"/>
        <v>2685.3</v>
      </c>
      <c r="O9" s="62">
        <f t="shared" si="12"/>
        <v>16214.7</v>
      </c>
      <c r="S9" s="62">
        <v>4</v>
      </c>
      <c r="T9" s="62" t="s">
        <v>11</v>
      </c>
      <c r="U9" s="62">
        <f t="shared" si="0"/>
        <v>18900</v>
      </c>
      <c r="V9" s="62">
        <f t="shared" si="1"/>
        <v>16214.7</v>
      </c>
      <c r="X9" s="25"/>
    </row>
    <row r="10" spans="1:25" x14ac:dyDescent="0.25">
      <c r="A10" s="12"/>
      <c r="B10" s="62">
        <v>5</v>
      </c>
      <c r="C10" s="62" t="s">
        <v>12</v>
      </c>
      <c r="D10" s="62">
        <v>36000</v>
      </c>
      <c r="E10" s="62">
        <f t="shared" si="2"/>
        <v>7200</v>
      </c>
      <c r="F10" s="62">
        <f t="shared" si="3"/>
        <v>720</v>
      </c>
      <c r="G10" s="62">
        <f t="shared" si="4"/>
        <v>540</v>
      </c>
      <c r="H10" s="62">
        <f t="shared" si="5"/>
        <v>900</v>
      </c>
      <c r="I10" s="62">
        <f t="shared" si="6"/>
        <v>45360</v>
      </c>
      <c r="J10" s="62">
        <f t="shared" si="7"/>
        <v>4320</v>
      </c>
      <c r="K10" s="62">
        <f t="shared" si="8"/>
        <v>360</v>
      </c>
      <c r="L10" s="62">
        <f t="shared" si="9"/>
        <v>1224.7200000000003</v>
      </c>
      <c r="M10" s="62">
        <f t="shared" si="10"/>
        <v>540</v>
      </c>
      <c r="N10" s="62">
        <f t="shared" si="11"/>
        <v>6444.72</v>
      </c>
      <c r="O10" s="62">
        <f t="shared" si="12"/>
        <v>38915.279999999999</v>
      </c>
      <c r="S10" s="62">
        <v>5</v>
      </c>
      <c r="T10" s="62" t="s">
        <v>12</v>
      </c>
      <c r="U10" s="62">
        <f t="shared" si="0"/>
        <v>45360</v>
      </c>
      <c r="V10" s="62">
        <f t="shared" si="1"/>
        <v>38915.279999999999</v>
      </c>
      <c r="X10" s="25"/>
    </row>
    <row r="11" spans="1:25" x14ac:dyDescent="0.25">
      <c r="A11" s="12"/>
      <c r="B11" s="62">
        <v>6</v>
      </c>
      <c r="C11" s="62" t="s">
        <v>13</v>
      </c>
      <c r="D11" s="62">
        <v>58000</v>
      </c>
      <c r="E11" s="62">
        <f t="shared" si="2"/>
        <v>11600</v>
      </c>
      <c r="F11" s="62">
        <f t="shared" si="3"/>
        <v>1160</v>
      </c>
      <c r="G11" s="62">
        <f t="shared" si="4"/>
        <v>870</v>
      </c>
      <c r="H11" s="62">
        <f t="shared" si="5"/>
        <v>1450</v>
      </c>
      <c r="I11" s="62">
        <f t="shared" si="6"/>
        <v>73080</v>
      </c>
      <c r="J11" s="62">
        <f t="shared" si="7"/>
        <v>6960</v>
      </c>
      <c r="K11" s="62">
        <f t="shared" si="8"/>
        <v>580</v>
      </c>
      <c r="L11" s="62">
        <f t="shared" si="9"/>
        <v>1973.1600000000003</v>
      </c>
      <c r="M11" s="62">
        <f t="shared" si="10"/>
        <v>870</v>
      </c>
      <c r="N11" s="62">
        <f t="shared" si="11"/>
        <v>10383.16</v>
      </c>
      <c r="O11" s="62">
        <f t="shared" si="12"/>
        <v>62696.84</v>
      </c>
      <c r="S11" s="62">
        <v>6</v>
      </c>
      <c r="T11" s="62" t="s">
        <v>13</v>
      </c>
      <c r="U11" s="62">
        <f t="shared" si="0"/>
        <v>73080</v>
      </c>
      <c r="V11" s="62">
        <f t="shared" si="1"/>
        <v>62696.84</v>
      </c>
      <c r="X11" s="25"/>
    </row>
    <row r="12" spans="1:25" x14ac:dyDescent="0.25">
      <c r="A12" s="12"/>
      <c r="B12" s="62">
        <v>7</v>
      </c>
      <c r="C12" s="62" t="s">
        <v>14</v>
      </c>
      <c r="D12" s="62">
        <v>24000</v>
      </c>
      <c r="E12" s="62">
        <f t="shared" si="2"/>
        <v>4800</v>
      </c>
      <c r="F12" s="62">
        <f t="shared" si="3"/>
        <v>480</v>
      </c>
      <c r="G12" s="62">
        <f t="shared" si="4"/>
        <v>360</v>
      </c>
      <c r="H12" s="62">
        <f t="shared" si="5"/>
        <v>600</v>
      </c>
      <c r="I12" s="62">
        <f t="shared" si="6"/>
        <v>30240</v>
      </c>
      <c r="J12" s="62">
        <f t="shared" si="7"/>
        <v>2880</v>
      </c>
      <c r="K12" s="62">
        <f t="shared" si="8"/>
        <v>240</v>
      </c>
      <c r="L12" s="62">
        <f t="shared" si="9"/>
        <v>816.48000000000013</v>
      </c>
      <c r="M12" s="62">
        <f t="shared" si="10"/>
        <v>360</v>
      </c>
      <c r="N12" s="62">
        <f t="shared" si="11"/>
        <v>4296.4799999999996</v>
      </c>
      <c r="O12" s="62">
        <f t="shared" si="12"/>
        <v>25943.52</v>
      </c>
      <c r="S12" s="62">
        <v>7</v>
      </c>
      <c r="T12" s="62" t="s">
        <v>14</v>
      </c>
      <c r="U12" s="62">
        <f t="shared" si="0"/>
        <v>30240</v>
      </c>
      <c r="V12" s="62">
        <f t="shared" si="1"/>
        <v>25943.52</v>
      </c>
      <c r="X12" s="25"/>
    </row>
    <row r="13" spans="1:25" x14ac:dyDescent="0.25">
      <c r="A13" s="12"/>
      <c r="B13" s="62">
        <v>8</v>
      </c>
      <c r="C13" s="62" t="s">
        <v>15</v>
      </c>
      <c r="D13" s="62">
        <v>45000</v>
      </c>
      <c r="E13" s="62">
        <f t="shared" si="2"/>
        <v>9000</v>
      </c>
      <c r="F13" s="62">
        <f t="shared" si="3"/>
        <v>900</v>
      </c>
      <c r="G13" s="62">
        <f t="shared" si="4"/>
        <v>675</v>
      </c>
      <c r="H13" s="62">
        <f t="shared" si="5"/>
        <v>1125</v>
      </c>
      <c r="I13" s="62">
        <f t="shared" si="6"/>
        <v>56700</v>
      </c>
      <c r="J13" s="62">
        <f t="shared" si="7"/>
        <v>5400</v>
      </c>
      <c r="K13" s="62">
        <f t="shared" si="8"/>
        <v>450</v>
      </c>
      <c r="L13" s="62">
        <f t="shared" si="9"/>
        <v>1530.9</v>
      </c>
      <c r="M13" s="62">
        <f t="shared" si="10"/>
        <v>675</v>
      </c>
      <c r="N13" s="62">
        <f t="shared" si="11"/>
        <v>8055.9</v>
      </c>
      <c r="O13" s="62">
        <f t="shared" si="12"/>
        <v>48644.1</v>
      </c>
      <c r="S13" s="62">
        <v>8</v>
      </c>
      <c r="T13" s="62" t="s">
        <v>15</v>
      </c>
      <c r="U13" s="62">
        <f t="shared" si="0"/>
        <v>56700</v>
      </c>
      <c r="V13" s="62">
        <f t="shared" si="1"/>
        <v>48644.1</v>
      </c>
      <c r="X13" s="25"/>
    </row>
    <row r="14" spans="1:25" x14ac:dyDescent="0.25">
      <c r="A14" s="12"/>
      <c r="B14" s="62">
        <v>9</v>
      </c>
      <c r="C14" s="62" t="s">
        <v>16</v>
      </c>
      <c r="D14" s="62">
        <v>50000</v>
      </c>
      <c r="E14" s="62">
        <f t="shared" si="2"/>
        <v>10000</v>
      </c>
      <c r="F14" s="62">
        <f t="shared" si="3"/>
        <v>1000</v>
      </c>
      <c r="G14" s="62">
        <f t="shared" si="4"/>
        <v>750</v>
      </c>
      <c r="H14" s="62">
        <f t="shared" si="5"/>
        <v>1250</v>
      </c>
      <c r="I14" s="62">
        <f t="shared" si="6"/>
        <v>63000</v>
      </c>
      <c r="J14" s="62">
        <f t="shared" si="7"/>
        <v>6000</v>
      </c>
      <c r="K14" s="62">
        <f t="shared" si="8"/>
        <v>500</v>
      </c>
      <c r="L14" s="62">
        <f t="shared" si="9"/>
        <v>1701.0000000000002</v>
      </c>
      <c r="M14" s="62">
        <f t="shared" si="10"/>
        <v>750</v>
      </c>
      <c r="N14" s="62">
        <f t="shared" si="11"/>
        <v>8951</v>
      </c>
      <c r="O14" s="62">
        <f t="shared" si="12"/>
        <v>54049</v>
      </c>
      <c r="S14" s="62">
        <v>9</v>
      </c>
      <c r="T14" s="62" t="s">
        <v>16</v>
      </c>
      <c r="U14" s="62">
        <f t="shared" si="0"/>
        <v>63000</v>
      </c>
      <c r="V14" s="62">
        <f t="shared" si="1"/>
        <v>54049</v>
      </c>
      <c r="X14" s="25"/>
    </row>
    <row r="15" spans="1:25" x14ac:dyDescent="0.25">
      <c r="A15" s="12"/>
      <c r="B15" s="62">
        <v>10</v>
      </c>
      <c r="C15" s="62" t="s">
        <v>17</v>
      </c>
      <c r="D15" s="62">
        <v>65000</v>
      </c>
      <c r="E15" s="62">
        <f t="shared" si="2"/>
        <v>13000</v>
      </c>
      <c r="F15" s="62">
        <f t="shared" si="3"/>
        <v>1300</v>
      </c>
      <c r="G15" s="62">
        <f t="shared" si="4"/>
        <v>975</v>
      </c>
      <c r="H15" s="62">
        <f t="shared" si="5"/>
        <v>1625</v>
      </c>
      <c r="I15" s="62">
        <f t="shared" si="6"/>
        <v>81900</v>
      </c>
      <c r="J15" s="62">
        <f t="shared" si="7"/>
        <v>7800</v>
      </c>
      <c r="K15" s="62">
        <f t="shared" si="8"/>
        <v>650</v>
      </c>
      <c r="L15" s="62">
        <f t="shared" si="9"/>
        <v>2211.3000000000002</v>
      </c>
      <c r="M15" s="62">
        <f t="shared" si="10"/>
        <v>975</v>
      </c>
      <c r="N15" s="62">
        <f t="shared" si="11"/>
        <v>11636.3</v>
      </c>
      <c r="O15" s="62">
        <f t="shared" si="12"/>
        <v>70263.7</v>
      </c>
      <c r="S15" s="62">
        <v>10</v>
      </c>
      <c r="T15" s="62" t="s">
        <v>17</v>
      </c>
      <c r="U15" s="62">
        <f t="shared" si="0"/>
        <v>81900</v>
      </c>
      <c r="V15" s="62">
        <f t="shared" si="1"/>
        <v>70263.7</v>
      </c>
      <c r="X15" s="25"/>
    </row>
    <row r="16" spans="1:25" x14ac:dyDescent="0.25">
      <c r="S16" s="53"/>
      <c r="T16" s="53"/>
      <c r="U16" s="53"/>
      <c r="V16" s="53"/>
    </row>
    <row r="17" spans="2:22" x14ac:dyDescent="0.25">
      <c r="S17" s="126" t="s">
        <v>333</v>
      </c>
      <c r="T17" s="127"/>
      <c r="U17" s="127"/>
      <c r="V17" s="127"/>
    </row>
    <row r="18" spans="2:22" x14ac:dyDescent="0.25">
      <c r="B18" s="13"/>
      <c r="S18" s="57" t="s">
        <v>105</v>
      </c>
      <c r="T18" s="57" t="s">
        <v>67</v>
      </c>
      <c r="U18" s="57" t="s">
        <v>106</v>
      </c>
      <c r="V18" s="57" t="s">
        <v>66</v>
      </c>
    </row>
    <row r="19" spans="2:22" x14ac:dyDescent="0.25">
      <c r="B19" s="53"/>
      <c r="S19" s="62">
        <v>1</v>
      </c>
      <c r="T19" s="62" t="s">
        <v>8</v>
      </c>
      <c r="U19" s="62">
        <f>LOOKUP(T19,C6:C15,I6:I15)</f>
        <v>31500</v>
      </c>
      <c r="V19" s="62">
        <f>LOOKUP(T19,C6:C15,O6:O15)</f>
        <v>27024.5</v>
      </c>
    </row>
    <row r="20" spans="2:22" x14ac:dyDescent="0.25">
      <c r="B20" s="53"/>
      <c r="S20" s="62">
        <v>2</v>
      </c>
      <c r="T20" s="62" t="s">
        <v>9</v>
      </c>
      <c r="U20" s="62">
        <f t="shared" ref="U20:U28" si="13">LOOKUP(T20,C7:C15,I7:I15)</f>
        <v>44100</v>
      </c>
      <c r="V20" s="62">
        <f t="shared" ref="V20:V28" si="14">LOOKUP(T20,C7:C15,O7:O15)</f>
        <v>37834.300000000003</v>
      </c>
    </row>
    <row r="21" spans="2:22" x14ac:dyDescent="0.25">
      <c r="B21" s="53"/>
      <c r="S21" s="62">
        <v>3</v>
      </c>
      <c r="T21" s="62" t="s">
        <v>10</v>
      </c>
      <c r="U21" s="62">
        <f t="shared" si="13"/>
        <v>35280</v>
      </c>
      <c r="V21" s="62">
        <f t="shared" si="14"/>
        <v>30267.439999999999</v>
      </c>
    </row>
    <row r="22" spans="2:22" x14ac:dyDescent="0.25">
      <c r="B22" s="53"/>
      <c r="S22" s="62">
        <v>4</v>
      </c>
      <c r="T22" s="62" t="s">
        <v>11</v>
      </c>
      <c r="U22" s="62">
        <f t="shared" si="13"/>
        <v>18900</v>
      </c>
      <c r="V22" s="62">
        <f t="shared" si="14"/>
        <v>16214.7</v>
      </c>
    </row>
    <row r="23" spans="2:22" x14ac:dyDescent="0.25">
      <c r="B23" s="53"/>
      <c r="S23" s="62">
        <v>5</v>
      </c>
      <c r="T23" s="62" t="s">
        <v>12</v>
      </c>
      <c r="U23" s="62">
        <f t="shared" si="13"/>
        <v>45360</v>
      </c>
      <c r="V23" s="62">
        <f t="shared" si="14"/>
        <v>38915.279999999999</v>
      </c>
    </row>
    <row r="24" spans="2:22" x14ac:dyDescent="0.25">
      <c r="B24" s="53"/>
      <c r="S24" s="62">
        <v>6</v>
      </c>
      <c r="T24" s="62" t="s">
        <v>13</v>
      </c>
      <c r="U24" s="62">
        <f t="shared" si="13"/>
        <v>73080</v>
      </c>
      <c r="V24" s="62">
        <f t="shared" si="14"/>
        <v>62696.84</v>
      </c>
    </row>
    <row r="25" spans="2:22" x14ac:dyDescent="0.25">
      <c r="B25" s="53"/>
      <c r="S25" s="62">
        <v>7</v>
      </c>
      <c r="T25" s="62" t="s">
        <v>14</v>
      </c>
      <c r="U25" s="62">
        <f t="shared" si="13"/>
        <v>30240</v>
      </c>
      <c r="V25" s="62">
        <f t="shared" si="14"/>
        <v>25943.52</v>
      </c>
    </row>
    <row r="26" spans="2:22" x14ac:dyDescent="0.25">
      <c r="B26" s="53"/>
      <c r="S26" s="62">
        <v>8</v>
      </c>
      <c r="T26" s="62" t="s">
        <v>15</v>
      </c>
      <c r="U26" s="62">
        <f t="shared" si="13"/>
        <v>56700</v>
      </c>
      <c r="V26" s="62">
        <f t="shared" si="14"/>
        <v>48644.1</v>
      </c>
    </row>
    <row r="27" spans="2:22" x14ac:dyDescent="0.25">
      <c r="B27" s="53"/>
      <c r="S27" s="62">
        <v>9</v>
      </c>
      <c r="T27" s="62" t="s">
        <v>16</v>
      </c>
      <c r="U27" s="62">
        <f t="shared" si="13"/>
        <v>63000</v>
      </c>
      <c r="V27" s="62">
        <f t="shared" si="14"/>
        <v>54049</v>
      </c>
    </row>
    <row r="28" spans="2:22" x14ac:dyDescent="0.25">
      <c r="B28" s="53"/>
      <c r="S28" s="62">
        <v>10</v>
      </c>
      <c r="T28" s="62" t="s">
        <v>17</v>
      </c>
      <c r="U28" s="62">
        <f t="shared" si="13"/>
        <v>81900</v>
      </c>
      <c r="V28" s="62">
        <f t="shared" si="14"/>
        <v>70263.7</v>
      </c>
    </row>
  </sheetData>
  <mergeCells count="5">
    <mergeCell ref="A1:O2"/>
    <mergeCell ref="D4:H4"/>
    <mergeCell ref="J4:L4"/>
    <mergeCell ref="S2:W3"/>
    <mergeCell ref="S17:V17"/>
  </mergeCells>
  <conditionalFormatting sqref="O6:Q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1.MARKSHEET</vt:lpstr>
      <vt:lpstr>2.INDEX &amp; MATCH</vt:lpstr>
      <vt:lpstr>3.SALARYSHEET</vt:lpstr>
      <vt:lpstr>4.PAYSLEEP</vt:lpstr>
      <vt:lpstr>5.6.7.UPPER,LOWER,PROPER</vt:lpstr>
      <vt:lpstr>8.LIGHT BILL</vt:lpstr>
      <vt:lpstr>9.LOAN</vt:lpstr>
      <vt:lpstr>10.DEPRECIATION</vt:lpstr>
      <vt:lpstr>11.LOOKUP</vt:lpstr>
      <vt:lpstr>12.VLOOKUP</vt:lpstr>
      <vt:lpstr>13.HLOOKUP</vt:lpstr>
      <vt:lpstr>14.SUMIF</vt:lpstr>
      <vt:lpstr>15.SUMIFS</vt:lpstr>
      <vt:lpstr>16.COUNTIF</vt:lpstr>
      <vt:lpstr>17.COUNTIFS</vt:lpstr>
      <vt:lpstr>18.19.COUNTA &amp; COUNTBLANK</vt:lpstr>
      <vt:lpstr>20.AVERAGEIF</vt:lpstr>
      <vt:lpstr>21.AVERRAGEIFS</vt:lpstr>
      <vt:lpstr>22.SUBTOTAL</vt:lpstr>
      <vt:lpstr>23.FREQUENCY</vt:lpstr>
      <vt:lpstr>24.SUMPRODUCT</vt:lpstr>
      <vt:lpstr>Sheet1</vt:lpstr>
      <vt:lpstr>25.26.IF AND IF OR</vt:lpstr>
      <vt:lpstr>27.NESTED IF</vt:lpstr>
      <vt:lpstr>28-31.LEFT, MID,RIGHT,FIND.</vt:lpstr>
      <vt:lpstr>32.REPEAT</vt:lpstr>
      <vt:lpstr>33.SUBSTITUTE</vt:lpstr>
      <vt:lpstr>34.1.PROFIT AND LOSS ACCOUNT</vt:lpstr>
      <vt:lpstr>34.2.BALANCE SHEET</vt:lpstr>
      <vt:lpstr>34.3.DEPRECATION ON FIXED ASSET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Kokare</dc:creator>
  <cp:lastModifiedBy>admin</cp:lastModifiedBy>
  <cp:lastPrinted>2021-07-29T08:44:47Z</cp:lastPrinted>
  <dcterms:created xsi:type="dcterms:W3CDTF">2021-07-07T11:16:10Z</dcterms:created>
  <dcterms:modified xsi:type="dcterms:W3CDTF">2022-05-12T06:51:57Z</dcterms:modified>
</cp:coreProperties>
</file>