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1"/>
  </bookViews>
  <sheets>
    <sheet name="총괄" sheetId="16" r:id="rId1"/>
    <sheet name="01" sheetId="1035" r:id="rId2"/>
    <sheet name="09" sheetId="1036" r:id="rId3"/>
    <sheet name="10" sheetId="1037" r:id="rId4"/>
    <sheet name="11" sheetId="1038" r:id="rId5"/>
    <sheet name="12" sheetId="1039" r:id="rId6"/>
    <sheet name="13" sheetId="1040" r:id="rId7"/>
    <sheet name="16" sheetId="1041" r:id="rId8"/>
    <sheet name="17" sheetId="1042" r:id="rId9"/>
    <sheet name="18" sheetId="1043" r:id="rId10"/>
    <sheet name="19" sheetId="1044" r:id="rId11"/>
    <sheet name="20" sheetId="1045" r:id="rId12"/>
    <sheet name="21" sheetId="1046" r:id="rId13"/>
    <sheet name="23" sheetId="1047" r:id="rId14"/>
    <sheet name="24" sheetId="1048" r:id="rId15"/>
    <sheet name="25" sheetId="1049" r:id="rId16"/>
    <sheet name="26" sheetId="1050" r:id="rId17"/>
    <sheet name="27" sheetId="1051" r:id="rId18"/>
    <sheet name="28" sheetId="1052" r:id="rId19"/>
    <sheet name="29" sheetId="1053" r:id="rId20"/>
    <sheet name="30" sheetId="1054" r:id="rId21"/>
    <sheet name="31" sheetId="1055" r:id="rId22"/>
  </sheets>
  <definedNames>
    <definedName name="_xlnm.Print_Area" localSheetId="1">'01'!$A$1:$AD$86</definedName>
    <definedName name="_xlnm.Print_Area" localSheetId="2">'09'!$A$1:$AD$86</definedName>
    <definedName name="_xlnm.Print_Area" localSheetId="3">'10'!$A$1:$AD$86</definedName>
    <definedName name="_xlnm.Print_Area" localSheetId="4">'11'!$A$1:$AD$86</definedName>
    <definedName name="_xlnm.Print_Area" localSheetId="5">'12'!$A$1:$AD$86</definedName>
    <definedName name="_xlnm.Print_Area" localSheetId="6">'13'!$A$1:$AD$86</definedName>
    <definedName name="_xlnm.Print_Area" localSheetId="7">'16'!$A$1:$AD$86</definedName>
    <definedName name="_xlnm.Print_Area" localSheetId="8">'17'!$A$1:$AD$86</definedName>
    <definedName name="_xlnm.Print_Area" localSheetId="9">'18'!$A$1:$AD$87</definedName>
    <definedName name="_xlnm.Print_Area" localSheetId="10">'19'!$A$1:$AD$87</definedName>
    <definedName name="_xlnm.Print_Area" localSheetId="11">'20'!$A$1:$AD$86</definedName>
    <definedName name="_xlnm.Print_Area" localSheetId="12">'21'!$A$1:$AD$86</definedName>
    <definedName name="_xlnm.Print_Area" localSheetId="13">'23'!$A$1:$AD$86</definedName>
    <definedName name="_xlnm.Print_Area" localSheetId="14">'24'!$A$1:$AD$86</definedName>
    <definedName name="_xlnm.Print_Area" localSheetId="15">'25'!$A$1:$AD$86</definedName>
    <definedName name="_xlnm.Print_Area" localSheetId="16">'26'!$A$1:$AD$86</definedName>
    <definedName name="_xlnm.Print_Area" localSheetId="17">'27'!$A$1:$AD$87</definedName>
    <definedName name="_xlnm.Print_Area" localSheetId="18">'28'!$A$1:$AD$86</definedName>
    <definedName name="_xlnm.Print_Area" localSheetId="19">'29'!$A$1:$AD$86</definedName>
    <definedName name="_xlnm.Print_Area" localSheetId="20">'30'!$A$1:$AD$87</definedName>
    <definedName name="_xlnm.Print_Area" localSheetId="21">'31'!$A$1:$AD$86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19" i="1055"/>
  <c r="L18" i="1055"/>
  <c r="AB18" i="1055" s="1"/>
  <c r="K16" i="1055"/>
  <c r="L12" i="1055"/>
  <c r="K12" i="1055" s="1"/>
  <c r="L10" i="1055"/>
  <c r="L9" i="1055"/>
  <c r="K9" i="1055" s="1"/>
  <c r="L8" i="1055"/>
  <c r="K8" i="1055" s="1"/>
  <c r="L7" i="1055"/>
  <c r="K19" i="1055"/>
  <c r="K18" i="1055"/>
  <c r="K17" i="1055"/>
  <c r="K14" i="1055"/>
  <c r="K13" i="1055"/>
  <c r="K11" i="1055"/>
  <c r="K10" i="1055"/>
  <c r="K7" i="1055"/>
  <c r="A74" i="1055"/>
  <c r="A75" i="1055" s="1"/>
  <c r="A76" i="1055" s="1"/>
  <c r="A77" i="1055" s="1"/>
  <c r="A78" i="1055" s="1"/>
  <c r="A79" i="1055" s="1"/>
  <c r="A80" i="1055" s="1"/>
  <c r="A81" i="1055" s="1"/>
  <c r="AF60" i="1055"/>
  <c r="AF59" i="1055"/>
  <c r="AF62" i="1055" s="1"/>
  <c r="AA21" i="1055"/>
  <c r="Z21" i="1055"/>
  <c r="Y21" i="1055"/>
  <c r="X21" i="1055"/>
  <c r="W21" i="1055"/>
  <c r="V21" i="1055"/>
  <c r="U21" i="1055"/>
  <c r="T21" i="1055"/>
  <c r="S21" i="1055"/>
  <c r="R21" i="1055"/>
  <c r="N21" i="1055"/>
  <c r="J21" i="1055"/>
  <c r="I21" i="1055"/>
  <c r="AF20" i="1055"/>
  <c r="AB20" i="1055"/>
  <c r="Q20" i="1055"/>
  <c r="P20" i="1055"/>
  <c r="AC20" i="1055" s="1"/>
  <c r="O20" i="1055"/>
  <c r="M20" i="1055"/>
  <c r="K20" i="1055"/>
  <c r="AF19" i="1055"/>
  <c r="Q19" i="1055"/>
  <c r="P19" i="1055" s="1"/>
  <c r="AC19" i="1055" s="1"/>
  <c r="O19" i="1055"/>
  <c r="M19" i="1055"/>
  <c r="AF18" i="1055"/>
  <c r="Q18" i="1055"/>
  <c r="M18" i="1055"/>
  <c r="AF17" i="1055"/>
  <c r="AB17" i="1055"/>
  <c r="Q17" i="1055"/>
  <c r="P17" i="1055" s="1"/>
  <c r="AC17" i="1055" s="1"/>
  <c r="O17" i="1055"/>
  <c r="M17" i="1055"/>
  <c r="AF16" i="1055"/>
  <c r="AB16" i="1055"/>
  <c r="Q16" i="1055"/>
  <c r="P16" i="1055" s="1"/>
  <c r="AC16" i="1055" s="1"/>
  <c r="O16" i="1055"/>
  <c r="M16" i="1055"/>
  <c r="AF15" i="1055"/>
  <c r="AB15" i="1055"/>
  <c r="Q15" i="1055"/>
  <c r="P15" i="1055"/>
  <c r="AC15" i="1055" s="1"/>
  <c r="O15" i="1055"/>
  <c r="M15" i="1055"/>
  <c r="K15" i="1055"/>
  <c r="AF14" i="1055"/>
  <c r="Q14" i="1055"/>
  <c r="P14" i="1055" s="1"/>
  <c r="AC14" i="1055" s="1"/>
  <c r="O14" i="1055"/>
  <c r="AF13" i="1055"/>
  <c r="AB13" i="1055"/>
  <c r="Q13" i="1055"/>
  <c r="M13" i="1055"/>
  <c r="P13" i="1055"/>
  <c r="AC13" i="1055" s="1"/>
  <c r="AF12" i="1055"/>
  <c r="Q12" i="1055"/>
  <c r="O12" i="1055"/>
  <c r="AF11" i="1055"/>
  <c r="AB11" i="1055"/>
  <c r="Q11" i="1055"/>
  <c r="P11" i="1055"/>
  <c r="AC11" i="1055" s="1"/>
  <c r="O11" i="1055"/>
  <c r="M11" i="1055"/>
  <c r="AF10" i="1055"/>
  <c r="Q10" i="1055"/>
  <c r="P10" i="1055" s="1"/>
  <c r="AC10" i="1055" s="1"/>
  <c r="O10" i="1055"/>
  <c r="AF9" i="1055"/>
  <c r="AB9" i="1055"/>
  <c r="Q9" i="1055"/>
  <c r="P9" i="1055" s="1"/>
  <c r="AC9" i="1055" s="1"/>
  <c r="O9" i="1055"/>
  <c r="M9" i="1055"/>
  <c r="AF8" i="1055"/>
  <c r="AB8" i="1055"/>
  <c r="Q8" i="1055"/>
  <c r="P8" i="1055" s="1"/>
  <c r="AC8" i="1055" s="1"/>
  <c r="L21" i="1055"/>
  <c r="O21" i="1055" s="1"/>
  <c r="AF7" i="1055"/>
  <c r="AB7" i="1055"/>
  <c r="Q7" i="1055"/>
  <c r="P7" i="1055" s="1"/>
  <c r="AC7" i="1055" s="1"/>
  <c r="O7" i="1055"/>
  <c r="M7" i="1055"/>
  <c r="AF6" i="1055"/>
  <c r="AB6" i="1055"/>
  <c r="Q6" i="1055"/>
  <c r="P6" i="1055"/>
  <c r="AC6" i="1055" s="1"/>
  <c r="O6" i="1055"/>
  <c r="M6" i="1055"/>
  <c r="K6" i="1055"/>
  <c r="AD20" i="1055" l="1"/>
  <c r="M8" i="1055"/>
  <c r="AD17" i="1055"/>
  <c r="P18" i="1055"/>
  <c r="AC18" i="1055" s="1"/>
  <c r="AD9" i="1055"/>
  <c r="Q21" i="1055"/>
  <c r="AD11" i="1055"/>
  <c r="AD7" i="1055"/>
  <c r="AD16" i="1055"/>
  <c r="AD15" i="1055"/>
  <c r="M10" i="1055"/>
  <c r="AB10" i="1055"/>
  <c r="AD10" i="1055" s="1"/>
  <c r="P12" i="1055"/>
  <c r="AC12" i="1055" s="1"/>
  <c r="M14" i="1055"/>
  <c r="AB14" i="1055"/>
  <c r="AD14" i="1055" s="1"/>
  <c r="AB19" i="1055"/>
  <c r="AD19" i="1055" s="1"/>
  <c r="AD6" i="1055"/>
  <c r="O8" i="1055"/>
  <c r="AD8" i="1055" s="1"/>
  <c r="K21" i="1055"/>
  <c r="M12" i="1055"/>
  <c r="AB12" i="1055"/>
  <c r="O13" i="1055"/>
  <c r="AD13" i="1055" s="1"/>
  <c r="O18" i="1055"/>
  <c r="AD18" i="1055" s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1054"/>
  <c r="L19" i="1054"/>
  <c r="K18" i="1054"/>
  <c r="L12" i="1054"/>
  <c r="K12" i="1054" s="1"/>
  <c r="K16" i="1054"/>
  <c r="L15" i="1054"/>
  <c r="K15" i="1054" s="1"/>
  <c r="L14" i="1054"/>
  <c r="L13" i="1054"/>
  <c r="L11" i="1054"/>
  <c r="K10" i="1054"/>
  <c r="AF10" i="1054"/>
  <c r="AB10" i="1054"/>
  <c r="Q10" i="1054"/>
  <c r="P10" i="1054" s="1"/>
  <c r="AC10" i="1054" s="1"/>
  <c r="O10" i="1054"/>
  <c r="M10" i="1054"/>
  <c r="L8" i="1054"/>
  <c r="K8" i="1054" s="1"/>
  <c r="K7" i="1054"/>
  <c r="K20" i="1054"/>
  <c r="K19" i="1054"/>
  <c r="K17" i="1054"/>
  <c r="K14" i="1054"/>
  <c r="K13" i="1054"/>
  <c r="K11" i="1054"/>
  <c r="K9" i="1054"/>
  <c r="A75" i="1054"/>
  <c r="A76" i="1054" s="1"/>
  <c r="A77" i="1054" s="1"/>
  <c r="A78" i="1054" s="1"/>
  <c r="A79" i="1054" s="1"/>
  <c r="A80" i="1054" s="1"/>
  <c r="A81" i="1054" s="1"/>
  <c r="A82" i="1054" s="1"/>
  <c r="AF63" i="1054"/>
  <c r="AF61" i="1054"/>
  <c r="AF60" i="1054"/>
  <c r="AA22" i="1054"/>
  <c r="Z22" i="1054"/>
  <c r="Y22" i="1054"/>
  <c r="X22" i="1054"/>
  <c r="W22" i="1054"/>
  <c r="V22" i="1054"/>
  <c r="U22" i="1054"/>
  <c r="T22" i="1054"/>
  <c r="S22" i="1054"/>
  <c r="R22" i="1054"/>
  <c r="N22" i="1054"/>
  <c r="L22" i="1054"/>
  <c r="J22" i="1054"/>
  <c r="I22" i="1054"/>
  <c r="AF21" i="1054"/>
  <c r="AB21" i="1054"/>
  <c r="Q21" i="1054"/>
  <c r="P21" i="1054"/>
  <c r="AC21" i="1054" s="1"/>
  <c r="O21" i="1054"/>
  <c r="M21" i="1054"/>
  <c r="K21" i="1054"/>
  <c r="AF20" i="1054"/>
  <c r="AB20" i="1054"/>
  <c r="Q20" i="1054"/>
  <c r="P20" i="1054" s="1"/>
  <c r="AC20" i="1054" s="1"/>
  <c r="O20" i="1054"/>
  <c r="M20" i="1054"/>
  <c r="AF19" i="1054"/>
  <c r="AB19" i="1054"/>
  <c r="Q19" i="1054"/>
  <c r="P19" i="1054" s="1"/>
  <c r="AC19" i="1054" s="1"/>
  <c r="O19" i="1054"/>
  <c r="M19" i="1054"/>
  <c r="AF18" i="1054"/>
  <c r="AB18" i="1054"/>
  <c r="Q18" i="1054"/>
  <c r="P18" i="1054" s="1"/>
  <c r="AC18" i="1054" s="1"/>
  <c r="O18" i="1054"/>
  <c r="M18" i="1054"/>
  <c r="AF17" i="1054"/>
  <c r="AB17" i="1054"/>
  <c r="Q17" i="1054"/>
  <c r="P17" i="1054" s="1"/>
  <c r="AC17" i="1054" s="1"/>
  <c r="O17" i="1054"/>
  <c r="M17" i="1054"/>
  <c r="AF16" i="1054"/>
  <c r="AB16" i="1054"/>
  <c r="Q16" i="1054"/>
  <c r="P16" i="1054"/>
  <c r="AC16" i="1054" s="1"/>
  <c r="O16" i="1054"/>
  <c r="M16" i="1054"/>
  <c r="AF15" i="1054"/>
  <c r="AB15" i="1054"/>
  <c r="Q15" i="1054"/>
  <c r="P15" i="1054" s="1"/>
  <c r="AC15" i="1054" s="1"/>
  <c r="O15" i="1054"/>
  <c r="M15" i="1054"/>
  <c r="AF14" i="1054"/>
  <c r="AB14" i="1054"/>
  <c r="Q14" i="1054"/>
  <c r="P14" i="1054" s="1"/>
  <c r="AC14" i="1054" s="1"/>
  <c r="O14" i="1054"/>
  <c r="M14" i="1054"/>
  <c r="AF13" i="1054"/>
  <c r="AB13" i="1054"/>
  <c r="Q13" i="1054"/>
  <c r="P13" i="1054"/>
  <c r="AC13" i="1054" s="1"/>
  <c r="O13" i="1054"/>
  <c r="M13" i="1054"/>
  <c r="AF12" i="1054"/>
  <c r="AB12" i="1054"/>
  <c r="Q12" i="1054"/>
  <c r="P12" i="1054" s="1"/>
  <c r="AC12" i="1054" s="1"/>
  <c r="O12" i="1054"/>
  <c r="M12" i="1054"/>
  <c r="AF11" i="1054"/>
  <c r="AB11" i="1054"/>
  <c r="Q11" i="1054"/>
  <c r="P11" i="1054" s="1"/>
  <c r="AC11" i="1054" s="1"/>
  <c r="O11" i="1054"/>
  <c r="M11" i="1054"/>
  <c r="AF9" i="1054"/>
  <c r="AB9" i="1054"/>
  <c r="Q9" i="1054"/>
  <c r="P9" i="1054" s="1"/>
  <c r="AC9" i="1054" s="1"/>
  <c r="O9" i="1054"/>
  <c r="M9" i="1054"/>
  <c r="AF8" i="1054"/>
  <c r="AB8" i="1054"/>
  <c r="Q8" i="1054"/>
  <c r="P8" i="1054" s="1"/>
  <c r="AC8" i="1054" s="1"/>
  <c r="O8" i="1054"/>
  <c r="M8" i="1054"/>
  <c r="AF7" i="1054"/>
  <c r="AB7" i="1054"/>
  <c r="Q7" i="1054"/>
  <c r="P7" i="1054" s="1"/>
  <c r="AC7" i="1054" s="1"/>
  <c r="O7" i="1054"/>
  <c r="M7" i="1054"/>
  <c r="AF6" i="1054"/>
  <c r="AB6" i="1054"/>
  <c r="Q6" i="1054"/>
  <c r="P6" i="1054"/>
  <c r="O6" i="1054"/>
  <c r="M6" i="1054"/>
  <c r="K6" i="1054"/>
  <c r="M21" i="1055" l="1"/>
  <c r="AB21" i="1055"/>
  <c r="AD12" i="1055"/>
  <c r="AD21" i="1055" s="1"/>
  <c r="AC21" i="1055"/>
  <c r="P21" i="1055"/>
  <c r="AD10" i="1054"/>
  <c r="AD7" i="1054"/>
  <c r="AD21" i="1054"/>
  <c r="Q22" i="1054"/>
  <c r="AD12" i="1054"/>
  <c r="AD15" i="1054"/>
  <c r="AD18" i="1054"/>
  <c r="AD20" i="1054"/>
  <c r="O22" i="1054"/>
  <c r="AB22" i="1054"/>
  <c r="M22" i="1054"/>
  <c r="AD9" i="1054"/>
  <c r="AD11" i="1054"/>
  <c r="AD19" i="1054"/>
  <c r="AD8" i="1054"/>
  <c r="AD14" i="1054"/>
  <c r="AD16" i="1054"/>
  <c r="AD13" i="1054"/>
  <c r="AD17" i="1054"/>
  <c r="K22" i="1054"/>
  <c r="P22" i="1054"/>
  <c r="AC6" i="1054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K19" i="1053"/>
  <c r="K18" i="1053"/>
  <c r="K17" i="1053"/>
  <c r="K16" i="1053"/>
  <c r="K14" i="1053"/>
  <c r="K13" i="1053"/>
  <c r="K12" i="1053"/>
  <c r="K11" i="1053"/>
  <c r="K10" i="1053"/>
  <c r="K9" i="1053"/>
  <c r="K8" i="1053"/>
  <c r="A74" i="1053"/>
  <c r="A75" i="1053" s="1"/>
  <c r="A76" i="1053" s="1"/>
  <c r="A77" i="1053" s="1"/>
  <c r="A78" i="1053" s="1"/>
  <c r="A79" i="1053" s="1"/>
  <c r="A80" i="1053" s="1"/>
  <c r="A81" i="1053" s="1"/>
  <c r="AF62" i="1053"/>
  <c r="AF60" i="1053"/>
  <c r="AF59" i="1053"/>
  <c r="AA21" i="1053"/>
  <c r="Z21" i="1053"/>
  <c r="Y21" i="1053"/>
  <c r="X21" i="1053"/>
  <c r="W21" i="1053"/>
  <c r="V21" i="1053"/>
  <c r="U21" i="1053"/>
  <c r="T21" i="1053"/>
  <c r="S21" i="1053"/>
  <c r="R21" i="1053"/>
  <c r="N21" i="1053"/>
  <c r="J21" i="1053"/>
  <c r="I21" i="1053"/>
  <c r="AF20" i="1053"/>
  <c r="AB20" i="1053"/>
  <c r="Q20" i="1053"/>
  <c r="P20" i="1053"/>
  <c r="AC20" i="1053" s="1"/>
  <c r="O20" i="1053"/>
  <c r="M20" i="1053"/>
  <c r="K20" i="1053"/>
  <c r="AF19" i="1053"/>
  <c r="Q19" i="1053"/>
  <c r="P19" i="1053" s="1"/>
  <c r="AC19" i="1053" s="1"/>
  <c r="M19" i="1053"/>
  <c r="AF18" i="1053"/>
  <c r="Q18" i="1053"/>
  <c r="P18" i="1053" s="1"/>
  <c r="AC18" i="1053" s="1"/>
  <c r="AF17" i="1053"/>
  <c r="Q17" i="1053"/>
  <c r="P17" i="1053"/>
  <c r="AC17" i="1053" s="1"/>
  <c r="O17" i="1053"/>
  <c r="AB17" i="1053"/>
  <c r="AF16" i="1053"/>
  <c r="AB16" i="1053"/>
  <c r="Q16" i="1053"/>
  <c r="P16" i="1053" s="1"/>
  <c r="AC16" i="1053" s="1"/>
  <c r="O16" i="1053"/>
  <c r="M16" i="1053"/>
  <c r="AF15" i="1053"/>
  <c r="AB15" i="1053"/>
  <c r="Q15" i="1053"/>
  <c r="P15" i="1053"/>
  <c r="AC15" i="1053" s="1"/>
  <c r="O15" i="1053"/>
  <c r="M15" i="1053"/>
  <c r="K15" i="1053"/>
  <c r="AF14" i="1053"/>
  <c r="AB14" i="1053"/>
  <c r="Q14" i="1053"/>
  <c r="P14" i="1053" s="1"/>
  <c r="AC14" i="1053" s="1"/>
  <c r="O14" i="1053"/>
  <c r="M14" i="1053"/>
  <c r="AF13" i="1053"/>
  <c r="Q13" i="1053"/>
  <c r="P13" i="1053" s="1"/>
  <c r="AC13" i="1053" s="1"/>
  <c r="M13" i="1053"/>
  <c r="AF12" i="1053"/>
  <c r="Q12" i="1053"/>
  <c r="P12" i="1053" s="1"/>
  <c r="AC12" i="1053" s="1"/>
  <c r="AF11" i="1053"/>
  <c r="Q11" i="1053"/>
  <c r="P11" i="1053" s="1"/>
  <c r="AC11" i="1053" s="1"/>
  <c r="O11" i="1053"/>
  <c r="AB11" i="1053"/>
  <c r="AF10" i="1053"/>
  <c r="AB10" i="1053"/>
  <c r="Q10" i="1053"/>
  <c r="P10" i="1053" s="1"/>
  <c r="AC10" i="1053" s="1"/>
  <c r="O10" i="1053"/>
  <c r="M10" i="1053"/>
  <c r="AF9" i="1053"/>
  <c r="Q9" i="1053"/>
  <c r="P9" i="1053"/>
  <c r="AC9" i="1053" s="1"/>
  <c r="AF8" i="1053"/>
  <c r="Q8" i="1053"/>
  <c r="P8" i="1053" s="1"/>
  <c r="AC8" i="1053" s="1"/>
  <c r="AF7" i="1053"/>
  <c r="AB7" i="1053"/>
  <c r="Q7" i="1053"/>
  <c r="P7" i="1053"/>
  <c r="AC7" i="1053" s="1"/>
  <c r="AD7" i="1053" s="1"/>
  <c r="O7" i="1053"/>
  <c r="M7" i="1053"/>
  <c r="AF6" i="1053"/>
  <c r="AB6" i="1053"/>
  <c r="Q6" i="1053"/>
  <c r="P6" i="1053"/>
  <c r="O6" i="1053"/>
  <c r="M6" i="1053"/>
  <c r="K6" i="1053"/>
  <c r="AE19" i="1055" l="1"/>
  <c r="AE16" i="1055"/>
  <c r="AE14" i="1055"/>
  <c r="AE10" i="1055"/>
  <c r="AE6" i="1055"/>
  <c r="AE11" i="1055"/>
  <c r="AE20" i="1055"/>
  <c r="AE17" i="1055"/>
  <c r="AE15" i="1055"/>
  <c r="AE12" i="1055"/>
  <c r="AE7" i="1055"/>
  <c r="AE18" i="1055"/>
  <c r="AE13" i="1055"/>
  <c r="AE9" i="1055"/>
  <c r="AE8" i="1055"/>
  <c r="AC22" i="1054"/>
  <c r="AD6" i="1054"/>
  <c r="AD22" i="1054" s="1"/>
  <c r="AE10" i="1054" s="1"/>
  <c r="AD16" i="1053"/>
  <c r="Q21" i="1053"/>
  <c r="AD11" i="1053"/>
  <c r="AD14" i="1053"/>
  <c r="AD20" i="1053"/>
  <c r="AD10" i="1053"/>
  <c r="AD15" i="1053"/>
  <c r="AD17" i="1053"/>
  <c r="P21" i="1053"/>
  <c r="M9" i="1053"/>
  <c r="AB9" i="1053"/>
  <c r="AB13" i="1053"/>
  <c r="AD13" i="1053" s="1"/>
  <c r="AB19" i="1053"/>
  <c r="M8" i="1053"/>
  <c r="AB8" i="1053"/>
  <c r="O9" i="1053"/>
  <c r="K21" i="1053"/>
  <c r="M12" i="1053"/>
  <c r="AB12" i="1053"/>
  <c r="O13" i="1053"/>
  <c r="M18" i="1053"/>
  <c r="AB18" i="1053"/>
  <c r="O19" i="1053"/>
  <c r="AC6" i="1053"/>
  <c r="O8" i="1053"/>
  <c r="M11" i="1053"/>
  <c r="O12" i="1053"/>
  <c r="M17" i="1053"/>
  <c r="O18" i="1053"/>
  <c r="L21" i="1053"/>
  <c r="O21" i="1053" s="1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19" i="1052"/>
  <c r="L18" i="1052"/>
  <c r="L17" i="1052"/>
  <c r="L16" i="1052"/>
  <c r="O16" i="1052" s="1"/>
  <c r="K14" i="1052"/>
  <c r="L13" i="1052"/>
  <c r="L12" i="1052"/>
  <c r="L11" i="1052"/>
  <c r="K11" i="1052" s="1"/>
  <c r="L10" i="1052"/>
  <c r="L9" i="1052"/>
  <c r="K9" i="1052" s="1"/>
  <c r="L8" i="1052"/>
  <c r="K20" i="1052"/>
  <c r="K19" i="1052"/>
  <c r="K18" i="1052"/>
  <c r="K17" i="1052"/>
  <c r="K16" i="1052"/>
  <c r="K13" i="1052"/>
  <c r="K12" i="1052"/>
  <c r="K10" i="1052"/>
  <c r="K8" i="1052"/>
  <c r="A74" i="1052"/>
  <c r="A75" i="1052" s="1"/>
  <c r="A76" i="1052" s="1"/>
  <c r="A77" i="1052" s="1"/>
  <c r="A78" i="1052" s="1"/>
  <c r="A79" i="1052" s="1"/>
  <c r="A80" i="1052" s="1"/>
  <c r="A81" i="1052" s="1"/>
  <c r="AF60" i="1052"/>
  <c r="AF59" i="1052"/>
  <c r="AF62" i="1052" s="1"/>
  <c r="AA21" i="1052"/>
  <c r="Z21" i="1052"/>
  <c r="Y21" i="1052"/>
  <c r="X21" i="1052"/>
  <c r="W21" i="1052"/>
  <c r="V21" i="1052"/>
  <c r="U21" i="1052"/>
  <c r="T21" i="1052"/>
  <c r="S21" i="1052"/>
  <c r="R21" i="1052"/>
  <c r="N21" i="1052"/>
  <c r="J21" i="1052"/>
  <c r="I21" i="1052"/>
  <c r="AF20" i="1052"/>
  <c r="Q20" i="1052"/>
  <c r="O20" i="1052"/>
  <c r="AF19" i="1052"/>
  <c r="AB19" i="1052"/>
  <c r="Q19" i="1052"/>
  <c r="P19" i="1052"/>
  <c r="AC19" i="1052" s="1"/>
  <c r="AD19" i="1052" s="1"/>
  <c r="M19" i="1052"/>
  <c r="O19" i="1052"/>
  <c r="AF18" i="1052"/>
  <c r="Q18" i="1052"/>
  <c r="P18" i="1052" s="1"/>
  <c r="AC18" i="1052" s="1"/>
  <c r="O18" i="1052"/>
  <c r="AF17" i="1052"/>
  <c r="AB17" i="1052"/>
  <c r="Q17" i="1052"/>
  <c r="P17" i="1052" s="1"/>
  <c r="AC17" i="1052" s="1"/>
  <c r="O17" i="1052"/>
  <c r="M17" i="1052"/>
  <c r="AF16" i="1052"/>
  <c r="Q16" i="1052"/>
  <c r="AF15" i="1052"/>
  <c r="AB15" i="1052"/>
  <c r="Q15" i="1052"/>
  <c r="P15" i="1052"/>
  <c r="AC15" i="1052" s="1"/>
  <c r="O15" i="1052"/>
  <c r="M15" i="1052"/>
  <c r="K15" i="1052"/>
  <c r="AF14" i="1052"/>
  <c r="AB14" i="1052"/>
  <c r="Q14" i="1052"/>
  <c r="P14" i="1052" s="1"/>
  <c r="AC14" i="1052" s="1"/>
  <c r="O14" i="1052"/>
  <c r="M14" i="1052"/>
  <c r="AF13" i="1052"/>
  <c r="AB13" i="1052"/>
  <c r="Q13" i="1052"/>
  <c r="P13" i="1052" s="1"/>
  <c r="AC13" i="1052" s="1"/>
  <c r="O13" i="1052"/>
  <c r="M13" i="1052"/>
  <c r="AF12" i="1052"/>
  <c r="Q12" i="1052"/>
  <c r="O12" i="1052"/>
  <c r="P12" i="1052"/>
  <c r="AC12" i="1052" s="1"/>
  <c r="AF11" i="1052"/>
  <c r="AB11" i="1052"/>
  <c r="Q11" i="1052"/>
  <c r="P11" i="1052"/>
  <c r="AC11" i="1052" s="1"/>
  <c r="O11" i="1052"/>
  <c r="AF10" i="1052"/>
  <c r="AB10" i="1052"/>
  <c r="Q10" i="1052"/>
  <c r="P10" i="1052" s="1"/>
  <c r="AC10" i="1052" s="1"/>
  <c r="O10" i="1052"/>
  <c r="M10" i="1052"/>
  <c r="AF9" i="1052"/>
  <c r="Q9" i="1052"/>
  <c r="P9" i="1052" s="1"/>
  <c r="AC9" i="1052" s="1"/>
  <c r="O9" i="1052"/>
  <c r="AF8" i="1052"/>
  <c r="Q8" i="1052"/>
  <c r="O8" i="1052"/>
  <c r="AF7" i="1052"/>
  <c r="AB7" i="1052"/>
  <c r="Q7" i="1052"/>
  <c r="P7" i="1052"/>
  <c r="AC7" i="1052" s="1"/>
  <c r="O7" i="1052"/>
  <c r="M7" i="1052"/>
  <c r="AF6" i="1052"/>
  <c r="AB6" i="1052"/>
  <c r="Q6" i="1052"/>
  <c r="P6" i="1052"/>
  <c r="AC6" i="1052" s="1"/>
  <c r="O6" i="1052"/>
  <c r="M6" i="1052"/>
  <c r="K6" i="1052"/>
  <c r="AE20" i="1054" l="1"/>
  <c r="AE18" i="1054"/>
  <c r="AE16" i="1054"/>
  <c r="AE14" i="1054"/>
  <c r="AE12" i="1054"/>
  <c r="AE9" i="1054"/>
  <c r="AE7" i="1054"/>
  <c r="AE6" i="1054"/>
  <c r="AE21" i="1054"/>
  <c r="AE19" i="1054"/>
  <c r="AE17" i="1054"/>
  <c r="AE15" i="1054"/>
  <c r="AE13" i="1054"/>
  <c r="AE11" i="1054"/>
  <c r="AE8" i="1054"/>
  <c r="AD9" i="1053"/>
  <c r="AD12" i="1053"/>
  <c r="AD8" i="1053"/>
  <c r="AD18" i="1053"/>
  <c r="M21" i="1053"/>
  <c r="AD19" i="1053"/>
  <c r="AB21" i="1053"/>
  <c r="AC21" i="1053"/>
  <c r="AD6" i="1053"/>
  <c r="AD7" i="1052"/>
  <c r="M11" i="1052"/>
  <c r="Q21" i="1052"/>
  <c r="AD13" i="1052"/>
  <c r="AD14" i="1052"/>
  <c r="AD10" i="1052"/>
  <c r="AD15" i="1052"/>
  <c r="AD17" i="1052"/>
  <c r="AD11" i="1052"/>
  <c r="AD6" i="1052"/>
  <c r="P8" i="1052"/>
  <c r="AC8" i="1052" s="1"/>
  <c r="M9" i="1052"/>
  <c r="AB9" i="1052"/>
  <c r="AD9" i="1052" s="1"/>
  <c r="M12" i="1052"/>
  <c r="AB12" i="1052"/>
  <c r="AD12" i="1052" s="1"/>
  <c r="P16" i="1052"/>
  <c r="AC16" i="1052" s="1"/>
  <c r="M18" i="1052"/>
  <c r="AB18" i="1052"/>
  <c r="AD18" i="1052" s="1"/>
  <c r="P20" i="1052"/>
  <c r="AC20" i="1052" s="1"/>
  <c r="M8" i="1052"/>
  <c r="AB8" i="1052"/>
  <c r="K21" i="1052"/>
  <c r="M16" i="1052"/>
  <c r="AB16" i="1052"/>
  <c r="M20" i="1052"/>
  <c r="AB20" i="1052"/>
  <c r="L21" i="1052"/>
  <c r="O21" i="1052" s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1051"/>
  <c r="K21" i="1051" s="1"/>
  <c r="L20" i="1051"/>
  <c r="K20" i="1051" s="1"/>
  <c r="L19" i="1051"/>
  <c r="K19" i="1051" s="1"/>
  <c r="L18" i="1051"/>
  <c r="L17" i="1051"/>
  <c r="L14" i="1051"/>
  <c r="K14" i="1051" s="1"/>
  <c r="L13" i="1051"/>
  <c r="K13" i="1051" s="1"/>
  <c r="L12" i="1051"/>
  <c r="L10" i="1051"/>
  <c r="K10" i="1051" s="1"/>
  <c r="AF10" i="1051"/>
  <c r="Q10" i="1051"/>
  <c r="AB10" i="1051"/>
  <c r="L9" i="1051"/>
  <c r="K9" i="1051" s="1"/>
  <c r="L8" i="1051"/>
  <c r="K8" i="1051" s="1"/>
  <c r="K18" i="1051"/>
  <c r="K17" i="1051"/>
  <c r="K16" i="1051"/>
  <c r="K12" i="1051"/>
  <c r="K11" i="1051"/>
  <c r="A76" i="1051"/>
  <c r="A77" i="1051" s="1"/>
  <c r="A78" i="1051" s="1"/>
  <c r="A79" i="1051" s="1"/>
  <c r="A80" i="1051" s="1"/>
  <c r="A81" i="1051" s="1"/>
  <c r="A82" i="1051" s="1"/>
  <c r="A75" i="1051"/>
  <c r="AF61" i="1051"/>
  <c r="AF60" i="1051"/>
  <c r="AF63" i="1051" s="1"/>
  <c r="AA22" i="1051"/>
  <c r="Z22" i="1051"/>
  <c r="Y22" i="1051"/>
  <c r="X22" i="1051"/>
  <c r="W22" i="1051"/>
  <c r="V22" i="1051"/>
  <c r="U22" i="1051"/>
  <c r="T22" i="1051"/>
  <c r="S22" i="1051"/>
  <c r="R22" i="1051"/>
  <c r="N22" i="1051"/>
  <c r="J22" i="1051"/>
  <c r="I22" i="1051"/>
  <c r="AF21" i="1051"/>
  <c r="Q21" i="1051"/>
  <c r="O21" i="1051"/>
  <c r="AF20" i="1051"/>
  <c r="AB20" i="1051"/>
  <c r="Q20" i="1051"/>
  <c r="P20" i="1051" s="1"/>
  <c r="AC20" i="1051" s="1"/>
  <c r="M20" i="1051"/>
  <c r="O20" i="1051"/>
  <c r="AF19" i="1051"/>
  <c r="AB19" i="1051"/>
  <c r="Q19" i="1051"/>
  <c r="P19" i="1051" s="1"/>
  <c r="AC19" i="1051" s="1"/>
  <c r="O19" i="1051"/>
  <c r="M19" i="1051"/>
  <c r="AF18" i="1051"/>
  <c r="Q18" i="1051"/>
  <c r="O18" i="1051"/>
  <c r="AF17" i="1051"/>
  <c r="AB17" i="1051"/>
  <c r="Q17" i="1051"/>
  <c r="P17" i="1051"/>
  <c r="AC17" i="1051" s="1"/>
  <c r="M17" i="1051"/>
  <c r="O17" i="1051"/>
  <c r="AF16" i="1051"/>
  <c r="Q16" i="1051"/>
  <c r="O16" i="1051"/>
  <c r="P16" i="1051"/>
  <c r="AC16" i="1051" s="1"/>
  <c r="AF15" i="1051"/>
  <c r="AB15" i="1051"/>
  <c r="Q15" i="1051"/>
  <c r="P15" i="1051"/>
  <c r="AC15" i="1051" s="1"/>
  <c r="AD15" i="1051" s="1"/>
  <c r="O15" i="1051"/>
  <c r="M15" i="1051"/>
  <c r="K15" i="1051"/>
  <c r="AF14" i="1051"/>
  <c r="AB14" i="1051"/>
  <c r="Q14" i="1051"/>
  <c r="P14" i="1051" s="1"/>
  <c r="AC14" i="1051" s="1"/>
  <c r="O14" i="1051"/>
  <c r="M14" i="1051"/>
  <c r="AF13" i="1051"/>
  <c r="AB13" i="1051"/>
  <c r="Q13" i="1051"/>
  <c r="P13" i="1051" s="1"/>
  <c r="AC13" i="1051" s="1"/>
  <c r="O13" i="1051"/>
  <c r="M13" i="1051"/>
  <c r="AF12" i="1051"/>
  <c r="AB12" i="1051"/>
  <c r="Q12" i="1051"/>
  <c r="P12" i="1051"/>
  <c r="AC12" i="1051" s="1"/>
  <c r="M12" i="1051"/>
  <c r="O12" i="1051"/>
  <c r="AF11" i="1051"/>
  <c r="Q11" i="1051"/>
  <c r="P11" i="1051" s="1"/>
  <c r="AC11" i="1051" s="1"/>
  <c r="O11" i="1051"/>
  <c r="AF9" i="1051"/>
  <c r="AB9" i="1051"/>
  <c r="Q9" i="1051"/>
  <c r="P9" i="1051" s="1"/>
  <c r="AC9" i="1051" s="1"/>
  <c r="O9" i="1051"/>
  <c r="M9" i="1051"/>
  <c r="AF8" i="1051"/>
  <c r="Q8" i="1051"/>
  <c r="O8" i="1051"/>
  <c r="AF7" i="1051"/>
  <c r="AB7" i="1051"/>
  <c r="Q7" i="1051"/>
  <c r="P7" i="1051"/>
  <c r="AC7" i="1051" s="1"/>
  <c r="O7" i="1051"/>
  <c r="M7" i="1051"/>
  <c r="AF6" i="1051"/>
  <c r="AB6" i="1051"/>
  <c r="Q6" i="1051"/>
  <c r="P6" i="1051"/>
  <c r="AC6" i="1051" s="1"/>
  <c r="O6" i="1051"/>
  <c r="M6" i="1051"/>
  <c r="K6" i="1051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1050"/>
  <c r="K20" i="1050" s="1"/>
  <c r="L19" i="1050"/>
  <c r="K19" i="1050" s="1"/>
  <c r="K18" i="1050"/>
  <c r="L17" i="1050"/>
  <c r="L16" i="1050"/>
  <c r="K16" i="1050" s="1"/>
  <c r="L15" i="1050"/>
  <c r="K15" i="1050" s="1"/>
  <c r="K13" i="1050"/>
  <c r="L11" i="1050"/>
  <c r="L10" i="1050"/>
  <c r="L9" i="1050"/>
  <c r="L8" i="1050"/>
  <c r="K17" i="1050"/>
  <c r="K12" i="1050"/>
  <c r="K11" i="1050"/>
  <c r="K10" i="1050"/>
  <c r="K9" i="1050"/>
  <c r="K8" i="1050"/>
  <c r="A74" i="1050"/>
  <c r="A75" i="1050" s="1"/>
  <c r="A76" i="1050" s="1"/>
  <c r="A77" i="1050" s="1"/>
  <c r="A78" i="1050" s="1"/>
  <c r="A79" i="1050" s="1"/>
  <c r="A80" i="1050" s="1"/>
  <c r="A81" i="1050" s="1"/>
  <c r="AF62" i="1050"/>
  <c r="AF60" i="1050"/>
  <c r="AF59" i="1050"/>
  <c r="AA21" i="1050"/>
  <c r="Z21" i="1050"/>
  <c r="Y21" i="1050"/>
  <c r="X21" i="1050"/>
  <c r="W21" i="1050"/>
  <c r="V21" i="1050"/>
  <c r="U21" i="1050"/>
  <c r="T21" i="1050"/>
  <c r="S21" i="1050"/>
  <c r="R21" i="1050"/>
  <c r="N21" i="1050"/>
  <c r="J21" i="1050"/>
  <c r="I21" i="1050"/>
  <c r="AF20" i="1050"/>
  <c r="AB20" i="1050"/>
  <c r="Q20" i="1050"/>
  <c r="O20" i="1050"/>
  <c r="M20" i="1050"/>
  <c r="P20" i="1050"/>
  <c r="AC20" i="1050" s="1"/>
  <c r="AD20" i="1050" s="1"/>
  <c r="AF19" i="1050"/>
  <c r="AB19" i="1050"/>
  <c r="Q19" i="1050"/>
  <c r="P19" i="1050" s="1"/>
  <c r="AC19" i="1050" s="1"/>
  <c r="M19" i="1050"/>
  <c r="AF18" i="1050"/>
  <c r="Q18" i="1050"/>
  <c r="P18" i="1050" s="1"/>
  <c r="AC18" i="1050" s="1"/>
  <c r="AF17" i="1050"/>
  <c r="Q17" i="1050"/>
  <c r="P17" i="1050" s="1"/>
  <c r="AC17" i="1050" s="1"/>
  <c r="O17" i="1050"/>
  <c r="AB17" i="1050"/>
  <c r="AF16" i="1050"/>
  <c r="AB16" i="1050"/>
  <c r="Q16" i="1050"/>
  <c r="O16" i="1050"/>
  <c r="M16" i="1050"/>
  <c r="P16" i="1050"/>
  <c r="AC16" i="1050" s="1"/>
  <c r="AD16" i="1050" s="1"/>
  <c r="AF15" i="1050"/>
  <c r="AB15" i="1050"/>
  <c r="Q15" i="1050"/>
  <c r="P15" i="1050" s="1"/>
  <c r="AC15" i="1050" s="1"/>
  <c r="M15" i="1050"/>
  <c r="AF14" i="1050"/>
  <c r="AB14" i="1050"/>
  <c r="Q14" i="1050"/>
  <c r="P14" i="1050"/>
  <c r="AC14" i="1050" s="1"/>
  <c r="AD14" i="1050" s="1"/>
  <c r="O14" i="1050"/>
  <c r="M14" i="1050"/>
  <c r="K14" i="1050"/>
  <c r="AF13" i="1050"/>
  <c r="Q13" i="1050"/>
  <c r="M13" i="1050"/>
  <c r="O13" i="1050"/>
  <c r="AF12" i="1050"/>
  <c r="Q12" i="1050"/>
  <c r="AB12" i="1050"/>
  <c r="AF11" i="1050"/>
  <c r="AB11" i="1050"/>
  <c r="Q11" i="1050"/>
  <c r="P11" i="1050"/>
  <c r="AC11" i="1050" s="1"/>
  <c r="O11" i="1050"/>
  <c r="M11" i="1050"/>
  <c r="AF10" i="1050"/>
  <c r="Q10" i="1050"/>
  <c r="M10" i="1050"/>
  <c r="O10" i="1050"/>
  <c r="AF9" i="1050"/>
  <c r="Q9" i="1050"/>
  <c r="AB9" i="1050"/>
  <c r="AF8" i="1050"/>
  <c r="AB8" i="1050"/>
  <c r="Q8" i="1050"/>
  <c r="M8" i="1050"/>
  <c r="AF7" i="1050"/>
  <c r="AC7" i="1050"/>
  <c r="AD7" i="1050" s="1"/>
  <c r="AB7" i="1050"/>
  <c r="Q7" i="1050"/>
  <c r="P7" i="1050"/>
  <c r="O7" i="1050"/>
  <c r="M7" i="1050"/>
  <c r="AF6" i="1050"/>
  <c r="AB6" i="1050"/>
  <c r="Q6" i="1050"/>
  <c r="P6" i="1050"/>
  <c r="O6" i="1050"/>
  <c r="M6" i="1050"/>
  <c r="K6" i="1050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049"/>
  <c r="L19" i="1049"/>
  <c r="O19" i="1049" s="1"/>
  <c r="AF19" i="1049"/>
  <c r="Q19" i="1049"/>
  <c r="P19" i="1049" s="1"/>
  <c r="AC19" i="1049" s="1"/>
  <c r="M19" i="1049"/>
  <c r="L18" i="1049"/>
  <c r="K18" i="1049" s="1"/>
  <c r="L17" i="1049"/>
  <c r="K17" i="1049" s="1"/>
  <c r="L16" i="1049"/>
  <c r="L15" i="1049"/>
  <c r="K15" i="1049" s="1"/>
  <c r="L13" i="1049"/>
  <c r="L12" i="1049"/>
  <c r="K12" i="1049" s="1"/>
  <c r="L10" i="1049"/>
  <c r="K10" i="1049" s="1"/>
  <c r="L9" i="1049"/>
  <c r="O9" i="1049" s="1"/>
  <c r="AF9" i="1049"/>
  <c r="Q9" i="1049"/>
  <c r="P9" i="1049" s="1"/>
  <c r="AC9" i="1049" s="1"/>
  <c r="M9" i="1049"/>
  <c r="K20" i="1049"/>
  <c r="K16" i="1049"/>
  <c r="K13" i="1049"/>
  <c r="K11" i="1049"/>
  <c r="K8" i="1049"/>
  <c r="A74" i="1049"/>
  <c r="A75" i="1049" s="1"/>
  <c r="A76" i="1049" s="1"/>
  <c r="A77" i="1049" s="1"/>
  <c r="A78" i="1049" s="1"/>
  <c r="A79" i="1049" s="1"/>
  <c r="A80" i="1049" s="1"/>
  <c r="A81" i="1049" s="1"/>
  <c r="AF60" i="1049"/>
  <c r="AF62" i="1049" s="1"/>
  <c r="AF59" i="1049"/>
  <c r="AA21" i="1049"/>
  <c r="Z21" i="1049"/>
  <c r="Y21" i="1049"/>
  <c r="X21" i="1049"/>
  <c r="W21" i="1049"/>
  <c r="V21" i="1049"/>
  <c r="U21" i="1049"/>
  <c r="T21" i="1049"/>
  <c r="S21" i="1049"/>
  <c r="R21" i="1049"/>
  <c r="N21" i="1049"/>
  <c r="J21" i="1049"/>
  <c r="I21" i="1049"/>
  <c r="AF20" i="1049"/>
  <c r="AB20" i="1049"/>
  <c r="Q20" i="1049"/>
  <c r="O20" i="1049"/>
  <c r="M20" i="1049"/>
  <c r="P20" i="1049"/>
  <c r="AC20" i="1049" s="1"/>
  <c r="AF18" i="1049"/>
  <c r="Q18" i="1049"/>
  <c r="P18" i="1049" s="1"/>
  <c r="AC18" i="1049" s="1"/>
  <c r="O18" i="1049"/>
  <c r="AF17" i="1049"/>
  <c r="AB17" i="1049"/>
  <c r="Q17" i="1049"/>
  <c r="P17" i="1049" s="1"/>
  <c r="AC17" i="1049" s="1"/>
  <c r="O17" i="1049"/>
  <c r="M17" i="1049"/>
  <c r="AF16" i="1049"/>
  <c r="Q16" i="1049"/>
  <c r="AB16" i="1049"/>
  <c r="AF15" i="1049"/>
  <c r="AB15" i="1049"/>
  <c r="Q15" i="1049"/>
  <c r="P15" i="1049" s="1"/>
  <c r="AC15" i="1049" s="1"/>
  <c r="AD15" i="1049" s="1"/>
  <c r="O15" i="1049"/>
  <c r="M15" i="1049"/>
  <c r="AF14" i="1049"/>
  <c r="AB14" i="1049"/>
  <c r="Q14" i="1049"/>
  <c r="P14" i="1049"/>
  <c r="AC14" i="1049" s="1"/>
  <c r="O14" i="1049"/>
  <c r="M14" i="1049"/>
  <c r="K14" i="1049"/>
  <c r="AF13" i="1049"/>
  <c r="Q13" i="1049"/>
  <c r="P13" i="1049"/>
  <c r="AC13" i="1049" s="1"/>
  <c r="O13" i="1049"/>
  <c r="AF12" i="1049"/>
  <c r="AB12" i="1049"/>
  <c r="Q12" i="1049"/>
  <c r="P12" i="1049" s="1"/>
  <c r="AC12" i="1049" s="1"/>
  <c r="O12" i="1049"/>
  <c r="M12" i="1049"/>
  <c r="AF11" i="1049"/>
  <c r="AB11" i="1049"/>
  <c r="Q11" i="1049"/>
  <c r="P11" i="1049" s="1"/>
  <c r="AC11" i="1049" s="1"/>
  <c r="O11" i="1049"/>
  <c r="M11" i="1049"/>
  <c r="AF10" i="1049"/>
  <c r="Q10" i="1049"/>
  <c r="L21" i="1049"/>
  <c r="AF8" i="1049"/>
  <c r="AB8" i="1049"/>
  <c r="Q8" i="1049"/>
  <c r="P8" i="1049" s="1"/>
  <c r="O8" i="1049"/>
  <c r="M8" i="1049"/>
  <c r="AF7" i="1049"/>
  <c r="AB7" i="1049"/>
  <c r="Q7" i="1049"/>
  <c r="P7" i="1049"/>
  <c r="AC7" i="1049" s="1"/>
  <c r="AD7" i="1049" s="1"/>
  <c r="O7" i="1049"/>
  <c r="M7" i="1049"/>
  <c r="AF6" i="1049"/>
  <c r="AC6" i="1049"/>
  <c r="AB6" i="1049"/>
  <c r="Q6" i="1049"/>
  <c r="P6" i="1049"/>
  <c r="O6" i="1049"/>
  <c r="M6" i="1049"/>
  <c r="K6" i="1049"/>
  <c r="AD21" i="1053" l="1"/>
  <c r="AE13" i="1053" s="1"/>
  <c r="AD16" i="1052"/>
  <c r="M21" i="1052"/>
  <c r="AD20" i="1052"/>
  <c r="AB21" i="1052"/>
  <c r="P21" i="1052"/>
  <c r="AD8" i="1052"/>
  <c r="AC21" i="1052"/>
  <c r="O10" i="1051"/>
  <c r="Q22" i="1051"/>
  <c r="P10" i="1051"/>
  <c r="AC10" i="1051" s="1"/>
  <c r="AD7" i="1051"/>
  <c r="M10" i="1051"/>
  <c r="AD13" i="1051"/>
  <c r="AD19" i="1051"/>
  <c r="AD14" i="1051"/>
  <c r="AD9" i="1051"/>
  <c r="AD12" i="1051"/>
  <c r="AD17" i="1051"/>
  <c r="AD20" i="1051"/>
  <c r="AD6" i="1051"/>
  <c r="K22" i="1051"/>
  <c r="P8" i="1051"/>
  <c r="AC8" i="1051" s="1"/>
  <c r="M11" i="1051"/>
  <c r="AB11" i="1051"/>
  <c r="AD11" i="1051" s="1"/>
  <c r="M16" i="1051"/>
  <c r="AB16" i="1051"/>
  <c r="AD16" i="1051" s="1"/>
  <c r="P18" i="1051"/>
  <c r="AC18" i="1051" s="1"/>
  <c r="P21" i="1051"/>
  <c r="AC21" i="1051" s="1"/>
  <c r="M8" i="1051"/>
  <c r="AB8" i="1051"/>
  <c r="M18" i="1051"/>
  <c r="AB18" i="1051"/>
  <c r="M21" i="1051"/>
  <c r="AB21" i="1051"/>
  <c r="L22" i="1051"/>
  <c r="O22" i="1051" s="1"/>
  <c r="P8" i="1050"/>
  <c r="AC8" i="1050" s="1"/>
  <c r="AD8" i="1050" s="1"/>
  <c r="Q21" i="1050"/>
  <c r="O8" i="1050"/>
  <c r="AD11" i="1050"/>
  <c r="AD17" i="1050"/>
  <c r="O9" i="1050"/>
  <c r="P10" i="1050"/>
  <c r="AC10" i="1050" s="1"/>
  <c r="O12" i="1050"/>
  <c r="P13" i="1050"/>
  <c r="AC13" i="1050" s="1"/>
  <c r="O15" i="1050"/>
  <c r="AD15" i="1050" s="1"/>
  <c r="M18" i="1050"/>
  <c r="AB18" i="1050"/>
  <c r="O19" i="1050"/>
  <c r="AD19" i="1050" s="1"/>
  <c r="K21" i="1050"/>
  <c r="P9" i="1050"/>
  <c r="AC9" i="1050" s="1"/>
  <c r="AD9" i="1050" s="1"/>
  <c r="P12" i="1050"/>
  <c r="AC12" i="1050" s="1"/>
  <c r="AD12" i="1050" s="1"/>
  <c r="M17" i="1050"/>
  <c r="O18" i="1050"/>
  <c r="AC6" i="1050"/>
  <c r="AB10" i="1050"/>
  <c r="AB13" i="1050"/>
  <c r="L21" i="1050"/>
  <c r="O21" i="1050" s="1"/>
  <c r="M9" i="1050"/>
  <c r="M12" i="1050"/>
  <c r="AD20" i="1049"/>
  <c r="K19" i="1049"/>
  <c r="AB19" i="1049"/>
  <c r="AD19" i="1049" s="1"/>
  <c r="O21" i="1049"/>
  <c r="K9" i="1049"/>
  <c r="K21" i="1049" s="1"/>
  <c r="AB9" i="1049"/>
  <c r="AD9" i="1049"/>
  <c r="AD14" i="1049"/>
  <c r="AD11" i="1049"/>
  <c r="AD12" i="1049"/>
  <c r="AD17" i="1049"/>
  <c r="Q21" i="1049"/>
  <c r="AC8" i="1049"/>
  <c r="AD8" i="1049" s="1"/>
  <c r="M10" i="1049"/>
  <c r="AD6" i="1049"/>
  <c r="O10" i="1049"/>
  <c r="M13" i="1049"/>
  <c r="AB13" i="1049"/>
  <c r="AD13" i="1049" s="1"/>
  <c r="O16" i="1049"/>
  <c r="M18" i="1049"/>
  <c r="AB18" i="1049"/>
  <c r="AD18" i="1049" s="1"/>
  <c r="AB10" i="1049"/>
  <c r="P10" i="1049"/>
  <c r="AC10" i="1049" s="1"/>
  <c r="P16" i="1049"/>
  <c r="AC16" i="1049" s="1"/>
  <c r="M16" i="1049"/>
  <c r="L20" i="1048"/>
  <c r="K20" i="1048" s="1"/>
  <c r="L19" i="1048"/>
  <c r="K19" i="1048" s="1"/>
  <c r="L18" i="1048"/>
  <c r="AB18" i="1048" s="1"/>
  <c r="L16" i="1048"/>
  <c r="K16" i="1048" s="1"/>
  <c r="L13" i="1048"/>
  <c r="L12" i="1048"/>
  <c r="K12" i="1048" s="1"/>
  <c r="L11" i="1048"/>
  <c r="L10" i="1048"/>
  <c r="K9" i="1048"/>
  <c r="K14" i="1048"/>
  <c r="K13" i="1048"/>
  <c r="K11" i="1048"/>
  <c r="K10" i="1048"/>
  <c r="L8" i="1048"/>
  <c r="K8" i="1048" s="1"/>
  <c r="A74" i="1048"/>
  <c r="A75" i="1048" s="1"/>
  <c r="A76" i="1048" s="1"/>
  <c r="A77" i="1048" s="1"/>
  <c r="A78" i="1048" s="1"/>
  <c r="A79" i="1048" s="1"/>
  <c r="A80" i="1048" s="1"/>
  <c r="A81" i="1048" s="1"/>
  <c r="AF62" i="1048"/>
  <c r="AF60" i="1048"/>
  <c r="AF59" i="1048"/>
  <c r="AA21" i="1048"/>
  <c r="Z21" i="1048"/>
  <c r="Y21" i="1048"/>
  <c r="X21" i="1048"/>
  <c r="W21" i="1048"/>
  <c r="V21" i="1048"/>
  <c r="U21" i="1048"/>
  <c r="T21" i="1048"/>
  <c r="S21" i="1048"/>
  <c r="R21" i="1048"/>
  <c r="N21" i="1048"/>
  <c r="J21" i="1048"/>
  <c r="I21" i="1048"/>
  <c r="AF20" i="1048"/>
  <c r="AB20" i="1048"/>
  <c r="Q20" i="1048"/>
  <c r="P20" i="1048"/>
  <c r="AC20" i="1048" s="1"/>
  <c r="O20" i="1048"/>
  <c r="M20" i="1048"/>
  <c r="AF19" i="1048"/>
  <c r="AB19" i="1048"/>
  <c r="Q19" i="1048"/>
  <c r="P19" i="1048" s="1"/>
  <c r="AC19" i="1048" s="1"/>
  <c r="O19" i="1048"/>
  <c r="M19" i="1048"/>
  <c r="AF18" i="1048"/>
  <c r="Q18" i="1048"/>
  <c r="AF17" i="1048"/>
  <c r="AB17" i="1048"/>
  <c r="Q17" i="1048"/>
  <c r="P17" i="1048"/>
  <c r="AC17" i="1048" s="1"/>
  <c r="AD17" i="1048" s="1"/>
  <c r="O17" i="1048"/>
  <c r="M17" i="1048"/>
  <c r="K17" i="1048"/>
  <c r="AF16" i="1048"/>
  <c r="AB16" i="1048"/>
  <c r="Q16" i="1048"/>
  <c r="P16" i="1048" s="1"/>
  <c r="AC16" i="1048" s="1"/>
  <c r="O16" i="1048"/>
  <c r="M16" i="1048"/>
  <c r="AF15" i="1048"/>
  <c r="AB15" i="1048"/>
  <c r="Q15" i="1048"/>
  <c r="P15" i="1048"/>
  <c r="AC15" i="1048" s="1"/>
  <c r="AD15" i="1048" s="1"/>
  <c r="O15" i="1048"/>
  <c r="M15" i="1048"/>
  <c r="K15" i="1048"/>
  <c r="AF14" i="1048"/>
  <c r="AB14" i="1048"/>
  <c r="Q14" i="1048"/>
  <c r="P14" i="1048" s="1"/>
  <c r="AC14" i="1048" s="1"/>
  <c r="O14" i="1048"/>
  <c r="M14" i="1048"/>
  <c r="AF13" i="1048"/>
  <c r="AB13" i="1048"/>
  <c r="Q13" i="1048"/>
  <c r="P13" i="1048" s="1"/>
  <c r="AC13" i="1048" s="1"/>
  <c r="O13" i="1048"/>
  <c r="M13" i="1048"/>
  <c r="AF12" i="1048"/>
  <c r="AB12" i="1048"/>
  <c r="Q12" i="1048"/>
  <c r="P12" i="1048" s="1"/>
  <c r="AC12" i="1048" s="1"/>
  <c r="M12" i="1048"/>
  <c r="AF11" i="1048"/>
  <c r="Q11" i="1048"/>
  <c r="P11" i="1048" s="1"/>
  <c r="AC11" i="1048" s="1"/>
  <c r="AF10" i="1048"/>
  <c r="Q10" i="1048"/>
  <c r="P10" i="1048"/>
  <c r="AC10" i="1048" s="1"/>
  <c r="O10" i="1048"/>
  <c r="AF9" i="1048"/>
  <c r="AB9" i="1048"/>
  <c r="Q9" i="1048"/>
  <c r="P9" i="1048"/>
  <c r="AC9" i="1048" s="1"/>
  <c r="O9" i="1048"/>
  <c r="M9" i="1048"/>
  <c r="AF8" i="1048"/>
  <c r="AB8" i="1048"/>
  <c r="Q8" i="1048"/>
  <c r="P8" i="1048" s="1"/>
  <c r="AC8" i="1048" s="1"/>
  <c r="O8" i="1048"/>
  <c r="M8" i="1048"/>
  <c r="AF7" i="1048"/>
  <c r="AC7" i="1048"/>
  <c r="AD7" i="1048" s="1"/>
  <c r="AB7" i="1048"/>
  <c r="Q7" i="1048"/>
  <c r="P7" i="1048"/>
  <c r="O7" i="1048"/>
  <c r="M7" i="1048"/>
  <c r="AF6" i="1048"/>
  <c r="AB6" i="1048"/>
  <c r="Q6" i="1048"/>
  <c r="P6" i="1048"/>
  <c r="O6" i="1048"/>
  <c r="M6" i="1048"/>
  <c r="K6" i="1048"/>
  <c r="AE10" i="1053" l="1"/>
  <c r="AE19" i="1053"/>
  <c r="AE18" i="1053"/>
  <c r="AE6" i="1053"/>
  <c r="AE11" i="1053"/>
  <c r="AE16" i="1053"/>
  <c r="AE8" i="1053"/>
  <c r="AE14" i="1053"/>
  <c r="AE9" i="1053"/>
  <c r="AE12" i="1053"/>
  <c r="AE17" i="1053"/>
  <c r="AE15" i="1053"/>
  <c r="AE7" i="1053"/>
  <c r="AE20" i="1053"/>
  <c r="AD21" i="1052"/>
  <c r="AE10" i="1052" s="1"/>
  <c r="AE12" i="1052"/>
  <c r="AE19" i="1052"/>
  <c r="AE15" i="1052"/>
  <c r="AE7" i="1052"/>
  <c r="AE20" i="1052"/>
  <c r="AE16" i="1052"/>
  <c r="AE17" i="1052"/>
  <c r="AE14" i="1052"/>
  <c r="AE11" i="1052"/>
  <c r="AD10" i="1051"/>
  <c r="P22" i="1051"/>
  <c r="AB22" i="1051"/>
  <c r="M22" i="1051"/>
  <c r="AD18" i="1051"/>
  <c r="AD21" i="1051"/>
  <c r="AD8" i="1051"/>
  <c r="AC22" i="1051"/>
  <c r="AD18" i="1050"/>
  <c r="AB21" i="1050"/>
  <c r="M21" i="1050"/>
  <c r="AC21" i="1050"/>
  <c r="AD6" i="1050"/>
  <c r="AD10" i="1050"/>
  <c r="AD13" i="1050"/>
  <c r="P21" i="1050"/>
  <c r="AB21" i="1049"/>
  <c r="AD16" i="1049"/>
  <c r="AD10" i="1049"/>
  <c r="M21" i="1049"/>
  <c r="AC21" i="1049"/>
  <c r="P21" i="1049"/>
  <c r="AD20" i="1048"/>
  <c r="AD19" i="1048"/>
  <c r="O18" i="1048"/>
  <c r="M18" i="1048"/>
  <c r="P18" i="1048"/>
  <c r="AC18" i="1048" s="1"/>
  <c r="K18" i="1048"/>
  <c r="L21" i="1048"/>
  <c r="O21" i="1048" s="1"/>
  <c r="Q21" i="1048"/>
  <c r="AD13" i="1048"/>
  <c r="AD14" i="1048"/>
  <c r="AD9" i="1048"/>
  <c r="AD16" i="1048"/>
  <c r="AD8" i="1048"/>
  <c r="M11" i="1048"/>
  <c r="M21" i="1048" s="1"/>
  <c r="AB11" i="1048"/>
  <c r="O12" i="1048"/>
  <c r="AD12" i="1048" s="1"/>
  <c r="M10" i="1048"/>
  <c r="AB10" i="1048"/>
  <c r="AD10" i="1048" s="1"/>
  <c r="O11" i="1048"/>
  <c r="AC6" i="1048"/>
  <c r="K21" i="1048"/>
  <c r="AE6" i="1052" l="1"/>
  <c r="AE18" i="1052"/>
  <c r="AE9" i="1052"/>
  <c r="AE8" i="1052"/>
  <c r="AE13" i="1052"/>
  <c r="AD22" i="1051"/>
  <c r="AE10" i="1051" s="1"/>
  <c r="AD21" i="1050"/>
  <c r="AE18" i="1050" s="1"/>
  <c r="AD21" i="1049"/>
  <c r="AE9" i="1049" s="1"/>
  <c r="P21" i="1048"/>
  <c r="AD18" i="1048"/>
  <c r="AD11" i="1048"/>
  <c r="AB21" i="1048"/>
  <c r="AC21" i="1048"/>
  <c r="AD6" i="1048"/>
  <c r="AE9" i="1051" l="1"/>
  <c r="AE15" i="1051"/>
  <c r="AE13" i="1051"/>
  <c r="AE8" i="1051"/>
  <c r="AE18" i="1051"/>
  <c r="AE12" i="1051"/>
  <c r="AE17" i="1051"/>
  <c r="AE21" i="1051"/>
  <c r="AE6" i="1051"/>
  <c r="AE7" i="1051"/>
  <c r="AE14" i="1051"/>
  <c r="AE16" i="1051"/>
  <c r="AE20" i="1051"/>
  <c r="AE19" i="1051"/>
  <c r="AE11" i="1051"/>
  <c r="AE10" i="1050"/>
  <c r="AE9" i="1050"/>
  <c r="AE6" i="1050"/>
  <c r="AE13" i="1050"/>
  <c r="AE12" i="1050"/>
  <c r="AE17" i="1050"/>
  <c r="AE16" i="1050"/>
  <c r="AE15" i="1050"/>
  <c r="AE7" i="1050"/>
  <c r="AE20" i="1050"/>
  <c r="AE11" i="1050"/>
  <c r="AE19" i="1050"/>
  <c r="AE14" i="1050"/>
  <c r="AE8" i="1050"/>
  <c r="AE17" i="1049"/>
  <c r="AE11" i="1049"/>
  <c r="AE6" i="1049"/>
  <c r="AE20" i="1049"/>
  <c r="AE15" i="1049"/>
  <c r="AE12" i="1049"/>
  <c r="AE8" i="1049"/>
  <c r="AE7" i="1049"/>
  <c r="AE18" i="1049"/>
  <c r="AE10" i="1049"/>
  <c r="AE19" i="1049"/>
  <c r="AE13" i="1049"/>
  <c r="AE14" i="1049"/>
  <c r="AE16" i="1049"/>
  <c r="AD21" i="1048"/>
  <c r="AE8" i="1048" s="1"/>
  <c r="AE15" i="1048" l="1"/>
  <c r="AE14" i="1048"/>
  <c r="AE16" i="1048"/>
  <c r="AE6" i="1048"/>
  <c r="AE7" i="1048"/>
  <c r="AE17" i="1048"/>
  <c r="AE12" i="1048"/>
  <c r="AE20" i="1048"/>
  <c r="AE19" i="1048"/>
  <c r="AE10" i="1048"/>
  <c r="AE9" i="1048"/>
  <c r="AE18" i="1048"/>
  <c r="AE13" i="1048"/>
  <c r="AE11" i="1048"/>
  <c r="X18" i="16" l="1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047"/>
  <c r="L21" i="1047" s="1"/>
  <c r="L18" i="1047"/>
  <c r="L13" i="1047"/>
  <c r="K13" i="1047" s="1"/>
  <c r="AF13" i="1047"/>
  <c r="AB13" i="1047"/>
  <c r="Q13" i="1047"/>
  <c r="M13" i="1047"/>
  <c r="L12" i="1047"/>
  <c r="L11" i="1047"/>
  <c r="K11" i="1047" s="1"/>
  <c r="L10" i="1047"/>
  <c r="O10" i="1047" s="1"/>
  <c r="AF10" i="1047"/>
  <c r="Q10" i="1047"/>
  <c r="P10" i="1047" s="1"/>
  <c r="AC10" i="1047" s="1"/>
  <c r="M10" i="1047"/>
  <c r="K9" i="1047"/>
  <c r="K19" i="1047"/>
  <c r="K18" i="1047"/>
  <c r="K14" i="1047"/>
  <c r="K12" i="1047"/>
  <c r="A74" i="1047"/>
  <c r="A75" i="1047" s="1"/>
  <c r="A76" i="1047" s="1"/>
  <c r="A77" i="1047" s="1"/>
  <c r="A78" i="1047" s="1"/>
  <c r="A79" i="1047" s="1"/>
  <c r="A80" i="1047" s="1"/>
  <c r="A81" i="1047" s="1"/>
  <c r="AF60" i="1047"/>
  <c r="AF62" i="1047" s="1"/>
  <c r="AF59" i="1047"/>
  <c r="AA21" i="1047"/>
  <c r="Z21" i="1047"/>
  <c r="Y21" i="1047"/>
  <c r="X21" i="1047"/>
  <c r="W21" i="1047"/>
  <c r="V21" i="1047"/>
  <c r="U21" i="1047"/>
  <c r="T21" i="1047"/>
  <c r="S21" i="1047"/>
  <c r="R21" i="1047"/>
  <c r="N21" i="1047"/>
  <c r="J21" i="1047"/>
  <c r="I21" i="1047"/>
  <c r="AF20" i="1047"/>
  <c r="AB20" i="1047"/>
  <c r="Q20" i="1047"/>
  <c r="M20" i="1047"/>
  <c r="P20" i="1047"/>
  <c r="AC20" i="1047" s="1"/>
  <c r="AF19" i="1047"/>
  <c r="AB19" i="1047"/>
  <c r="Q19" i="1047"/>
  <c r="P19" i="1047" s="1"/>
  <c r="AC19" i="1047" s="1"/>
  <c r="O19" i="1047"/>
  <c r="M19" i="1047"/>
  <c r="AF18" i="1047"/>
  <c r="AB18" i="1047"/>
  <c r="Q18" i="1047"/>
  <c r="P18" i="1047"/>
  <c r="AC18" i="1047" s="1"/>
  <c r="AD18" i="1047" s="1"/>
  <c r="O18" i="1047"/>
  <c r="M18" i="1047"/>
  <c r="AF17" i="1047"/>
  <c r="AB17" i="1047"/>
  <c r="Q17" i="1047"/>
  <c r="P17" i="1047"/>
  <c r="AC17" i="1047" s="1"/>
  <c r="O17" i="1047"/>
  <c r="M17" i="1047"/>
  <c r="K17" i="1047"/>
  <c r="AF16" i="1047"/>
  <c r="AC16" i="1047"/>
  <c r="AB16" i="1047"/>
  <c r="Q16" i="1047"/>
  <c r="P16" i="1047"/>
  <c r="O16" i="1047"/>
  <c r="M16" i="1047"/>
  <c r="K16" i="1047"/>
  <c r="AF15" i="1047"/>
  <c r="AB15" i="1047"/>
  <c r="Q15" i="1047"/>
  <c r="P15" i="1047"/>
  <c r="AC15" i="1047" s="1"/>
  <c r="O15" i="1047"/>
  <c r="M15" i="1047"/>
  <c r="K15" i="1047"/>
  <c r="AF14" i="1047"/>
  <c r="AB14" i="1047"/>
  <c r="Q14" i="1047"/>
  <c r="P14" i="1047" s="1"/>
  <c r="AC14" i="1047" s="1"/>
  <c r="O14" i="1047"/>
  <c r="M14" i="1047"/>
  <c r="AF12" i="1047"/>
  <c r="Q12" i="1047"/>
  <c r="P12" i="1047" s="1"/>
  <c r="AC12" i="1047" s="1"/>
  <c r="O12" i="1047"/>
  <c r="AB12" i="1047"/>
  <c r="AF11" i="1047"/>
  <c r="AB11" i="1047"/>
  <c r="Q11" i="1047"/>
  <c r="P11" i="1047" s="1"/>
  <c r="AC11" i="1047" s="1"/>
  <c r="O11" i="1047"/>
  <c r="M11" i="1047"/>
  <c r="AF9" i="1047"/>
  <c r="Q9" i="1047"/>
  <c r="P9" i="1047" s="1"/>
  <c r="AC9" i="1047" s="1"/>
  <c r="O9" i="1047"/>
  <c r="AB9" i="1047"/>
  <c r="AF8" i="1047"/>
  <c r="AC8" i="1047"/>
  <c r="AD8" i="1047" s="1"/>
  <c r="AB8" i="1047"/>
  <c r="Q8" i="1047"/>
  <c r="P8" i="1047"/>
  <c r="O8" i="1047"/>
  <c r="M8" i="1047"/>
  <c r="K8" i="1047"/>
  <c r="AF7" i="1047"/>
  <c r="AB7" i="1047"/>
  <c r="Q7" i="1047"/>
  <c r="P7" i="1047"/>
  <c r="AC7" i="1047" s="1"/>
  <c r="AD7" i="1047" s="1"/>
  <c r="O7" i="1047"/>
  <c r="M7" i="1047"/>
  <c r="AF6" i="1047"/>
  <c r="AB6" i="1047"/>
  <c r="Q6" i="1047"/>
  <c r="P6" i="1047"/>
  <c r="O6" i="1047"/>
  <c r="M6" i="1047"/>
  <c r="K6" i="1047"/>
  <c r="O20" i="1047" l="1"/>
  <c r="AD20" i="1047" s="1"/>
  <c r="K20" i="1047"/>
  <c r="AD14" i="1047"/>
  <c r="P13" i="1047"/>
  <c r="AC13" i="1047" s="1"/>
  <c r="AD13" i="1047" s="1"/>
  <c r="O13" i="1047"/>
  <c r="O21" i="1047"/>
  <c r="K10" i="1047"/>
  <c r="AB10" i="1047"/>
  <c r="AD10" i="1047" s="1"/>
  <c r="Q21" i="1047"/>
  <c r="P21" i="1047"/>
  <c r="AD17" i="1047"/>
  <c r="AD15" i="1047"/>
  <c r="AD19" i="1047"/>
  <c r="AD11" i="1047"/>
  <c r="AD16" i="1047"/>
  <c r="K21" i="1047"/>
  <c r="AD12" i="1047"/>
  <c r="AD9" i="1047"/>
  <c r="AC6" i="1047"/>
  <c r="AB21" i="1047"/>
  <c r="M9" i="1047"/>
  <c r="M12" i="1047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1046"/>
  <c r="K20" i="1046" s="1"/>
  <c r="K19" i="1046"/>
  <c r="AF18" i="1046"/>
  <c r="AB18" i="1046"/>
  <c r="Q18" i="1046"/>
  <c r="P18" i="1046" s="1"/>
  <c r="AC18" i="1046" s="1"/>
  <c r="O18" i="1046"/>
  <c r="M18" i="1046"/>
  <c r="K18" i="1046"/>
  <c r="K14" i="1046"/>
  <c r="L12" i="1046"/>
  <c r="K12" i="1046" s="1"/>
  <c r="L10" i="1046"/>
  <c r="L9" i="1046"/>
  <c r="K13" i="1046"/>
  <c r="K11" i="1046"/>
  <c r="K10" i="1046"/>
  <c r="K9" i="1046"/>
  <c r="K8" i="1046"/>
  <c r="A74" i="1046"/>
  <c r="A75" i="1046" s="1"/>
  <c r="A76" i="1046" s="1"/>
  <c r="A77" i="1046" s="1"/>
  <c r="A78" i="1046" s="1"/>
  <c r="A79" i="1046" s="1"/>
  <c r="A80" i="1046" s="1"/>
  <c r="A81" i="1046" s="1"/>
  <c r="AF62" i="1046"/>
  <c r="AF60" i="1046"/>
  <c r="AF59" i="1046"/>
  <c r="AA21" i="1046"/>
  <c r="Z21" i="1046"/>
  <c r="Y21" i="1046"/>
  <c r="X21" i="1046"/>
  <c r="W21" i="1046"/>
  <c r="V21" i="1046"/>
  <c r="U21" i="1046"/>
  <c r="T21" i="1046"/>
  <c r="S21" i="1046"/>
  <c r="R21" i="1046"/>
  <c r="N21" i="1046"/>
  <c r="J21" i="1046"/>
  <c r="I21" i="1046"/>
  <c r="AF20" i="1046"/>
  <c r="AB20" i="1046"/>
  <c r="Q20" i="1046"/>
  <c r="M20" i="1046"/>
  <c r="O20" i="1046"/>
  <c r="AF19" i="1046"/>
  <c r="AB19" i="1046"/>
  <c r="Q19" i="1046"/>
  <c r="P19" i="1046" s="1"/>
  <c r="AC19" i="1046" s="1"/>
  <c r="O19" i="1046"/>
  <c r="M19" i="1046"/>
  <c r="AF17" i="1046"/>
  <c r="AB17" i="1046"/>
  <c r="Q17" i="1046"/>
  <c r="P17" i="1046"/>
  <c r="AC17" i="1046" s="1"/>
  <c r="AD17" i="1046" s="1"/>
  <c r="O17" i="1046"/>
  <c r="M17" i="1046"/>
  <c r="K17" i="1046"/>
  <c r="AF16" i="1046"/>
  <c r="AB16" i="1046"/>
  <c r="Q16" i="1046"/>
  <c r="P16" i="1046"/>
  <c r="AC16" i="1046" s="1"/>
  <c r="AD16" i="1046" s="1"/>
  <c r="O16" i="1046"/>
  <c r="M16" i="1046"/>
  <c r="K16" i="1046"/>
  <c r="AF15" i="1046"/>
  <c r="AB15" i="1046"/>
  <c r="Q15" i="1046"/>
  <c r="P15" i="1046"/>
  <c r="AC15" i="1046" s="1"/>
  <c r="O15" i="1046"/>
  <c r="M15" i="1046"/>
  <c r="K15" i="1046"/>
  <c r="AF14" i="1046"/>
  <c r="AB14" i="1046"/>
  <c r="Q14" i="1046"/>
  <c r="P14" i="1046" s="1"/>
  <c r="AC14" i="1046" s="1"/>
  <c r="O14" i="1046"/>
  <c r="M14" i="1046"/>
  <c r="AF13" i="1046"/>
  <c r="Q13" i="1046"/>
  <c r="P13" i="1046" s="1"/>
  <c r="AC13" i="1046" s="1"/>
  <c r="O13" i="1046"/>
  <c r="AB13" i="1046"/>
  <c r="AF12" i="1046"/>
  <c r="AB12" i="1046"/>
  <c r="Q12" i="1046"/>
  <c r="P12" i="1046" s="1"/>
  <c r="AC12" i="1046" s="1"/>
  <c r="O12" i="1046"/>
  <c r="M12" i="1046"/>
  <c r="AF11" i="1046"/>
  <c r="Q11" i="1046"/>
  <c r="P11" i="1046" s="1"/>
  <c r="AC11" i="1046" s="1"/>
  <c r="AF10" i="1046"/>
  <c r="Q10" i="1046"/>
  <c r="P10" i="1046" s="1"/>
  <c r="AC10" i="1046" s="1"/>
  <c r="O10" i="1046"/>
  <c r="AB10" i="1046"/>
  <c r="AF9" i="1046"/>
  <c r="AB9" i="1046"/>
  <c r="Q9" i="1046"/>
  <c r="P9" i="1046" s="1"/>
  <c r="AC9" i="1046" s="1"/>
  <c r="O9" i="1046"/>
  <c r="M9" i="1046"/>
  <c r="AF8" i="1046"/>
  <c r="Q8" i="1046"/>
  <c r="P8" i="1046"/>
  <c r="AC8" i="1046" s="1"/>
  <c r="AF7" i="1046"/>
  <c r="AB7" i="1046"/>
  <c r="Q7" i="1046"/>
  <c r="P7" i="1046"/>
  <c r="AC7" i="1046" s="1"/>
  <c r="O7" i="1046"/>
  <c r="M7" i="1046"/>
  <c r="AF6" i="1046"/>
  <c r="AB6" i="1046"/>
  <c r="Q6" i="1046"/>
  <c r="P6" i="1046"/>
  <c r="O6" i="1046"/>
  <c r="M6" i="1046"/>
  <c r="K6" i="1046"/>
  <c r="M21" i="1047" l="1"/>
  <c r="AC21" i="1047"/>
  <c r="AD6" i="1047"/>
  <c r="AD21" i="1047" s="1"/>
  <c r="Q21" i="1046"/>
  <c r="AD18" i="1046"/>
  <c r="AD19" i="1046"/>
  <c r="AD7" i="1046"/>
  <c r="AD9" i="1046"/>
  <c r="AD14" i="1046"/>
  <c r="AD12" i="1046"/>
  <c r="AD10" i="1046"/>
  <c r="AD15" i="1046"/>
  <c r="AD13" i="1046"/>
  <c r="P20" i="1046"/>
  <c r="AC20" i="1046" s="1"/>
  <c r="AD20" i="1046" s="1"/>
  <c r="M8" i="1046"/>
  <c r="AB8" i="1046"/>
  <c r="AD8" i="1046" s="1"/>
  <c r="M11" i="1046"/>
  <c r="AB11" i="1046"/>
  <c r="AC6" i="1046"/>
  <c r="O8" i="1046"/>
  <c r="M10" i="1046"/>
  <c r="O11" i="1046"/>
  <c r="M13" i="1046"/>
  <c r="L21" i="1046"/>
  <c r="O21" i="1046" s="1"/>
  <c r="K21" i="1046"/>
  <c r="AE17" i="1045"/>
  <c r="AE18" i="1045"/>
  <c r="AE19" i="1045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045"/>
  <c r="M20" i="1045" s="1"/>
  <c r="K19" i="1045"/>
  <c r="AF19" i="1045"/>
  <c r="AB19" i="1045"/>
  <c r="Q19" i="1045"/>
  <c r="P19" i="1045" s="1"/>
  <c r="AC19" i="1045" s="1"/>
  <c r="O19" i="1045"/>
  <c r="M19" i="1045"/>
  <c r="L18" i="1045"/>
  <c r="L13" i="1045"/>
  <c r="K12" i="1045"/>
  <c r="L11" i="1045"/>
  <c r="K11" i="1045" s="1"/>
  <c r="L10" i="1045"/>
  <c r="K10" i="1045" s="1"/>
  <c r="K9" i="1045"/>
  <c r="L8" i="1045"/>
  <c r="K8" i="1045" s="1"/>
  <c r="K18" i="1045"/>
  <c r="K14" i="1045"/>
  <c r="A74" i="1045"/>
  <c r="A75" i="1045" s="1"/>
  <c r="A76" i="1045" s="1"/>
  <c r="A77" i="1045" s="1"/>
  <c r="A78" i="1045" s="1"/>
  <c r="A79" i="1045" s="1"/>
  <c r="A80" i="1045" s="1"/>
  <c r="A81" i="1045" s="1"/>
  <c r="AF60" i="1045"/>
  <c r="AF59" i="1045"/>
  <c r="AF62" i="1045" s="1"/>
  <c r="AA21" i="1045"/>
  <c r="Z21" i="1045"/>
  <c r="Y21" i="1045"/>
  <c r="X21" i="1045"/>
  <c r="W21" i="1045"/>
  <c r="V21" i="1045"/>
  <c r="U21" i="1045"/>
  <c r="T21" i="1045"/>
  <c r="S21" i="1045"/>
  <c r="R21" i="1045"/>
  <c r="N21" i="1045"/>
  <c r="J21" i="1045"/>
  <c r="I21" i="1045"/>
  <c r="AF20" i="1045"/>
  <c r="Q20" i="1045"/>
  <c r="O20" i="1045"/>
  <c r="AF18" i="1045"/>
  <c r="Q18" i="1045"/>
  <c r="P18" i="1045"/>
  <c r="AC18" i="1045" s="1"/>
  <c r="AF17" i="1045"/>
  <c r="AB17" i="1045"/>
  <c r="Q17" i="1045"/>
  <c r="P17" i="1045"/>
  <c r="AC17" i="1045" s="1"/>
  <c r="AD17" i="1045" s="1"/>
  <c r="O17" i="1045"/>
  <c r="M17" i="1045"/>
  <c r="K17" i="1045"/>
  <c r="AF16" i="1045"/>
  <c r="AB16" i="1045"/>
  <c r="Q16" i="1045"/>
  <c r="P16" i="1045"/>
  <c r="AC16" i="1045" s="1"/>
  <c r="O16" i="1045"/>
  <c r="M16" i="1045"/>
  <c r="K16" i="1045"/>
  <c r="AF15" i="1045"/>
  <c r="AB15" i="1045"/>
  <c r="Q15" i="1045"/>
  <c r="P15" i="1045"/>
  <c r="AC15" i="1045" s="1"/>
  <c r="O15" i="1045"/>
  <c r="M15" i="1045"/>
  <c r="K15" i="1045"/>
  <c r="AF14" i="1045"/>
  <c r="Q14" i="1045"/>
  <c r="M14" i="1045"/>
  <c r="P14" i="1045"/>
  <c r="AC14" i="1045" s="1"/>
  <c r="AF13" i="1045"/>
  <c r="Q13" i="1045"/>
  <c r="AF12" i="1045"/>
  <c r="AB12" i="1045"/>
  <c r="Q12" i="1045"/>
  <c r="P12" i="1045" s="1"/>
  <c r="AC12" i="1045" s="1"/>
  <c r="O12" i="1045"/>
  <c r="M12" i="1045"/>
  <c r="AF11" i="1045"/>
  <c r="Q11" i="1045"/>
  <c r="AF10" i="1045"/>
  <c r="Q10" i="1045"/>
  <c r="P10" i="1045" s="1"/>
  <c r="AC10" i="1045" s="1"/>
  <c r="AF9" i="1045"/>
  <c r="Q9" i="1045"/>
  <c r="P9" i="1045" s="1"/>
  <c r="AC9" i="1045" s="1"/>
  <c r="O9" i="1045"/>
  <c r="AB9" i="1045"/>
  <c r="AF8" i="1045"/>
  <c r="AB8" i="1045"/>
  <c r="Q8" i="1045"/>
  <c r="O8" i="1045"/>
  <c r="M8" i="1045"/>
  <c r="AF7" i="1045"/>
  <c r="AB7" i="1045"/>
  <c r="Q7" i="1045"/>
  <c r="P7" i="1045"/>
  <c r="AC7" i="1045" s="1"/>
  <c r="AD7" i="1045" s="1"/>
  <c r="O7" i="1045"/>
  <c r="M7" i="1045"/>
  <c r="AF6" i="1045"/>
  <c r="AB6" i="1045"/>
  <c r="Q6" i="1045"/>
  <c r="P6" i="1045"/>
  <c r="AC6" i="1045" s="1"/>
  <c r="O6" i="1045"/>
  <c r="M6" i="1045"/>
  <c r="K6" i="1045"/>
  <c r="AE10" i="1047" l="1"/>
  <c r="AE13" i="1047"/>
  <c r="AE19" i="1047"/>
  <c r="AE17" i="1047"/>
  <c r="AE20" i="1047"/>
  <c r="AE11" i="1047"/>
  <c r="AE8" i="1047"/>
  <c r="AE7" i="1047"/>
  <c r="AE18" i="1047"/>
  <c r="AE16" i="1047"/>
  <c r="AE14" i="1047"/>
  <c r="AE12" i="1047"/>
  <c r="AE9" i="1047"/>
  <c r="AE15" i="1047"/>
  <c r="AE6" i="1047"/>
  <c r="AD11" i="1046"/>
  <c r="M21" i="1046"/>
  <c r="AB21" i="1046"/>
  <c r="P21" i="1046"/>
  <c r="AC21" i="1046"/>
  <c r="AD6" i="1046"/>
  <c r="K20" i="1045"/>
  <c r="AD19" i="1045"/>
  <c r="L21" i="1045"/>
  <c r="O21" i="1045" s="1"/>
  <c r="P13" i="1045"/>
  <c r="AC13" i="1045" s="1"/>
  <c r="K13" i="1045"/>
  <c r="K21" i="1045" s="1"/>
  <c r="AD12" i="1045"/>
  <c r="P11" i="1045"/>
  <c r="AC11" i="1045" s="1"/>
  <c r="AD9" i="1045"/>
  <c r="Q21" i="1045"/>
  <c r="AD16" i="1045"/>
  <c r="AD15" i="1045"/>
  <c r="M11" i="1045"/>
  <c r="AB11" i="1045"/>
  <c r="AB14" i="1045"/>
  <c r="M18" i="1045"/>
  <c r="AB18" i="1045"/>
  <c r="P20" i="1045"/>
  <c r="AC20" i="1045" s="1"/>
  <c r="AD6" i="1045"/>
  <c r="P8" i="1045"/>
  <c r="AC8" i="1045" s="1"/>
  <c r="AD8" i="1045" s="1"/>
  <c r="M10" i="1045"/>
  <c r="AB10" i="1045"/>
  <c r="O11" i="1045"/>
  <c r="M13" i="1045"/>
  <c r="AB13" i="1045"/>
  <c r="O14" i="1045"/>
  <c r="AD14" i="1045" s="1"/>
  <c r="O18" i="1045"/>
  <c r="M9" i="1045"/>
  <c r="O10" i="1045"/>
  <c r="O13" i="1045"/>
  <c r="AB20" i="1045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1044"/>
  <c r="K21" i="1044"/>
  <c r="L20" i="1044"/>
  <c r="L19" i="1044"/>
  <c r="K19" i="1044" s="1"/>
  <c r="AF19" i="1044"/>
  <c r="AB19" i="1044"/>
  <c r="Q19" i="1044"/>
  <c r="P19" i="1044" s="1"/>
  <c r="AC19" i="1044" s="1"/>
  <c r="M19" i="1044"/>
  <c r="L18" i="1044"/>
  <c r="L14" i="1044"/>
  <c r="L13" i="1044"/>
  <c r="K13" i="1044" s="1"/>
  <c r="L11" i="1044"/>
  <c r="K11" i="1044" s="1"/>
  <c r="L10" i="1044"/>
  <c r="K10" i="1044" s="1"/>
  <c r="L9" i="1044"/>
  <c r="K9" i="1044" s="1"/>
  <c r="L8" i="1044"/>
  <c r="K8" i="1044" s="1"/>
  <c r="K20" i="1044"/>
  <c r="K18" i="1044"/>
  <c r="K17" i="1044"/>
  <c r="K14" i="1044"/>
  <c r="A75" i="1044"/>
  <c r="A76" i="1044" s="1"/>
  <c r="A77" i="1044" s="1"/>
  <c r="A78" i="1044" s="1"/>
  <c r="A79" i="1044" s="1"/>
  <c r="A80" i="1044" s="1"/>
  <c r="A81" i="1044" s="1"/>
  <c r="A82" i="1044" s="1"/>
  <c r="AF61" i="1044"/>
  <c r="AF60" i="1044"/>
  <c r="AF63" i="1044" s="1"/>
  <c r="AA22" i="1044"/>
  <c r="Z22" i="1044"/>
  <c r="Y22" i="1044"/>
  <c r="X22" i="1044"/>
  <c r="W22" i="1044"/>
  <c r="V22" i="1044"/>
  <c r="U22" i="1044"/>
  <c r="T22" i="1044"/>
  <c r="S22" i="1044"/>
  <c r="R22" i="1044"/>
  <c r="N22" i="1044"/>
  <c r="J22" i="1044"/>
  <c r="I22" i="1044"/>
  <c r="AF21" i="1044"/>
  <c r="AB21" i="1044"/>
  <c r="Q21" i="1044"/>
  <c r="P21" i="1044" s="1"/>
  <c r="AC21" i="1044" s="1"/>
  <c r="O21" i="1044"/>
  <c r="M21" i="1044"/>
  <c r="AF20" i="1044"/>
  <c r="AB20" i="1044"/>
  <c r="Q20" i="1044"/>
  <c r="P20" i="1044" s="1"/>
  <c r="AC20" i="1044" s="1"/>
  <c r="O20" i="1044"/>
  <c r="M20" i="1044"/>
  <c r="AF18" i="1044"/>
  <c r="Q18" i="1044"/>
  <c r="P18" i="1044" s="1"/>
  <c r="AC18" i="1044" s="1"/>
  <c r="AF17" i="1044"/>
  <c r="AB17" i="1044"/>
  <c r="Q17" i="1044"/>
  <c r="P17" i="1044"/>
  <c r="AC17" i="1044" s="1"/>
  <c r="O17" i="1044"/>
  <c r="M17" i="1044"/>
  <c r="AF16" i="1044"/>
  <c r="AB16" i="1044"/>
  <c r="Q16" i="1044"/>
  <c r="P16" i="1044"/>
  <c r="AC16" i="1044" s="1"/>
  <c r="O16" i="1044"/>
  <c r="M16" i="1044"/>
  <c r="K16" i="1044"/>
  <c r="AF15" i="1044"/>
  <c r="AB15" i="1044"/>
  <c r="Q15" i="1044"/>
  <c r="P15" i="1044"/>
  <c r="AC15" i="1044" s="1"/>
  <c r="O15" i="1044"/>
  <c r="M15" i="1044"/>
  <c r="K15" i="1044"/>
  <c r="AF14" i="1044"/>
  <c r="Q14" i="1044"/>
  <c r="O14" i="1044"/>
  <c r="AB14" i="1044"/>
  <c r="AF13" i="1044"/>
  <c r="AB13" i="1044"/>
  <c r="Q13" i="1044"/>
  <c r="P13" i="1044" s="1"/>
  <c r="AC13" i="1044" s="1"/>
  <c r="O13" i="1044"/>
  <c r="M13" i="1044"/>
  <c r="AF12" i="1044"/>
  <c r="AB12" i="1044"/>
  <c r="Q12" i="1044"/>
  <c r="P12" i="1044"/>
  <c r="AC12" i="1044" s="1"/>
  <c r="O12" i="1044"/>
  <c r="M12" i="1044"/>
  <c r="K12" i="1044"/>
  <c r="AF11" i="1044"/>
  <c r="AB11" i="1044"/>
  <c r="Q11" i="1044"/>
  <c r="P11" i="1044" s="1"/>
  <c r="AC11" i="1044" s="1"/>
  <c r="M11" i="1044"/>
  <c r="O11" i="1044"/>
  <c r="AF10" i="1044"/>
  <c r="Q10" i="1044"/>
  <c r="P10" i="1044" s="1"/>
  <c r="AC10" i="1044" s="1"/>
  <c r="AF9" i="1044"/>
  <c r="AB9" i="1044"/>
  <c r="Q9" i="1044"/>
  <c r="P9" i="1044" s="1"/>
  <c r="AC9" i="1044" s="1"/>
  <c r="O9" i="1044"/>
  <c r="M9" i="1044"/>
  <c r="AF8" i="1044"/>
  <c r="Q8" i="1044"/>
  <c r="O8" i="1044"/>
  <c r="AB8" i="1044"/>
  <c r="AF7" i="1044"/>
  <c r="AB7" i="1044"/>
  <c r="Q7" i="1044"/>
  <c r="P7" i="1044"/>
  <c r="AC7" i="1044" s="1"/>
  <c r="O7" i="1044"/>
  <c r="M7" i="1044"/>
  <c r="AF6" i="1044"/>
  <c r="AB6" i="1044"/>
  <c r="Q6" i="1044"/>
  <c r="P6" i="1044"/>
  <c r="AC6" i="1044" s="1"/>
  <c r="O6" i="1044"/>
  <c r="M6" i="1044"/>
  <c r="K6" i="1044"/>
  <c r="AD21" i="1046" l="1"/>
  <c r="M21" i="1045"/>
  <c r="AD13" i="1045"/>
  <c r="AD11" i="1045"/>
  <c r="AD18" i="1045"/>
  <c r="AB21" i="1045"/>
  <c r="P21" i="1045"/>
  <c r="AD20" i="1045"/>
  <c r="AD10" i="1045"/>
  <c r="AC21" i="1045"/>
  <c r="Q22" i="1044"/>
  <c r="AD21" i="1044"/>
  <c r="AD7" i="1044"/>
  <c r="O19" i="1044"/>
  <c r="AD19" i="1044" s="1"/>
  <c r="AD13" i="1044"/>
  <c r="AD9" i="1044"/>
  <c r="AD15" i="1044"/>
  <c r="AD20" i="1044"/>
  <c r="AD12" i="1044"/>
  <c r="AD16" i="1044"/>
  <c r="AD17" i="1044"/>
  <c r="AD11" i="1044"/>
  <c r="AD6" i="1044"/>
  <c r="P8" i="1044"/>
  <c r="AC8" i="1044" s="1"/>
  <c r="AD8" i="1044" s="1"/>
  <c r="M10" i="1044"/>
  <c r="AB10" i="1044"/>
  <c r="P14" i="1044"/>
  <c r="AC14" i="1044" s="1"/>
  <c r="AD14" i="1044" s="1"/>
  <c r="M18" i="1044"/>
  <c r="AB18" i="1044"/>
  <c r="O10" i="1044"/>
  <c r="O18" i="1044"/>
  <c r="L22" i="1044"/>
  <c r="O22" i="1044" s="1"/>
  <c r="M8" i="1044"/>
  <c r="K22" i="1044"/>
  <c r="M14" i="1044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K20" i="1043"/>
  <c r="AF19" i="1043"/>
  <c r="AB19" i="1043"/>
  <c r="Q19" i="1043"/>
  <c r="P19" i="1043" s="1"/>
  <c r="AC19" i="1043" s="1"/>
  <c r="O19" i="1043"/>
  <c r="M19" i="1043"/>
  <c r="K19" i="1043"/>
  <c r="L18" i="1043"/>
  <c r="L17" i="1043"/>
  <c r="K17" i="1043" s="1"/>
  <c r="L14" i="1043"/>
  <c r="K14" i="1043" s="1"/>
  <c r="L11" i="1043"/>
  <c r="AB11" i="1043" s="1"/>
  <c r="L10" i="1043"/>
  <c r="L9" i="1043"/>
  <c r="K9" i="1043" s="1"/>
  <c r="L8" i="1043"/>
  <c r="K18" i="1043"/>
  <c r="K16" i="1043"/>
  <c r="K12" i="1043"/>
  <c r="K10" i="1043"/>
  <c r="K8" i="1043"/>
  <c r="A75" i="1043"/>
  <c r="A76" i="1043" s="1"/>
  <c r="A77" i="1043" s="1"/>
  <c r="A78" i="1043" s="1"/>
  <c r="A79" i="1043" s="1"/>
  <c r="A80" i="1043" s="1"/>
  <c r="A81" i="1043" s="1"/>
  <c r="A82" i="1043" s="1"/>
  <c r="AF63" i="1043"/>
  <c r="AF61" i="1043"/>
  <c r="AF60" i="1043"/>
  <c r="AA22" i="1043"/>
  <c r="Z22" i="1043"/>
  <c r="Y22" i="1043"/>
  <c r="X22" i="1043"/>
  <c r="W22" i="1043"/>
  <c r="V22" i="1043"/>
  <c r="U22" i="1043"/>
  <c r="T22" i="1043"/>
  <c r="S22" i="1043"/>
  <c r="R22" i="1043"/>
  <c r="N22" i="1043"/>
  <c r="J22" i="1043"/>
  <c r="I22" i="1043"/>
  <c r="AF21" i="1043"/>
  <c r="AB21" i="1043"/>
  <c r="Q21" i="1043"/>
  <c r="P21" i="1043"/>
  <c r="AC21" i="1043" s="1"/>
  <c r="AD21" i="1043" s="1"/>
  <c r="O21" i="1043"/>
  <c r="M21" i="1043"/>
  <c r="AF20" i="1043"/>
  <c r="Q20" i="1043"/>
  <c r="P20" i="1043" s="1"/>
  <c r="AC20" i="1043" s="1"/>
  <c r="AF18" i="1043"/>
  <c r="AB18" i="1043"/>
  <c r="Q18" i="1043"/>
  <c r="O18" i="1043"/>
  <c r="M18" i="1043"/>
  <c r="AF17" i="1043"/>
  <c r="AB17" i="1043"/>
  <c r="Q17" i="1043"/>
  <c r="P17" i="1043" s="1"/>
  <c r="AC17" i="1043" s="1"/>
  <c r="O17" i="1043"/>
  <c r="M17" i="1043"/>
  <c r="AF16" i="1043"/>
  <c r="AB16" i="1043"/>
  <c r="Q16" i="1043"/>
  <c r="P16" i="1043"/>
  <c r="AC16" i="1043" s="1"/>
  <c r="AD16" i="1043" s="1"/>
  <c r="O16" i="1043"/>
  <c r="M16" i="1043"/>
  <c r="AF15" i="1043"/>
  <c r="AB15" i="1043"/>
  <c r="Q15" i="1043"/>
  <c r="P15" i="1043"/>
  <c r="AC15" i="1043" s="1"/>
  <c r="O15" i="1043"/>
  <c r="M15" i="1043"/>
  <c r="K15" i="1043"/>
  <c r="AF14" i="1043"/>
  <c r="AB14" i="1043"/>
  <c r="Q14" i="1043"/>
  <c r="P14" i="1043" s="1"/>
  <c r="AC14" i="1043" s="1"/>
  <c r="O14" i="1043"/>
  <c r="M14" i="1043"/>
  <c r="AF13" i="1043"/>
  <c r="AB13" i="1043"/>
  <c r="Q13" i="1043"/>
  <c r="P13" i="1043"/>
  <c r="AC13" i="1043" s="1"/>
  <c r="O13" i="1043"/>
  <c r="M13" i="1043"/>
  <c r="K13" i="1043"/>
  <c r="AF12" i="1043"/>
  <c r="AB12" i="1043"/>
  <c r="Q12" i="1043"/>
  <c r="P12" i="1043"/>
  <c r="AC12" i="1043" s="1"/>
  <c r="O12" i="1043"/>
  <c r="M12" i="1043"/>
  <c r="AF11" i="1043"/>
  <c r="Q11" i="1043"/>
  <c r="O11" i="1043"/>
  <c r="AF10" i="1043"/>
  <c r="AB10" i="1043"/>
  <c r="Q10" i="1043"/>
  <c r="P10" i="1043" s="1"/>
  <c r="AC10" i="1043" s="1"/>
  <c r="M10" i="1043"/>
  <c r="AF9" i="1043"/>
  <c r="AB9" i="1043"/>
  <c r="Q9" i="1043"/>
  <c r="P9" i="1043" s="1"/>
  <c r="AC9" i="1043" s="1"/>
  <c r="O9" i="1043"/>
  <c r="M9" i="1043"/>
  <c r="AF8" i="1043"/>
  <c r="AB8" i="1043"/>
  <c r="Q8" i="1043"/>
  <c r="O8" i="1043"/>
  <c r="M8" i="1043"/>
  <c r="L22" i="1043"/>
  <c r="O22" i="1043" s="1"/>
  <c r="AF7" i="1043"/>
  <c r="AB7" i="1043"/>
  <c r="Q7" i="1043"/>
  <c r="P7" i="1043"/>
  <c r="AC7" i="1043" s="1"/>
  <c r="AD7" i="1043" s="1"/>
  <c r="O7" i="1043"/>
  <c r="M7" i="1043"/>
  <c r="AF6" i="1043"/>
  <c r="AC6" i="1043"/>
  <c r="AB6" i="1043"/>
  <c r="Q6" i="1043"/>
  <c r="P6" i="1043"/>
  <c r="O6" i="1043"/>
  <c r="M6" i="1043"/>
  <c r="K6" i="1043"/>
  <c r="AE16" i="1046" l="1"/>
  <c r="AE18" i="1046"/>
  <c r="AE8" i="1046"/>
  <c r="AE7" i="1046"/>
  <c r="AE17" i="1046"/>
  <c r="AE19" i="1046"/>
  <c r="AE12" i="1046"/>
  <c r="AE11" i="1046"/>
  <c r="AE10" i="1046"/>
  <c r="AE20" i="1046"/>
  <c r="AE14" i="1046"/>
  <c r="AE6" i="1046"/>
  <c r="AE15" i="1046"/>
  <c r="AE13" i="1046"/>
  <c r="AE9" i="1046"/>
  <c r="AD21" i="1045"/>
  <c r="AD10" i="1044"/>
  <c r="M22" i="1044"/>
  <c r="AD18" i="1044"/>
  <c r="AB22" i="1044"/>
  <c r="AC22" i="1044"/>
  <c r="P22" i="1044"/>
  <c r="AD19" i="1043"/>
  <c r="P18" i="1043"/>
  <c r="AC18" i="1043" s="1"/>
  <c r="AD18" i="1043" s="1"/>
  <c r="AD13" i="1043"/>
  <c r="AD12" i="1043"/>
  <c r="AD15" i="1043"/>
  <c r="Q22" i="1043"/>
  <c r="K11" i="1043"/>
  <c r="AD9" i="1043"/>
  <c r="AD17" i="1043"/>
  <c r="AD14" i="1043"/>
  <c r="AD6" i="1043"/>
  <c r="K22" i="1043"/>
  <c r="P8" i="1043"/>
  <c r="AC8" i="1043" s="1"/>
  <c r="AD8" i="1043" s="1"/>
  <c r="O10" i="1043"/>
  <c r="AD10" i="1043" s="1"/>
  <c r="P11" i="1043"/>
  <c r="AC11" i="1043" s="1"/>
  <c r="AD11" i="1043" s="1"/>
  <c r="M20" i="1043"/>
  <c r="AB20" i="1043"/>
  <c r="AB22" i="1043" s="1"/>
  <c r="O20" i="1043"/>
  <c r="M11" i="1043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1042"/>
  <c r="L18" i="1042"/>
  <c r="O18" i="1042" s="1"/>
  <c r="L16" i="1042"/>
  <c r="L12" i="1042"/>
  <c r="K12" i="1042" s="1"/>
  <c r="L11" i="1042"/>
  <c r="K11" i="1042" s="1"/>
  <c r="L10" i="1042"/>
  <c r="K9" i="1042"/>
  <c r="L8" i="1042"/>
  <c r="K8" i="1042" s="1"/>
  <c r="K19" i="1042"/>
  <c r="K18" i="1042"/>
  <c r="K16" i="1042"/>
  <c r="K15" i="1042"/>
  <c r="K13" i="1042"/>
  <c r="K10" i="1042"/>
  <c r="A74" i="1042"/>
  <c r="A75" i="1042" s="1"/>
  <c r="A76" i="1042" s="1"/>
  <c r="A77" i="1042" s="1"/>
  <c r="A78" i="1042" s="1"/>
  <c r="A79" i="1042" s="1"/>
  <c r="A80" i="1042" s="1"/>
  <c r="A81" i="1042" s="1"/>
  <c r="AF60" i="1042"/>
  <c r="AF59" i="1042"/>
  <c r="AF62" i="1042" s="1"/>
  <c r="AA21" i="1042"/>
  <c r="Z21" i="1042"/>
  <c r="Y21" i="1042"/>
  <c r="X21" i="1042"/>
  <c r="W21" i="1042"/>
  <c r="V21" i="1042"/>
  <c r="U21" i="1042"/>
  <c r="T21" i="1042"/>
  <c r="S21" i="1042"/>
  <c r="R21" i="1042"/>
  <c r="N21" i="1042"/>
  <c r="J21" i="1042"/>
  <c r="I21" i="1042"/>
  <c r="AF20" i="1042"/>
  <c r="AB20" i="1042"/>
  <c r="Q20" i="1042"/>
  <c r="P20" i="1042"/>
  <c r="AC20" i="1042" s="1"/>
  <c r="O20" i="1042"/>
  <c r="M20" i="1042"/>
  <c r="AF19" i="1042"/>
  <c r="Q19" i="1042"/>
  <c r="P19" i="1042" s="1"/>
  <c r="AC19" i="1042" s="1"/>
  <c r="AF18" i="1042"/>
  <c r="Q18" i="1042"/>
  <c r="P18" i="1042"/>
  <c r="AC18" i="1042" s="1"/>
  <c r="AF17" i="1042"/>
  <c r="AB17" i="1042"/>
  <c r="Q17" i="1042"/>
  <c r="P17" i="1042"/>
  <c r="AC17" i="1042" s="1"/>
  <c r="AD17" i="1042" s="1"/>
  <c r="O17" i="1042"/>
  <c r="M17" i="1042"/>
  <c r="AF16" i="1042"/>
  <c r="Q16" i="1042"/>
  <c r="P16" i="1042" s="1"/>
  <c r="AC16" i="1042" s="1"/>
  <c r="O16" i="1042"/>
  <c r="AF15" i="1042"/>
  <c r="Q15" i="1042"/>
  <c r="P15" i="1042"/>
  <c r="AC15" i="1042" s="1"/>
  <c r="O15" i="1042"/>
  <c r="AB15" i="1042"/>
  <c r="AF14" i="1042"/>
  <c r="AC14" i="1042"/>
  <c r="AB14" i="1042"/>
  <c r="Q14" i="1042"/>
  <c r="P14" i="1042"/>
  <c r="O14" i="1042"/>
  <c r="M14" i="1042"/>
  <c r="AF13" i="1042"/>
  <c r="Q13" i="1042"/>
  <c r="P13" i="1042"/>
  <c r="AC13" i="1042" s="1"/>
  <c r="O13" i="1042"/>
  <c r="AB13" i="1042"/>
  <c r="AF12" i="1042"/>
  <c r="AB12" i="1042"/>
  <c r="Q12" i="1042"/>
  <c r="P12" i="1042" s="1"/>
  <c r="AC12" i="1042" s="1"/>
  <c r="O12" i="1042"/>
  <c r="M12" i="1042"/>
  <c r="AF11" i="1042"/>
  <c r="AB11" i="1042"/>
  <c r="Q11" i="1042"/>
  <c r="P11" i="1042" s="1"/>
  <c r="AC11" i="1042" s="1"/>
  <c r="O11" i="1042"/>
  <c r="M11" i="1042"/>
  <c r="AF10" i="1042"/>
  <c r="AB10" i="1042"/>
  <c r="Q10" i="1042"/>
  <c r="O10" i="1042"/>
  <c r="M10" i="1042"/>
  <c r="AF9" i="1042"/>
  <c r="AB9" i="1042"/>
  <c r="Q9" i="1042"/>
  <c r="P9" i="1042"/>
  <c r="AC9" i="1042" s="1"/>
  <c r="O9" i="1042"/>
  <c r="M9" i="1042"/>
  <c r="AF8" i="1042"/>
  <c r="Q8" i="1042"/>
  <c r="O8" i="1042"/>
  <c r="AB8" i="1042"/>
  <c r="AF7" i="1042"/>
  <c r="AB7" i="1042"/>
  <c r="Q7" i="1042"/>
  <c r="P7" i="1042"/>
  <c r="AC7" i="1042" s="1"/>
  <c r="AD7" i="1042" s="1"/>
  <c r="O7" i="1042"/>
  <c r="M7" i="1042"/>
  <c r="AF6" i="1042"/>
  <c r="AC6" i="1042"/>
  <c r="AB6" i="1042"/>
  <c r="Q6" i="1042"/>
  <c r="P6" i="1042"/>
  <c r="O6" i="1042"/>
  <c r="M6" i="1042"/>
  <c r="K6" i="1042"/>
  <c r="AE13" i="1045" l="1"/>
  <c r="AE15" i="1045"/>
  <c r="AE8" i="1045"/>
  <c r="AE14" i="1045"/>
  <c r="AE12" i="1045"/>
  <c r="AE11" i="1045"/>
  <c r="AE16" i="1045"/>
  <c r="AE10" i="1045"/>
  <c r="AE6" i="1045"/>
  <c r="AE9" i="1045"/>
  <c r="AE20" i="1045"/>
  <c r="AE7" i="1045"/>
  <c r="AD22" i="1044"/>
  <c r="AE13" i="1044" s="1"/>
  <c r="M22" i="1043"/>
  <c r="AC22" i="1043"/>
  <c r="AD20" i="1043"/>
  <c r="AD22" i="1043" s="1"/>
  <c r="AE19" i="1043" s="1"/>
  <c r="P22" i="1043"/>
  <c r="P10" i="1042"/>
  <c r="AC10" i="1042" s="1"/>
  <c r="AD10" i="1042" s="1"/>
  <c r="AD12" i="1042"/>
  <c r="Q21" i="1042"/>
  <c r="P8" i="1042"/>
  <c r="AC8" i="1042" s="1"/>
  <c r="AD8" i="1042" s="1"/>
  <c r="AD14" i="1042"/>
  <c r="AD20" i="1042"/>
  <c r="AD9" i="1042"/>
  <c r="AD11" i="1042"/>
  <c r="AD15" i="1042"/>
  <c r="AD13" i="1042"/>
  <c r="K21" i="1042"/>
  <c r="M19" i="1042"/>
  <c r="AB19" i="1042"/>
  <c r="M16" i="1042"/>
  <c r="AB16" i="1042"/>
  <c r="AD16" i="1042" s="1"/>
  <c r="M18" i="1042"/>
  <c r="AB18" i="1042"/>
  <c r="AD18" i="1042" s="1"/>
  <c r="O19" i="1042"/>
  <c r="L21" i="1042"/>
  <c r="O21" i="1042" s="1"/>
  <c r="AD6" i="1042"/>
  <c r="M8" i="1042"/>
  <c r="M13" i="1042"/>
  <c r="M15" i="1042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19" i="1041"/>
  <c r="K19" i="1041" s="1"/>
  <c r="L18" i="1041"/>
  <c r="O18" i="1041" s="1"/>
  <c r="L16" i="1041"/>
  <c r="K16" i="1041" s="1"/>
  <c r="L15" i="1041"/>
  <c r="K15" i="1041" s="1"/>
  <c r="L13" i="1041"/>
  <c r="K13" i="1041" s="1"/>
  <c r="L10" i="1041"/>
  <c r="AB10" i="1041" s="1"/>
  <c r="L8" i="1041"/>
  <c r="K8" i="1041" s="1"/>
  <c r="K12" i="1041"/>
  <c r="K11" i="1041"/>
  <c r="K9" i="1041"/>
  <c r="A74" i="1041"/>
  <c r="A75" i="1041" s="1"/>
  <c r="A76" i="1041" s="1"/>
  <c r="A77" i="1041" s="1"/>
  <c r="A78" i="1041" s="1"/>
  <c r="A79" i="1041" s="1"/>
  <c r="A80" i="1041" s="1"/>
  <c r="A81" i="1041" s="1"/>
  <c r="AF62" i="1041"/>
  <c r="AF60" i="1041"/>
  <c r="AF59" i="1041"/>
  <c r="AA21" i="1041"/>
  <c r="Z21" i="1041"/>
  <c r="Y21" i="1041"/>
  <c r="X21" i="1041"/>
  <c r="W21" i="1041"/>
  <c r="V21" i="1041"/>
  <c r="U21" i="1041"/>
  <c r="T21" i="1041"/>
  <c r="S21" i="1041"/>
  <c r="R21" i="1041"/>
  <c r="N21" i="1041"/>
  <c r="J21" i="1041"/>
  <c r="I21" i="1041"/>
  <c r="AF20" i="1041"/>
  <c r="AB20" i="1041"/>
  <c r="Q20" i="1041"/>
  <c r="P20" i="1041"/>
  <c r="AC20" i="1041" s="1"/>
  <c r="AD20" i="1041" s="1"/>
  <c r="O20" i="1041"/>
  <c r="M20" i="1041"/>
  <c r="AF19" i="1041"/>
  <c r="Q19" i="1041"/>
  <c r="P19" i="1041" s="1"/>
  <c r="AC19" i="1041" s="1"/>
  <c r="AF18" i="1041"/>
  <c r="Q18" i="1041"/>
  <c r="P18" i="1041" s="1"/>
  <c r="AC18" i="1041" s="1"/>
  <c r="M18" i="1041"/>
  <c r="AF17" i="1041"/>
  <c r="AC17" i="1041"/>
  <c r="AB17" i="1041"/>
  <c r="Q17" i="1041"/>
  <c r="P17" i="1041"/>
  <c r="O17" i="1041"/>
  <c r="M17" i="1041"/>
  <c r="AF16" i="1041"/>
  <c r="Q16" i="1041"/>
  <c r="AF15" i="1041"/>
  <c r="AB15" i="1041"/>
  <c r="Q15" i="1041"/>
  <c r="P15" i="1041"/>
  <c r="AC15" i="1041" s="1"/>
  <c r="O15" i="1041"/>
  <c r="M15" i="1041"/>
  <c r="AF14" i="1041"/>
  <c r="AB14" i="1041"/>
  <c r="Q14" i="1041"/>
  <c r="P14" i="1041"/>
  <c r="AC14" i="1041" s="1"/>
  <c r="O14" i="1041"/>
  <c r="M14" i="1041"/>
  <c r="AF13" i="1041"/>
  <c r="Q13" i="1041"/>
  <c r="P13" i="1041" s="1"/>
  <c r="AC13" i="1041" s="1"/>
  <c r="AF12" i="1041"/>
  <c r="AB12" i="1041"/>
  <c r="Q12" i="1041"/>
  <c r="P12" i="1041"/>
  <c r="AC12" i="1041" s="1"/>
  <c r="O12" i="1041"/>
  <c r="M12" i="1041"/>
  <c r="AF11" i="1041"/>
  <c r="Q11" i="1041"/>
  <c r="O11" i="1041"/>
  <c r="AB11" i="1041"/>
  <c r="AF10" i="1041"/>
  <c r="Q10" i="1041"/>
  <c r="AF9" i="1041"/>
  <c r="Q9" i="1041"/>
  <c r="P9" i="1041"/>
  <c r="AC9" i="1041" s="1"/>
  <c r="AF8" i="1041"/>
  <c r="AB8" i="1041"/>
  <c r="Q8" i="1041"/>
  <c r="P8" i="1041" s="1"/>
  <c r="AC8" i="1041" s="1"/>
  <c r="O8" i="1041"/>
  <c r="M8" i="1041"/>
  <c r="AF7" i="1041"/>
  <c r="AC7" i="1041"/>
  <c r="AD7" i="1041" s="1"/>
  <c r="AB7" i="1041"/>
  <c r="Q7" i="1041"/>
  <c r="P7" i="1041"/>
  <c r="O7" i="1041"/>
  <c r="M7" i="1041"/>
  <c r="AF6" i="1041"/>
  <c r="AB6" i="1041"/>
  <c r="Q6" i="1041"/>
  <c r="P6" i="1041"/>
  <c r="AC6" i="1041" s="1"/>
  <c r="O6" i="1041"/>
  <c r="M6" i="1041"/>
  <c r="K6" i="1041"/>
  <c r="AE10" i="1044" l="1"/>
  <c r="AE17" i="1044"/>
  <c r="AE8" i="1044"/>
  <c r="AE7" i="1044"/>
  <c r="AE19" i="1044"/>
  <c r="AE9" i="1044"/>
  <c r="AE20" i="1044"/>
  <c r="AE16" i="1044"/>
  <c r="AE18" i="1044"/>
  <c r="AE21" i="1044"/>
  <c r="AE14" i="1044"/>
  <c r="AE15" i="1044"/>
  <c r="AE12" i="1044"/>
  <c r="AE6" i="1044"/>
  <c r="AE11" i="1044"/>
  <c r="AE13" i="1043"/>
  <c r="AE10" i="1043"/>
  <c r="AE7" i="1043"/>
  <c r="AE9" i="1043"/>
  <c r="AE17" i="1043"/>
  <c r="AE15" i="1043"/>
  <c r="AE11" i="1043"/>
  <c r="AE8" i="1043"/>
  <c r="AE6" i="1043"/>
  <c r="AE14" i="1043"/>
  <c r="AE21" i="1043"/>
  <c r="AE18" i="1043"/>
  <c r="AE16" i="1043"/>
  <c r="AE12" i="1043"/>
  <c r="AE20" i="1043"/>
  <c r="AC21" i="1042"/>
  <c r="P21" i="1042"/>
  <c r="AD19" i="1042"/>
  <c r="AD21" i="1042" s="1"/>
  <c r="M21" i="1042"/>
  <c r="AB21" i="1042"/>
  <c r="AD8" i="1041"/>
  <c r="Q21" i="1041"/>
  <c r="K18" i="1041"/>
  <c r="AB18" i="1041"/>
  <c r="AD18" i="1041" s="1"/>
  <c r="M16" i="1041"/>
  <c r="AB16" i="1041"/>
  <c r="O16" i="1041"/>
  <c r="P16" i="1041"/>
  <c r="AC16" i="1041" s="1"/>
  <c r="AD15" i="1041"/>
  <c r="M10" i="1041"/>
  <c r="P10" i="1041"/>
  <c r="AC10" i="1041" s="1"/>
  <c r="L21" i="1041"/>
  <c r="O21" i="1041" s="1"/>
  <c r="K10" i="1041"/>
  <c r="AD17" i="1041"/>
  <c r="AD12" i="1041"/>
  <c r="AD14" i="1041"/>
  <c r="AD6" i="1041"/>
  <c r="M9" i="1041"/>
  <c r="AB9" i="1041"/>
  <c r="O10" i="1041"/>
  <c r="K21" i="1041"/>
  <c r="P11" i="1041"/>
  <c r="AC11" i="1041" s="1"/>
  <c r="AD11" i="1041" s="1"/>
  <c r="M13" i="1041"/>
  <c r="AB13" i="1041"/>
  <c r="M19" i="1041"/>
  <c r="AB19" i="1041"/>
  <c r="O9" i="1041"/>
  <c r="O13" i="1041"/>
  <c r="AD13" i="1041" s="1"/>
  <c r="O19" i="1041"/>
  <c r="M11" i="104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9" i="1040"/>
  <c r="K19" i="1040" s="1"/>
  <c r="L18" i="1040"/>
  <c r="K18" i="1040" s="1"/>
  <c r="L16" i="1040"/>
  <c r="K16" i="1040" s="1"/>
  <c r="L13" i="1040"/>
  <c r="L12" i="1040"/>
  <c r="K12" i="1040"/>
  <c r="L11" i="1040"/>
  <c r="L10" i="1040"/>
  <c r="K10" i="1040" s="1"/>
  <c r="L9" i="1040"/>
  <c r="L8" i="1040"/>
  <c r="K8" i="1040" s="1"/>
  <c r="K13" i="1040"/>
  <c r="K11" i="1040"/>
  <c r="K9" i="1040"/>
  <c r="K6" i="1040"/>
  <c r="A74" i="1040"/>
  <c r="A75" i="1040" s="1"/>
  <c r="A76" i="1040" s="1"/>
  <c r="A77" i="1040" s="1"/>
  <c r="A78" i="1040" s="1"/>
  <c r="A79" i="1040" s="1"/>
  <c r="A80" i="1040" s="1"/>
  <c r="A81" i="1040" s="1"/>
  <c r="AF62" i="1040"/>
  <c r="AF60" i="1040"/>
  <c r="AF59" i="1040"/>
  <c r="AA21" i="1040"/>
  <c r="Z21" i="1040"/>
  <c r="Y21" i="1040"/>
  <c r="X21" i="1040"/>
  <c r="W21" i="1040"/>
  <c r="V21" i="1040"/>
  <c r="U21" i="1040"/>
  <c r="T21" i="1040"/>
  <c r="S21" i="1040"/>
  <c r="R21" i="1040"/>
  <c r="N21" i="1040"/>
  <c r="J21" i="1040"/>
  <c r="I21" i="1040"/>
  <c r="AF20" i="1040"/>
  <c r="AB20" i="1040"/>
  <c r="Q20" i="1040"/>
  <c r="P20" i="1040"/>
  <c r="AC20" i="1040" s="1"/>
  <c r="AD20" i="1040" s="1"/>
  <c r="O20" i="1040"/>
  <c r="M20" i="1040"/>
  <c r="AF19" i="1040"/>
  <c r="Q19" i="1040"/>
  <c r="P19" i="1040"/>
  <c r="AC19" i="1040" s="1"/>
  <c r="AF18" i="1040"/>
  <c r="AB18" i="1040"/>
  <c r="Q18" i="1040"/>
  <c r="P18" i="1040" s="1"/>
  <c r="AC18" i="1040" s="1"/>
  <c r="O18" i="1040"/>
  <c r="M18" i="1040"/>
  <c r="AF17" i="1040"/>
  <c r="AB17" i="1040"/>
  <c r="Q17" i="1040"/>
  <c r="P17" i="1040"/>
  <c r="AC17" i="1040" s="1"/>
  <c r="AD17" i="1040" s="1"/>
  <c r="O17" i="1040"/>
  <c r="M17" i="1040"/>
  <c r="AF16" i="1040"/>
  <c r="Q16" i="1040"/>
  <c r="P16" i="1040" s="1"/>
  <c r="AC16" i="1040" s="1"/>
  <c r="O16" i="1040"/>
  <c r="AF15" i="1040"/>
  <c r="AB15" i="1040"/>
  <c r="Q15" i="1040"/>
  <c r="P15" i="1040"/>
  <c r="AC15" i="1040" s="1"/>
  <c r="AD15" i="1040" s="1"/>
  <c r="O15" i="1040"/>
  <c r="M15" i="1040"/>
  <c r="AF14" i="1040"/>
  <c r="AB14" i="1040"/>
  <c r="Q14" i="1040"/>
  <c r="P14" i="1040"/>
  <c r="AC14" i="1040" s="1"/>
  <c r="AD14" i="1040" s="1"/>
  <c r="O14" i="1040"/>
  <c r="M14" i="1040"/>
  <c r="AF13" i="1040"/>
  <c r="Q13" i="1040"/>
  <c r="P13" i="1040"/>
  <c r="AC13" i="1040" s="1"/>
  <c r="O13" i="1040"/>
  <c r="M13" i="1040"/>
  <c r="AB13" i="1040"/>
  <c r="AF12" i="1040"/>
  <c r="AB12" i="1040"/>
  <c r="Q12" i="1040"/>
  <c r="P12" i="1040"/>
  <c r="AC12" i="1040" s="1"/>
  <c r="O12" i="1040"/>
  <c r="M12" i="1040"/>
  <c r="AF11" i="1040"/>
  <c r="Q11" i="1040"/>
  <c r="P11" i="1040" s="1"/>
  <c r="AC11" i="1040" s="1"/>
  <c r="O11" i="1040"/>
  <c r="AF10" i="1040"/>
  <c r="Q10" i="1040"/>
  <c r="P10" i="1040" s="1"/>
  <c r="AC10" i="1040" s="1"/>
  <c r="O10" i="1040"/>
  <c r="AB10" i="1040"/>
  <c r="AF9" i="1040"/>
  <c r="AB9" i="1040"/>
  <c r="Q9" i="1040"/>
  <c r="O9" i="1040"/>
  <c r="M9" i="1040"/>
  <c r="P9" i="1040"/>
  <c r="AC9" i="1040" s="1"/>
  <c r="AF8" i="1040"/>
  <c r="Q8" i="1040"/>
  <c r="L21" i="1040"/>
  <c r="O21" i="1040" s="1"/>
  <c r="AF7" i="1040"/>
  <c r="AB7" i="1040"/>
  <c r="Q7" i="1040"/>
  <c r="P7" i="1040"/>
  <c r="AC7" i="1040" s="1"/>
  <c r="O7" i="1040"/>
  <c r="M7" i="1040"/>
  <c r="AF6" i="1040"/>
  <c r="AC6" i="1040"/>
  <c r="AB6" i="1040"/>
  <c r="Q6" i="1040"/>
  <c r="Q21" i="1040" s="1"/>
  <c r="P6" i="1040"/>
  <c r="O6" i="1040"/>
  <c r="M6" i="1040"/>
  <c r="AE14" i="1042" l="1"/>
  <c r="AE12" i="1042"/>
  <c r="AE10" i="1042"/>
  <c r="AE7" i="1042"/>
  <c r="AE8" i="1042"/>
  <c r="AE6" i="1042"/>
  <c r="AE17" i="1042"/>
  <c r="AE15" i="1042"/>
  <c r="AE13" i="1042"/>
  <c r="AE11" i="1042"/>
  <c r="AE20" i="1042"/>
  <c r="AE18" i="1042"/>
  <c r="AE16" i="1042"/>
  <c r="AE19" i="1042"/>
  <c r="AE9" i="1042"/>
  <c r="P21" i="1041"/>
  <c r="AD10" i="1041"/>
  <c r="AD16" i="1041"/>
  <c r="AD19" i="1041"/>
  <c r="M21" i="1041"/>
  <c r="AD9" i="1041"/>
  <c r="AC21" i="1041"/>
  <c r="AB21" i="1041"/>
  <c r="AD18" i="1040"/>
  <c r="AD12" i="1040"/>
  <c r="AD9" i="1040"/>
  <c r="AD13" i="1040"/>
  <c r="AD7" i="1040"/>
  <c r="AD10" i="1040"/>
  <c r="M8" i="1040"/>
  <c r="M19" i="1040"/>
  <c r="AB19" i="1040"/>
  <c r="AB8" i="1040"/>
  <c r="AD6" i="1040"/>
  <c r="O8" i="1040"/>
  <c r="M11" i="1040"/>
  <c r="AB11" i="1040"/>
  <c r="AD11" i="1040" s="1"/>
  <c r="M16" i="1040"/>
  <c r="AB16" i="1040"/>
  <c r="AD16" i="1040" s="1"/>
  <c r="O19" i="1040"/>
  <c r="K21" i="1040"/>
  <c r="P8" i="1040"/>
  <c r="AC8" i="1040" s="1"/>
  <c r="M10" i="1040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9" i="1039"/>
  <c r="L16" i="1039"/>
  <c r="K16" i="1039" s="1"/>
  <c r="L13" i="1039"/>
  <c r="K13" i="1039" s="1"/>
  <c r="L11" i="1039"/>
  <c r="K11" i="1039" s="1"/>
  <c r="L10" i="1039"/>
  <c r="K10" i="1039" s="1"/>
  <c r="L9" i="1039"/>
  <c r="K9" i="1039" s="1"/>
  <c r="L8" i="1039"/>
  <c r="K8" i="1039" s="1"/>
  <c r="K19" i="1039"/>
  <c r="K17" i="1039"/>
  <c r="K14" i="1039"/>
  <c r="A74" i="1039"/>
  <c r="A75" i="1039" s="1"/>
  <c r="A76" i="1039" s="1"/>
  <c r="A77" i="1039" s="1"/>
  <c r="A78" i="1039" s="1"/>
  <c r="A79" i="1039" s="1"/>
  <c r="A80" i="1039" s="1"/>
  <c r="A81" i="1039" s="1"/>
  <c r="AF62" i="1039"/>
  <c r="AF60" i="1039"/>
  <c r="AF59" i="1039"/>
  <c r="AA21" i="1039"/>
  <c r="Z21" i="1039"/>
  <c r="Y21" i="1039"/>
  <c r="X21" i="1039"/>
  <c r="W21" i="1039"/>
  <c r="V21" i="1039"/>
  <c r="U21" i="1039"/>
  <c r="T21" i="1039"/>
  <c r="S21" i="1039"/>
  <c r="R21" i="1039"/>
  <c r="N21" i="1039"/>
  <c r="J21" i="1039"/>
  <c r="I21" i="1039"/>
  <c r="AF20" i="1039"/>
  <c r="AB20" i="1039"/>
  <c r="Q20" i="1039"/>
  <c r="P20" i="1039"/>
  <c r="AC20" i="1039" s="1"/>
  <c r="AD20" i="1039" s="1"/>
  <c r="O20" i="1039"/>
  <c r="M20" i="1039"/>
  <c r="K20" i="1039"/>
  <c r="AF19" i="1039"/>
  <c r="Q19" i="1039"/>
  <c r="P19" i="1039" s="1"/>
  <c r="AC19" i="1039" s="1"/>
  <c r="M19" i="1039"/>
  <c r="AF18" i="1039"/>
  <c r="AB18" i="1039"/>
  <c r="Q18" i="1039"/>
  <c r="P18" i="1039"/>
  <c r="AC18" i="1039" s="1"/>
  <c r="AD18" i="1039" s="1"/>
  <c r="O18" i="1039"/>
  <c r="M18" i="1039"/>
  <c r="K18" i="1039"/>
  <c r="AF17" i="1039"/>
  <c r="AB17" i="1039"/>
  <c r="Q17" i="1039"/>
  <c r="O17" i="1039"/>
  <c r="M17" i="1039"/>
  <c r="P17" i="1039"/>
  <c r="AC17" i="1039" s="1"/>
  <c r="AD17" i="1039" s="1"/>
  <c r="AF16" i="1039"/>
  <c r="Q16" i="1039"/>
  <c r="M16" i="1039"/>
  <c r="P16" i="1039"/>
  <c r="AC16" i="1039" s="1"/>
  <c r="AF15" i="1039"/>
  <c r="AB15" i="1039"/>
  <c r="Q15" i="1039"/>
  <c r="P15" i="1039"/>
  <c r="AC15" i="1039" s="1"/>
  <c r="O15" i="1039"/>
  <c r="M15" i="1039"/>
  <c r="K15" i="1039"/>
  <c r="AF14" i="1039"/>
  <c r="AB14" i="1039"/>
  <c r="Q14" i="1039"/>
  <c r="P14" i="1039" s="1"/>
  <c r="AC14" i="1039" s="1"/>
  <c r="O14" i="1039"/>
  <c r="M14" i="1039"/>
  <c r="AF13" i="1039"/>
  <c r="Q13" i="1039"/>
  <c r="P13" i="1039" s="1"/>
  <c r="AC13" i="1039" s="1"/>
  <c r="AF12" i="1039"/>
  <c r="AB12" i="1039"/>
  <c r="Q12" i="1039"/>
  <c r="P12" i="1039"/>
  <c r="AC12" i="1039" s="1"/>
  <c r="AD12" i="1039" s="1"/>
  <c r="O12" i="1039"/>
  <c r="M12" i="1039"/>
  <c r="K12" i="1039"/>
  <c r="AF11" i="1039"/>
  <c r="AB11" i="1039"/>
  <c r="Q11" i="1039"/>
  <c r="P11" i="1039" s="1"/>
  <c r="AC11" i="1039" s="1"/>
  <c r="M11" i="1039"/>
  <c r="AF10" i="1039"/>
  <c r="Q10" i="1039"/>
  <c r="P10" i="1039" s="1"/>
  <c r="AC10" i="1039" s="1"/>
  <c r="AF9" i="1039"/>
  <c r="AB9" i="1039"/>
  <c r="Q9" i="1039"/>
  <c r="P9" i="1039" s="1"/>
  <c r="AC9" i="1039" s="1"/>
  <c r="O9" i="1039"/>
  <c r="M9" i="1039"/>
  <c r="L21" i="1039"/>
  <c r="O21" i="1039" s="1"/>
  <c r="AF8" i="1039"/>
  <c r="AB8" i="1039"/>
  <c r="Q8" i="1039"/>
  <c r="P8" i="1039" s="1"/>
  <c r="AC8" i="1039" s="1"/>
  <c r="AD8" i="1039" s="1"/>
  <c r="O8" i="1039"/>
  <c r="M8" i="1039"/>
  <c r="AF7" i="1039"/>
  <c r="AB7" i="1039"/>
  <c r="Q7" i="1039"/>
  <c r="P7" i="1039"/>
  <c r="AC7" i="1039" s="1"/>
  <c r="AD7" i="1039" s="1"/>
  <c r="O7" i="1039"/>
  <c r="M7" i="1039"/>
  <c r="K7" i="1039"/>
  <c r="AF6" i="1039"/>
  <c r="AC6" i="1039"/>
  <c r="AB6" i="1039"/>
  <c r="Q6" i="1039"/>
  <c r="P6" i="1039"/>
  <c r="O6" i="1039"/>
  <c r="M6" i="1039"/>
  <c r="K6" i="1039"/>
  <c r="AD21" i="1041" l="1"/>
  <c r="AE17" i="1041" s="1"/>
  <c r="AD8" i="1040"/>
  <c r="M21" i="1040"/>
  <c r="AB21" i="1040"/>
  <c r="AD19" i="1040"/>
  <c r="AC21" i="1040"/>
  <c r="P21" i="1040"/>
  <c r="Q21" i="1039"/>
  <c r="AD9" i="1039"/>
  <c r="AD14" i="1039"/>
  <c r="AD15" i="1039"/>
  <c r="P21" i="1039"/>
  <c r="AC21" i="1039"/>
  <c r="AB16" i="1039"/>
  <c r="AB19" i="1039"/>
  <c r="AD6" i="1039"/>
  <c r="M10" i="1039"/>
  <c r="AB10" i="1039"/>
  <c r="O11" i="1039"/>
  <c r="AD11" i="1039" s="1"/>
  <c r="M13" i="1039"/>
  <c r="AB13" i="1039"/>
  <c r="O16" i="1039"/>
  <c r="O19" i="1039"/>
  <c r="O10" i="1039"/>
  <c r="O13" i="1039"/>
  <c r="K21" i="1039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9" i="1038"/>
  <c r="L17" i="1038"/>
  <c r="K17" i="1038" s="1"/>
  <c r="L16" i="1038"/>
  <c r="L13" i="1038"/>
  <c r="L11" i="1038"/>
  <c r="K11" i="1038" s="1"/>
  <c r="L10" i="1038"/>
  <c r="L9" i="1038"/>
  <c r="K19" i="1038"/>
  <c r="K18" i="1038"/>
  <c r="K16" i="1038"/>
  <c r="K13" i="1038"/>
  <c r="K10" i="1038"/>
  <c r="K9" i="1038"/>
  <c r="K7" i="1038"/>
  <c r="A74" i="1038"/>
  <c r="A75" i="1038" s="1"/>
  <c r="A76" i="1038" s="1"/>
  <c r="A77" i="1038" s="1"/>
  <c r="A78" i="1038" s="1"/>
  <c r="A79" i="1038" s="1"/>
  <c r="A80" i="1038" s="1"/>
  <c r="A81" i="1038" s="1"/>
  <c r="AF60" i="1038"/>
  <c r="AF62" i="1038" s="1"/>
  <c r="AF59" i="1038"/>
  <c r="AA21" i="1038"/>
  <c r="Z21" i="1038"/>
  <c r="Y21" i="1038"/>
  <c r="X21" i="1038"/>
  <c r="W21" i="1038"/>
  <c r="V21" i="1038"/>
  <c r="U21" i="1038"/>
  <c r="T21" i="1038"/>
  <c r="S21" i="1038"/>
  <c r="R21" i="1038"/>
  <c r="N21" i="1038"/>
  <c r="J21" i="1038"/>
  <c r="I21" i="1038"/>
  <c r="AF20" i="1038"/>
  <c r="AB20" i="1038"/>
  <c r="Q20" i="1038"/>
  <c r="P20" i="1038"/>
  <c r="AC20" i="1038" s="1"/>
  <c r="AD20" i="1038" s="1"/>
  <c r="O20" i="1038"/>
  <c r="M20" i="1038"/>
  <c r="K20" i="1038"/>
  <c r="AF19" i="1038"/>
  <c r="Q19" i="1038"/>
  <c r="P19" i="1038"/>
  <c r="AC19" i="1038" s="1"/>
  <c r="AF18" i="1038"/>
  <c r="AB18" i="1038"/>
  <c r="Q18" i="1038"/>
  <c r="P18" i="1038"/>
  <c r="AC18" i="1038" s="1"/>
  <c r="O18" i="1038"/>
  <c r="M18" i="1038"/>
  <c r="AF17" i="1038"/>
  <c r="AB17" i="1038"/>
  <c r="Q17" i="1038"/>
  <c r="P17" i="1038" s="1"/>
  <c r="AC17" i="1038" s="1"/>
  <c r="O17" i="1038"/>
  <c r="M17" i="1038"/>
  <c r="AF16" i="1038"/>
  <c r="Q16" i="1038"/>
  <c r="P16" i="1038"/>
  <c r="AC16" i="1038" s="1"/>
  <c r="O16" i="1038"/>
  <c r="AB16" i="1038"/>
  <c r="AF15" i="1038"/>
  <c r="AB15" i="1038"/>
  <c r="Q15" i="1038"/>
  <c r="P15" i="1038"/>
  <c r="AC15" i="1038" s="1"/>
  <c r="AD15" i="1038" s="1"/>
  <c r="O15" i="1038"/>
  <c r="M15" i="1038"/>
  <c r="K15" i="1038"/>
  <c r="AF14" i="1038"/>
  <c r="AB14" i="1038"/>
  <c r="Q14" i="1038"/>
  <c r="P14" i="1038"/>
  <c r="AC14" i="1038" s="1"/>
  <c r="O14" i="1038"/>
  <c r="M14" i="1038"/>
  <c r="K14" i="1038"/>
  <c r="AF13" i="1038"/>
  <c r="AB13" i="1038"/>
  <c r="Q13" i="1038"/>
  <c r="P13" i="1038" s="1"/>
  <c r="AC13" i="1038" s="1"/>
  <c r="O13" i="1038"/>
  <c r="M13" i="1038"/>
  <c r="AF12" i="1038"/>
  <c r="AB12" i="1038"/>
  <c r="Q12" i="1038"/>
  <c r="P12" i="1038"/>
  <c r="AC12" i="1038" s="1"/>
  <c r="AD12" i="1038" s="1"/>
  <c r="O12" i="1038"/>
  <c r="M12" i="1038"/>
  <c r="K12" i="1038"/>
  <c r="AF11" i="1038"/>
  <c r="Q11" i="1038"/>
  <c r="P11" i="1038"/>
  <c r="AC11" i="1038" s="1"/>
  <c r="O11" i="1038"/>
  <c r="AF10" i="1038"/>
  <c r="AB10" i="1038"/>
  <c r="Q10" i="1038"/>
  <c r="P10" i="1038" s="1"/>
  <c r="AC10" i="1038" s="1"/>
  <c r="O10" i="1038"/>
  <c r="M10" i="1038"/>
  <c r="AF9" i="1038"/>
  <c r="AB9" i="1038"/>
  <c r="Q9" i="1038"/>
  <c r="P9" i="1038" s="1"/>
  <c r="AC9" i="1038" s="1"/>
  <c r="O9" i="1038"/>
  <c r="M9" i="1038"/>
  <c r="AF8" i="1038"/>
  <c r="AB8" i="1038"/>
  <c r="Q8" i="1038"/>
  <c r="P8" i="1038"/>
  <c r="AC8" i="1038" s="1"/>
  <c r="AD8" i="1038" s="1"/>
  <c r="O8" i="1038"/>
  <c r="M8" i="1038"/>
  <c r="K8" i="1038"/>
  <c r="AF7" i="1038"/>
  <c r="AB7" i="1038"/>
  <c r="Q7" i="1038"/>
  <c r="P7" i="1038"/>
  <c r="AC7" i="1038" s="1"/>
  <c r="AD7" i="1038" s="1"/>
  <c r="O7" i="1038"/>
  <c r="M7" i="1038"/>
  <c r="L21" i="1038"/>
  <c r="O21" i="1038" s="1"/>
  <c r="AF6" i="1038"/>
  <c r="AB6" i="1038"/>
  <c r="Q6" i="1038"/>
  <c r="P6" i="1038"/>
  <c r="O6" i="1038"/>
  <c r="M6" i="1038"/>
  <c r="K6" i="1038"/>
  <c r="AE7" i="1041" l="1"/>
  <c r="AE8" i="1041"/>
  <c r="AE18" i="1041"/>
  <c r="AE10" i="1041"/>
  <c r="AE19" i="1041"/>
  <c r="AE14" i="1041"/>
  <c r="AE9" i="1041"/>
  <c r="AE15" i="1041"/>
  <c r="AE12" i="1041"/>
  <c r="AE20" i="1041"/>
  <c r="AE11" i="1041"/>
  <c r="AE6" i="1041"/>
  <c r="AE16" i="1041"/>
  <c r="AE13" i="1041"/>
  <c r="AD21" i="1040"/>
  <c r="AE19" i="1040" s="1"/>
  <c r="M21" i="1039"/>
  <c r="AD19" i="1039"/>
  <c r="AD13" i="1039"/>
  <c r="AB21" i="1039"/>
  <c r="AD16" i="1039"/>
  <c r="AD10" i="1039"/>
  <c r="AD10" i="1038"/>
  <c r="Q21" i="1038"/>
  <c r="P21" i="1038"/>
  <c r="AD9" i="1038"/>
  <c r="AD16" i="1038"/>
  <c r="AD13" i="1038"/>
  <c r="AD17" i="1038"/>
  <c r="AD18" i="1038"/>
  <c r="AC6" i="1038"/>
  <c r="AD14" i="1038"/>
  <c r="AC21" i="1038"/>
  <c r="M19" i="1038"/>
  <c r="AB19" i="1038"/>
  <c r="AD6" i="1038"/>
  <c r="K21" i="1038"/>
  <c r="M11" i="1038"/>
  <c r="AB11" i="1038"/>
  <c r="AB21" i="1038" s="1"/>
  <c r="M16" i="1038"/>
  <c r="O19" i="1038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9" i="1037"/>
  <c r="K18" i="1037"/>
  <c r="L16" i="1037"/>
  <c r="L13" i="1037"/>
  <c r="L11" i="1037"/>
  <c r="AE8" i="1040" l="1"/>
  <c r="AE14" i="1040"/>
  <c r="AE11" i="1040"/>
  <c r="AE13" i="1040"/>
  <c r="AE16" i="1040"/>
  <c r="AE20" i="1040"/>
  <c r="AE9" i="1040"/>
  <c r="AE18" i="1040"/>
  <c r="AE15" i="1040"/>
  <c r="AE12" i="1040"/>
  <c r="AE17" i="1040"/>
  <c r="AE7" i="1040"/>
  <c r="AE10" i="1040"/>
  <c r="AE6" i="1040"/>
  <c r="AD21" i="1039"/>
  <c r="AE11" i="1039" s="1"/>
  <c r="M21" i="1038"/>
  <c r="AD19" i="1038"/>
  <c r="AD11" i="1038"/>
  <c r="AD21" i="1038" s="1"/>
  <c r="L10" i="1037"/>
  <c r="K10" i="1037" s="1"/>
  <c r="L9" i="1037"/>
  <c r="K9" i="1037" s="1"/>
  <c r="L7" i="1037"/>
  <c r="K19" i="1037"/>
  <c r="K17" i="1037"/>
  <c r="K16" i="1037"/>
  <c r="K14" i="1037"/>
  <c r="K13" i="1037"/>
  <c r="K11" i="1037"/>
  <c r="K7" i="1037"/>
  <c r="A74" i="1037"/>
  <c r="A75" i="1037" s="1"/>
  <c r="A76" i="1037" s="1"/>
  <c r="A77" i="1037" s="1"/>
  <c r="A78" i="1037" s="1"/>
  <c r="A79" i="1037" s="1"/>
  <c r="A80" i="1037" s="1"/>
  <c r="A81" i="1037" s="1"/>
  <c r="AF62" i="1037"/>
  <c r="AF60" i="1037"/>
  <c r="AF59" i="1037"/>
  <c r="AA21" i="1037"/>
  <c r="Z21" i="1037"/>
  <c r="Y21" i="1037"/>
  <c r="X21" i="1037"/>
  <c r="W21" i="1037"/>
  <c r="V21" i="1037"/>
  <c r="U21" i="1037"/>
  <c r="T21" i="1037"/>
  <c r="S21" i="1037"/>
  <c r="R21" i="1037"/>
  <c r="N21" i="1037"/>
  <c r="J21" i="1037"/>
  <c r="I21" i="1037"/>
  <c r="AF20" i="1037"/>
  <c r="AB20" i="1037"/>
  <c r="Q20" i="1037"/>
  <c r="P20" i="1037"/>
  <c r="AC20" i="1037" s="1"/>
  <c r="AD20" i="1037" s="1"/>
  <c r="O20" i="1037"/>
  <c r="M20" i="1037"/>
  <c r="K20" i="1037"/>
  <c r="AF19" i="1037"/>
  <c r="AB19" i="1037"/>
  <c r="Q19" i="1037"/>
  <c r="M19" i="1037"/>
  <c r="P19" i="1037"/>
  <c r="AC19" i="1037" s="1"/>
  <c r="AF18" i="1037"/>
  <c r="Q18" i="1037"/>
  <c r="P18" i="1037"/>
  <c r="AC18" i="1037" s="1"/>
  <c r="AF17" i="1037"/>
  <c r="Q17" i="1037"/>
  <c r="P17" i="1037"/>
  <c r="AC17" i="1037" s="1"/>
  <c r="O17" i="1037"/>
  <c r="M17" i="1037"/>
  <c r="AB17" i="1037"/>
  <c r="AF16" i="1037"/>
  <c r="AB16" i="1037"/>
  <c r="Q16" i="1037"/>
  <c r="P16" i="1037" s="1"/>
  <c r="AC16" i="1037" s="1"/>
  <c r="O16" i="1037"/>
  <c r="M16" i="1037"/>
  <c r="AF15" i="1037"/>
  <c r="AB15" i="1037"/>
  <c r="Q15" i="1037"/>
  <c r="P15" i="1037"/>
  <c r="AC15" i="1037" s="1"/>
  <c r="O15" i="1037"/>
  <c r="M15" i="1037"/>
  <c r="K15" i="1037"/>
  <c r="AF14" i="1037"/>
  <c r="Q14" i="1037"/>
  <c r="P14" i="1037"/>
  <c r="AC14" i="1037" s="1"/>
  <c r="O14" i="1037"/>
  <c r="AB14" i="1037"/>
  <c r="AF13" i="1037"/>
  <c r="AB13" i="1037"/>
  <c r="Q13" i="1037"/>
  <c r="O13" i="1037"/>
  <c r="M13" i="1037"/>
  <c r="P13" i="1037"/>
  <c r="AC13" i="1037" s="1"/>
  <c r="AF12" i="1037"/>
  <c r="AB12" i="1037"/>
  <c r="Q12" i="1037"/>
  <c r="P12" i="1037"/>
  <c r="AC12" i="1037" s="1"/>
  <c r="O12" i="1037"/>
  <c r="M12" i="1037"/>
  <c r="K12" i="1037"/>
  <c r="AF11" i="1037"/>
  <c r="Q11" i="1037"/>
  <c r="P11" i="1037"/>
  <c r="AC11" i="1037" s="1"/>
  <c r="O11" i="1037"/>
  <c r="M11" i="1037"/>
  <c r="AB11" i="1037"/>
  <c r="AF10" i="1037"/>
  <c r="AB10" i="1037"/>
  <c r="Q10" i="1037"/>
  <c r="P10" i="1037" s="1"/>
  <c r="AC10" i="1037" s="1"/>
  <c r="O10" i="1037"/>
  <c r="M10" i="1037"/>
  <c r="AF9" i="1037"/>
  <c r="AB9" i="1037"/>
  <c r="Q9" i="1037"/>
  <c r="M9" i="1037"/>
  <c r="P9" i="1037"/>
  <c r="AC9" i="1037" s="1"/>
  <c r="AF8" i="1037"/>
  <c r="AB8" i="1037"/>
  <c r="Q8" i="1037"/>
  <c r="P8" i="1037"/>
  <c r="AC8" i="1037" s="1"/>
  <c r="O8" i="1037"/>
  <c r="M8" i="1037"/>
  <c r="K8" i="1037"/>
  <c r="AF7" i="1037"/>
  <c r="Q7" i="1037"/>
  <c r="O7" i="1037"/>
  <c r="AB7" i="1037"/>
  <c r="AF6" i="1037"/>
  <c r="AB6" i="1037"/>
  <c r="Q6" i="1037"/>
  <c r="P6" i="1037"/>
  <c r="O6" i="1037"/>
  <c r="M6" i="1037"/>
  <c r="K6" i="1037"/>
  <c r="AE15" i="1039" l="1"/>
  <c r="AE20" i="1039"/>
  <c r="AE17" i="1039"/>
  <c r="AE13" i="1039"/>
  <c r="AE14" i="1039"/>
  <c r="AE7" i="1039"/>
  <c r="AE18" i="1039"/>
  <c r="AE6" i="1039"/>
  <c r="AE16" i="1039"/>
  <c r="AE12" i="1039"/>
  <c r="AE10" i="1039"/>
  <c r="AE9" i="1039"/>
  <c r="AE8" i="1039"/>
  <c r="AE19" i="1039"/>
  <c r="AE19" i="1038"/>
  <c r="AE14" i="1038"/>
  <c r="AE17" i="1038"/>
  <c r="AE12" i="1038"/>
  <c r="AE9" i="1038"/>
  <c r="AE6" i="1038"/>
  <c r="AE11" i="1038"/>
  <c r="AE8" i="1038"/>
  <c r="AE20" i="1038"/>
  <c r="AE15" i="1038"/>
  <c r="AE13" i="1038"/>
  <c r="AE10" i="1038"/>
  <c r="AE7" i="1038"/>
  <c r="AE16" i="1038"/>
  <c r="AE18" i="1038"/>
  <c r="AD16" i="1037"/>
  <c r="AD10" i="1037"/>
  <c r="Q21" i="1037"/>
  <c r="AD8" i="1037"/>
  <c r="AD12" i="1037"/>
  <c r="AD13" i="1037"/>
  <c r="AD15" i="1037"/>
  <c r="AD11" i="1037"/>
  <c r="AD14" i="1037"/>
  <c r="AD17" i="1037"/>
  <c r="AC6" i="1037"/>
  <c r="P7" i="1037"/>
  <c r="AC7" i="1037" s="1"/>
  <c r="AD7" i="1037" s="1"/>
  <c r="O9" i="1037"/>
  <c r="AD9" i="1037" s="1"/>
  <c r="M18" i="1037"/>
  <c r="AB18" i="1037"/>
  <c r="O19" i="1037"/>
  <c r="AD19" i="1037" s="1"/>
  <c r="M14" i="1037"/>
  <c r="O18" i="1037"/>
  <c r="L21" i="1037"/>
  <c r="O21" i="1037" s="1"/>
  <c r="M7" i="1037"/>
  <c r="M21" i="1037" s="1"/>
  <c r="K21" i="1037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036"/>
  <c r="L18" i="1036"/>
  <c r="K18" i="1036" s="1"/>
  <c r="L17" i="1036"/>
  <c r="K17" i="1036" s="1"/>
  <c r="L16" i="1036"/>
  <c r="K16" i="1036" s="1"/>
  <c r="L14" i="1036"/>
  <c r="K14" i="1036"/>
  <c r="L13" i="1036"/>
  <c r="L11" i="1036"/>
  <c r="K11" i="1036" s="1"/>
  <c r="L10" i="1036"/>
  <c r="K10" i="1036" s="1"/>
  <c r="L9" i="1036"/>
  <c r="L7" i="1036"/>
  <c r="K7" i="1036" s="1"/>
  <c r="K19" i="1036"/>
  <c r="K13" i="1036"/>
  <c r="K12" i="1036"/>
  <c r="K9" i="1036"/>
  <c r="A74" i="1036"/>
  <c r="A75" i="1036" s="1"/>
  <c r="A76" i="1036" s="1"/>
  <c r="A77" i="1036" s="1"/>
  <c r="A78" i="1036" s="1"/>
  <c r="A79" i="1036" s="1"/>
  <c r="A80" i="1036" s="1"/>
  <c r="A81" i="1036" s="1"/>
  <c r="AF62" i="1036"/>
  <c r="AF60" i="1036"/>
  <c r="AF59" i="1036"/>
  <c r="AA21" i="1036"/>
  <c r="Z21" i="1036"/>
  <c r="Y21" i="1036"/>
  <c r="X21" i="1036"/>
  <c r="W21" i="1036"/>
  <c r="V21" i="1036"/>
  <c r="U21" i="1036"/>
  <c r="T21" i="1036"/>
  <c r="S21" i="1036"/>
  <c r="R21" i="1036"/>
  <c r="N21" i="1036"/>
  <c r="J21" i="1036"/>
  <c r="AF20" i="1036"/>
  <c r="AB20" i="1036"/>
  <c r="Q20" i="1036"/>
  <c r="P20" i="1036"/>
  <c r="AC20" i="1036" s="1"/>
  <c r="AD20" i="1036" s="1"/>
  <c r="O20" i="1036"/>
  <c r="M20" i="1036"/>
  <c r="K20" i="1036"/>
  <c r="AF19" i="1036"/>
  <c r="Q19" i="1036"/>
  <c r="P19" i="1036" s="1"/>
  <c r="AC19" i="1036" s="1"/>
  <c r="AF18" i="1036"/>
  <c r="Q18" i="1036"/>
  <c r="P18" i="1036" s="1"/>
  <c r="AC18" i="1036" s="1"/>
  <c r="AF17" i="1036"/>
  <c r="AB17" i="1036"/>
  <c r="Q17" i="1036"/>
  <c r="P17" i="1036"/>
  <c r="AC17" i="1036" s="1"/>
  <c r="O17" i="1036"/>
  <c r="M17" i="1036"/>
  <c r="AF16" i="1036"/>
  <c r="Q16" i="1036"/>
  <c r="P16" i="1036" s="1"/>
  <c r="AC16" i="1036" s="1"/>
  <c r="M16" i="1036"/>
  <c r="I21" i="1036"/>
  <c r="AF15" i="1036"/>
  <c r="AB15" i="1036"/>
  <c r="Q15" i="1036"/>
  <c r="P15" i="1036"/>
  <c r="AC15" i="1036" s="1"/>
  <c r="O15" i="1036"/>
  <c r="M15" i="1036"/>
  <c r="K15" i="1036"/>
  <c r="AF14" i="1036"/>
  <c r="AB14" i="1036"/>
  <c r="Q14" i="1036"/>
  <c r="P14" i="1036" s="1"/>
  <c r="AC14" i="1036" s="1"/>
  <c r="O14" i="1036"/>
  <c r="M14" i="1036"/>
  <c r="AF13" i="1036"/>
  <c r="AB13" i="1036"/>
  <c r="Q13" i="1036"/>
  <c r="M13" i="1036"/>
  <c r="P13" i="1036"/>
  <c r="AC13" i="1036" s="1"/>
  <c r="AF12" i="1036"/>
  <c r="Q12" i="1036"/>
  <c r="P12" i="1036"/>
  <c r="AC12" i="1036" s="1"/>
  <c r="AF11" i="1036"/>
  <c r="Q11" i="1036"/>
  <c r="AF10" i="1036"/>
  <c r="AB10" i="1036"/>
  <c r="Q10" i="1036"/>
  <c r="M10" i="1036"/>
  <c r="P10" i="1036"/>
  <c r="AC10" i="1036" s="1"/>
  <c r="AF9" i="1036"/>
  <c r="Q9" i="1036"/>
  <c r="P9" i="1036" s="1"/>
  <c r="AC9" i="1036" s="1"/>
  <c r="AF8" i="1036"/>
  <c r="AB8" i="1036"/>
  <c r="Q8" i="1036"/>
  <c r="P8" i="1036"/>
  <c r="AC8" i="1036" s="1"/>
  <c r="AD8" i="1036" s="1"/>
  <c r="O8" i="1036"/>
  <c r="M8" i="1036"/>
  <c r="K8" i="1036"/>
  <c r="AF7" i="1036"/>
  <c r="AB7" i="1036"/>
  <c r="Q7" i="1036"/>
  <c r="P7" i="1036" s="1"/>
  <c r="AC7" i="1036" s="1"/>
  <c r="O7" i="1036"/>
  <c r="M7" i="1036"/>
  <c r="AF6" i="1036"/>
  <c r="AB6" i="1036"/>
  <c r="Q6" i="1036"/>
  <c r="P6" i="1036"/>
  <c r="O6" i="1036"/>
  <c r="M6" i="1036"/>
  <c r="K6" i="1036"/>
  <c r="AD18" i="1037" l="1"/>
  <c r="AB21" i="1037"/>
  <c r="AC21" i="1037"/>
  <c r="AD6" i="1037"/>
  <c r="P21" i="1037"/>
  <c r="AD17" i="1036"/>
  <c r="M11" i="1036"/>
  <c r="AB11" i="1036"/>
  <c r="O11" i="1036"/>
  <c r="P11" i="1036"/>
  <c r="AC11" i="1036" s="1"/>
  <c r="Q21" i="1036"/>
  <c r="AD7" i="1036"/>
  <c r="AD14" i="1036"/>
  <c r="AD15" i="1036"/>
  <c r="AB16" i="1036"/>
  <c r="AD16" i="1036" s="1"/>
  <c r="M19" i="1036"/>
  <c r="AB19" i="1036"/>
  <c r="M9" i="1036"/>
  <c r="AB9" i="1036"/>
  <c r="O10" i="1036"/>
  <c r="AD10" i="1036" s="1"/>
  <c r="M12" i="1036"/>
  <c r="AB12" i="1036"/>
  <c r="O13" i="1036"/>
  <c r="AD13" i="1036" s="1"/>
  <c r="O16" i="1036"/>
  <c r="M18" i="1036"/>
  <c r="AB18" i="1036"/>
  <c r="O19" i="1036"/>
  <c r="AC6" i="1036"/>
  <c r="O9" i="1036"/>
  <c r="O12" i="1036"/>
  <c r="O18" i="1036"/>
  <c r="L21" i="1036"/>
  <c r="O21" i="1036" s="1"/>
  <c r="K21" i="103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19" i="1035"/>
  <c r="L18" i="1035"/>
  <c r="L16" i="1035"/>
  <c r="L13" i="1035"/>
  <c r="L12" i="1035"/>
  <c r="K12" i="1035" s="1"/>
  <c r="L10" i="1035"/>
  <c r="K10" i="1035" s="1"/>
  <c r="L9" i="1035"/>
  <c r="AD21" i="1037" l="1"/>
  <c r="AE19" i="1037" s="1"/>
  <c r="P21" i="1036"/>
  <c r="AD11" i="1036"/>
  <c r="AB21" i="1036"/>
  <c r="M21" i="1036"/>
  <c r="AD18" i="1036"/>
  <c r="AD12" i="1036"/>
  <c r="AD19" i="1036"/>
  <c r="AC21" i="1036"/>
  <c r="AD6" i="1036"/>
  <c r="AD9" i="103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19" i="1035"/>
  <c r="K18" i="1035"/>
  <c r="K17" i="1035"/>
  <c r="K16" i="1035"/>
  <c r="K13" i="1035"/>
  <c r="K11" i="1035"/>
  <c r="K9" i="1035"/>
  <c r="AB13" i="1035"/>
  <c r="AF12" i="1035"/>
  <c r="Q12" i="1035"/>
  <c r="P12" i="1035" s="1"/>
  <c r="AC12" i="1035" s="1"/>
  <c r="K15" i="1035"/>
  <c r="K7" i="1035"/>
  <c r="A74" i="1035"/>
  <c r="A75" i="1035" s="1"/>
  <c r="A76" i="1035" s="1"/>
  <c r="A77" i="1035" s="1"/>
  <c r="A78" i="1035" s="1"/>
  <c r="A79" i="1035" s="1"/>
  <c r="A80" i="1035" s="1"/>
  <c r="A81" i="1035" s="1"/>
  <c r="AF62" i="1035"/>
  <c r="AF60" i="1035"/>
  <c r="AF59" i="1035"/>
  <c r="AA21" i="1035"/>
  <c r="Z21" i="1035"/>
  <c r="Y21" i="1035"/>
  <c r="X21" i="1035"/>
  <c r="W21" i="1035"/>
  <c r="V21" i="1035"/>
  <c r="U21" i="1035"/>
  <c r="T21" i="1035"/>
  <c r="S21" i="1035"/>
  <c r="R21" i="1035"/>
  <c r="N21" i="1035"/>
  <c r="J21" i="1035"/>
  <c r="I21" i="1035"/>
  <c r="AF20" i="1035"/>
  <c r="AB20" i="1035"/>
  <c r="Q20" i="1035"/>
  <c r="P20" i="1035"/>
  <c r="AC20" i="1035" s="1"/>
  <c r="O20" i="1035"/>
  <c r="M20" i="1035"/>
  <c r="K20" i="1035"/>
  <c r="AF19" i="1035"/>
  <c r="Q19" i="1035"/>
  <c r="P19" i="1035" s="1"/>
  <c r="AC19" i="1035" s="1"/>
  <c r="AF18" i="1035"/>
  <c r="Q18" i="1035"/>
  <c r="P18" i="1035" s="1"/>
  <c r="AC18" i="1035" s="1"/>
  <c r="O18" i="1035"/>
  <c r="AB18" i="1035"/>
  <c r="AF17" i="1035"/>
  <c r="AB17" i="1035"/>
  <c r="Q17" i="1035"/>
  <c r="P17" i="1035" s="1"/>
  <c r="AC17" i="1035" s="1"/>
  <c r="O17" i="1035"/>
  <c r="M17" i="1035"/>
  <c r="AF16" i="1035"/>
  <c r="Q16" i="1035"/>
  <c r="P16" i="1035" s="1"/>
  <c r="AC16" i="1035" s="1"/>
  <c r="I16" i="1035"/>
  <c r="AF15" i="1035"/>
  <c r="Q15" i="1035"/>
  <c r="P15" i="1035"/>
  <c r="AC15" i="1035" s="1"/>
  <c r="AF14" i="1035"/>
  <c r="AB14" i="1035"/>
  <c r="Q14" i="1035"/>
  <c r="P14" i="1035"/>
  <c r="AC14" i="1035" s="1"/>
  <c r="AD14" i="1035" s="1"/>
  <c r="O14" i="1035"/>
  <c r="M14" i="1035"/>
  <c r="K14" i="1035"/>
  <c r="AF13" i="1035"/>
  <c r="Q13" i="1035"/>
  <c r="P13" i="1035" s="1"/>
  <c r="AC13" i="1035" s="1"/>
  <c r="M13" i="1035"/>
  <c r="AF11" i="1035"/>
  <c r="Q11" i="1035"/>
  <c r="P11" i="1035" s="1"/>
  <c r="AC11" i="1035" s="1"/>
  <c r="O11" i="1035"/>
  <c r="AB11" i="1035"/>
  <c r="AF10" i="1035"/>
  <c r="AB10" i="1035"/>
  <c r="Q10" i="1035"/>
  <c r="P10" i="1035" s="1"/>
  <c r="AC10" i="1035" s="1"/>
  <c r="O10" i="1035"/>
  <c r="M10" i="1035"/>
  <c r="AF9" i="1035"/>
  <c r="AB9" i="1035"/>
  <c r="Q9" i="1035"/>
  <c r="P9" i="1035" s="1"/>
  <c r="AC9" i="1035" s="1"/>
  <c r="M9" i="1035"/>
  <c r="AF8" i="1035"/>
  <c r="AB8" i="1035"/>
  <c r="Q8" i="1035"/>
  <c r="P8" i="1035"/>
  <c r="AC8" i="1035" s="1"/>
  <c r="O8" i="1035"/>
  <c r="M8" i="1035"/>
  <c r="K8" i="1035"/>
  <c r="AF7" i="1035"/>
  <c r="AB7" i="1035"/>
  <c r="Q7" i="1035"/>
  <c r="P7" i="1035"/>
  <c r="AC7" i="1035" s="1"/>
  <c r="O7" i="1035"/>
  <c r="M7" i="1035"/>
  <c r="AF6" i="1035"/>
  <c r="AB6" i="1035"/>
  <c r="Q6" i="1035"/>
  <c r="P6" i="1035"/>
  <c r="O6" i="1035"/>
  <c r="M6" i="1035"/>
  <c r="K6" i="1035"/>
  <c r="AE11" i="1037" l="1"/>
  <c r="AE7" i="1037"/>
  <c r="AE8" i="1037"/>
  <c r="AE12" i="1037"/>
  <c r="AE20" i="1037"/>
  <c r="AE9" i="1037"/>
  <c r="AE14" i="1037"/>
  <c r="AE10" i="1037"/>
  <c r="AE18" i="1037"/>
  <c r="AE15" i="1037"/>
  <c r="AE16" i="1037"/>
  <c r="AE17" i="1037"/>
  <c r="AE13" i="1037"/>
  <c r="AE6" i="1037"/>
  <c r="AD21" i="1036"/>
  <c r="AE16" i="1036" s="1"/>
  <c r="AD8" i="1035"/>
  <c r="L21" i="1035"/>
  <c r="O21" i="1035" s="1"/>
  <c r="AB12" i="1035"/>
  <c r="M12" i="1035"/>
  <c r="O12" i="1035"/>
  <c r="AD7" i="1035"/>
  <c r="AD17" i="1035"/>
  <c r="Q21" i="1035"/>
  <c r="AD10" i="1035"/>
  <c r="P21" i="1035"/>
  <c r="AC6" i="1035"/>
  <c r="AD6" i="1035" s="1"/>
  <c r="AD20" i="1035"/>
  <c r="AD18" i="1035"/>
  <c r="AD11" i="1035"/>
  <c r="O9" i="1035"/>
  <c r="AD9" i="1035" s="1"/>
  <c r="O13" i="1035"/>
  <c r="AD13" i="1035" s="1"/>
  <c r="M15" i="1035"/>
  <c r="AB15" i="1035"/>
  <c r="M16" i="1035"/>
  <c r="AB16" i="1035"/>
  <c r="M19" i="1035"/>
  <c r="AB19" i="1035"/>
  <c r="M11" i="1035"/>
  <c r="O15" i="1035"/>
  <c r="O16" i="1035"/>
  <c r="M18" i="1035"/>
  <c r="O19" i="1035"/>
  <c r="K21" i="1035"/>
  <c r="AE14" i="1036" l="1"/>
  <c r="AE18" i="1036"/>
  <c r="AE10" i="1036"/>
  <c r="AE19" i="1036"/>
  <c r="AE6" i="1036"/>
  <c r="AE17" i="1036"/>
  <c r="AE13" i="1036"/>
  <c r="AE9" i="1036"/>
  <c r="AE8" i="1036"/>
  <c r="AE20" i="1036"/>
  <c r="AE15" i="1036"/>
  <c r="AE12" i="1036"/>
  <c r="AE11" i="1036"/>
  <c r="AE7" i="1036"/>
  <c r="AD12" i="1035"/>
  <c r="AC21" i="1035"/>
  <c r="AD19" i="1035"/>
  <c r="AB21" i="1035"/>
  <c r="M21" i="1035"/>
  <c r="AD16" i="1035"/>
  <c r="AD15" i="1035"/>
  <c r="AD21" i="1035" l="1"/>
  <c r="AE12" i="1035" l="1"/>
  <c r="AE14" i="1035"/>
  <c r="AE7" i="1035"/>
  <c r="AE8" i="1035"/>
  <c r="AE11" i="1035"/>
  <c r="AE19" i="1035"/>
  <c r="AE18" i="1035"/>
  <c r="AE10" i="1035"/>
  <c r="AE20" i="1035"/>
  <c r="AE15" i="1035"/>
  <c r="AE17" i="1035"/>
  <c r="AE6" i="1035"/>
  <c r="AE9" i="1035"/>
  <c r="AE13" i="1035"/>
  <c r="AE16" i="1035"/>
</calcChain>
</file>

<file path=xl/sharedStrings.xml><?xml version="1.0" encoding="utf-8"?>
<sst xmlns="http://schemas.openxmlformats.org/spreadsheetml/2006/main" count="4663" uniqueCount="963">
  <si>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</si>
  <si>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</si>
  <si>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</si>
  <si>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</si>
  <si>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</si>
  <si>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</si>
  <si>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</si>
  <si>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</si>
  <si>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</si>
  <si>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</si>
  <si>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</si>
  <si>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</si>
  <si>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</si>
  <si>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</si>
  <si>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</si>
  <si>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</si>
  <si>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</si>
  <si>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</si>
  <si>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</si>
  <si>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</si>
  <si>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</si>
  <si>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</si>
  <si>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</si>
  <si>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</si>
  <si>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</si>
  <si>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</si>
  <si>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</si>
  <si>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</si>
  <si>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</si>
  <si>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</si>
  <si>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</si>
  <si>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</si>
  <si>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</si>
  <si>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</si>
  <si>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</si>
  <si>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</si>
  <si>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</si>
  <si>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</si>
  <si>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</si>
  <si>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</si>
  <si>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</si>
  <si>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</si>
  <si>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</si>
  <si>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</si>
  <si>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</si>
  <si>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</si>
  <si>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</si>
  <si>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</si>
  <si>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</si>
  <si>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</si>
  <si>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</si>
  <si>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</si>
  <si>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</si>
  <si>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</si>
  <si>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</si>
  <si>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</si>
  <si>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</si>
  <si>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</si>
  <si>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</si>
  <si>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</si>
  <si>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</si>
  <si>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</si>
  <si>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</si>
  <si>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</si>
  <si>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</si>
  <si>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</si>
  <si>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</si>
  <si>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</si>
  <si>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</si>
  <si>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</si>
  <si>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</si>
  <si>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</si>
  <si>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</si>
  <si>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</si>
  <si>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</si>
  <si>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</si>
  <si>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</si>
  <si>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</si>
  <si>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</si>
  <si>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</si>
  <si>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</si>
  <si>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</si>
  <si>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</si>
  <si>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</si>
  <si>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</si>
  <si>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</si>
  <si>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</si>
  <si>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</si>
  <si>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</si>
  <si>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</si>
  <si>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</si>
  <si>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</si>
  <si>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</si>
  <si>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</si>
  <si>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</si>
  <si>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</si>
  <si>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</si>
  <si>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</si>
  <si>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</si>
  <si>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</si>
  <si>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</si>
  <si>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</si>
  <si>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</si>
  <si>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</si>
  <si>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</si>
  <si>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</si>
  <si>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</si>
  <si>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</si>
  <si>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</si>
  <si>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</si>
  <si>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</si>
  <si>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</si>
  <si>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</si>
  <si>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</si>
  <si>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</si>
  <si>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</si>
  <si>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</si>
  <si>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</si>
  <si>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MCS</t>
    <phoneticPr fontId="2" type="noConversion"/>
  </si>
  <si>
    <t>SST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</si>
  <si>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</si>
  <si>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</si>
  <si>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</si>
  <si>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</si>
  <si>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</si>
  <si>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</si>
  <si>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테스트</t>
    <phoneticPr fontId="2" type="noConversion"/>
  </si>
  <si>
    <t>LOWER PLATE</t>
    <phoneticPr fontId="2" type="noConversion"/>
  </si>
  <si>
    <t>자동시 형폐안됨</t>
    <phoneticPr fontId="2" type="noConversion"/>
  </si>
  <si>
    <t>입출력카드교환</t>
    <phoneticPr fontId="2" type="noConversion"/>
  </si>
  <si>
    <t>키트</t>
    <phoneticPr fontId="2" type="noConversion"/>
  </si>
  <si>
    <t>대기중</t>
    <phoneticPr fontId="2" type="noConversion"/>
  </si>
  <si>
    <t>SGF2033</t>
    <phoneticPr fontId="2" type="noConversion"/>
  </si>
  <si>
    <t>ADAPTER</t>
    <phoneticPr fontId="2" type="noConversion"/>
  </si>
  <si>
    <t>KR6414-GA414QA</t>
    <phoneticPr fontId="2" type="noConversion"/>
  </si>
  <si>
    <t>SLIDER</t>
    <phoneticPr fontId="2" type="noConversion"/>
  </si>
  <si>
    <t xml:space="preserve"> BURR</t>
    <phoneticPr fontId="2" type="noConversion"/>
  </si>
  <si>
    <t>HICON</t>
    <phoneticPr fontId="2" type="noConversion"/>
  </si>
  <si>
    <t>HSB65-M002A1</t>
    <phoneticPr fontId="2" type="noConversion"/>
  </si>
  <si>
    <t>KR6156DB841CA</t>
    <phoneticPr fontId="2" type="noConversion"/>
  </si>
  <si>
    <t>7</t>
    <phoneticPr fontId="2" type="noConversion"/>
  </si>
  <si>
    <t>STOPPER</t>
    <phoneticPr fontId="2" type="noConversion"/>
  </si>
  <si>
    <t>SGF2050</t>
    <phoneticPr fontId="2" type="noConversion"/>
  </si>
  <si>
    <t>SF2255</t>
    <phoneticPr fontId="2" type="noConversion"/>
  </si>
  <si>
    <t>5</t>
    <phoneticPr fontId="2" type="noConversion"/>
  </si>
  <si>
    <t>28P(4P)</t>
    <phoneticPr fontId="2" type="noConversion"/>
  </si>
  <si>
    <t>HICON</t>
    <phoneticPr fontId="2" type="noConversion"/>
  </si>
  <si>
    <t>HL072-10M3/4</t>
    <phoneticPr fontId="2" type="noConversion"/>
  </si>
  <si>
    <t>BODY/LID</t>
    <phoneticPr fontId="2" type="noConversion"/>
  </si>
  <si>
    <t>SGF2041</t>
    <phoneticPr fontId="2" type="noConversion"/>
  </si>
  <si>
    <t>2*1</t>
    <phoneticPr fontId="2" type="noConversion"/>
  </si>
  <si>
    <t>OKINS</t>
    <phoneticPr fontId="2" type="noConversion"/>
  </si>
  <si>
    <t>KR6156FA841YA</t>
    <phoneticPr fontId="2" type="noConversion"/>
  </si>
  <si>
    <t>KR6156-D841PA</t>
    <phoneticPr fontId="2" type="noConversion"/>
  </si>
  <si>
    <t>SF2255</t>
    <phoneticPr fontId="2" type="noConversion"/>
  </si>
  <si>
    <t>STOPPER</t>
    <phoneticPr fontId="2" type="noConversion"/>
  </si>
  <si>
    <t>MCS</t>
    <phoneticPr fontId="2" type="noConversion"/>
  </si>
  <si>
    <t>BODY</t>
    <phoneticPr fontId="2" type="noConversion"/>
  </si>
  <si>
    <t>AM0148B-K-R2</t>
    <phoneticPr fontId="2" type="noConversion"/>
  </si>
  <si>
    <t>MCS</t>
    <phoneticPr fontId="2" type="noConversion"/>
  </si>
  <si>
    <t>AMB0226A-KAA-R1</t>
    <phoneticPr fontId="2" type="noConversion"/>
  </si>
  <si>
    <t>SF2255</t>
    <phoneticPr fontId="2" type="noConversion"/>
  </si>
  <si>
    <t>FRONT/REAR</t>
    <phoneticPr fontId="2" type="noConversion"/>
  </si>
  <si>
    <t>SGF2041</t>
    <phoneticPr fontId="2" type="noConversion"/>
  </si>
  <si>
    <t>2*2</t>
    <phoneticPr fontId="2" type="noConversion"/>
  </si>
  <si>
    <t>F/ADAPTER</t>
    <phoneticPr fontId="2" type="noConversion"/>
  </si>
  <si>
    <t>AMB2069B-KAA-R1</t>
    <phoneticPr fontId="2" type="noConversion"/>
  </si>
  <si>
    <t>SST</t>
    <phoneticPr fontId="2" type="noConversion"/>
  </si>
  <si>
    <t>07401-1030X-41</t>
    <phoneticPr fontId="2" type="noConversion"/>
  </si>
  <si>
    <t>OKINS</t>
    <phoneticPr fontId="2" type="noConversion"/>
  </si>
  <si>
    <t>LATCH</t>
    <phoneticPr fontId="2" type="noConversion"/>
  </si>
  <si>
    <t>92-178V-LC949C</t>
    <phoneticPr fontId="2" type="noConversion"/>
  </si>
  <si>
    <t>SF2255</t>
    <phoneticPr fontId="2" type="noConversion"/>
  </si>
  <si>
    <t>92-178V-AD949C</t>
    <phoneticPr fontId="2" type="noConversion"/>
  </si>
  <si>
    <t>SF2255 I/V</t>
    <phoneticPr fontId="2" type="noConversion"/>
  </si>
  <si>
    <t>SST</t>
    <phoneticPr fontId="2" type="noConversion"/>
  </si>
  <si>
    <t>OKINS</t>
    <phoneticPr fontId="2" type="noConversion"/>
  </si>
  <si>
    <t>발주분양산</t>
    <phoneticPr fontId="2" type="noConversion"/>
  </si>
  <si>
    <t>13</t>
    <phoneticPr fontId="2" type="noConversion"/>
  </si>
  <si>
    <t>BASE</t>
    <phoneticPr fontId="2" type="noConversion"/>
  </si>
  <si>
    <t>BASE</t>
    <phoneticPr fontId="2" type="noConversion"/>
  </si>
  <si>
    <t>K-JR01920-B414AZB</t>
    <phoneticPr fontId="2" type="noConversion"/>
  </si>
  <si>
    <t>SGP2020R</t>
    <phoneticPr fontId="2" type="noConversion"/>
  </si>
  <si>
    <t>K-JR01920-B414AZB</t>
    <phoneticPr fontId="2" type="noConversion"/>
  </si>
  <si>
    <t>발주분양산</t>
    <phoneticPr fontId="2" type="noConversion"/>
  </si>
  <si>
    <r>
      <t>2017년 10월 01일 일일생산현황</t>
    </r>
    <r>
      <rPr>
        <b/>
        <sz val="14"/>
        <color indexed="8"/>
        <rFont val="굴림체"/>
        <family val="3"/>
        <charset val="129"/>
      </rPr>
      <t>(02일(월) 09시 현재)</t>
    </r>
    <phoneticPr fontId="2" type="noConversion"/>
  </si>
  <si>
    <t>10월 호기별 가동현황</t>
    <phoneticPr fontId="2" type="noConversion"/>
  </si>
  <si>
    <t>SLIDER</t>
    <phoneticPr fontId="2" type="noConversion"/>
  </si>
  <si>
    <t>92-178V-SL949B</t>
    <phoneticPr fontId="2" type="noConversion"/>
  </si>
  <si>
    <t>EX08302</t>
    <phoneticPr fontId="2" type="noConversion"/>
  </si>
  <si>
    <t>STOPPER</t>
    <phoneticPr fontId="2" type="noConversion"/>
  </si>
  <si>
    <t>92-178V-ST949B-2</t>
    <phoneticPr fontId="2" type="noConversion"/>
  </si>
  <si>
    <t>전일 ISSUE 사항(01일)</t>
    <phoneticPr fontId="2" type="noConversion"/>
  </si>
  <si>
    <t>SLIDER</t>
    <phoneticPr fontId="2" type="noConversion"/>
  </si>
  <si>
    <t>STOPPER</t>
    <phoneticPr fontId="2" type="noConversion"/>
  </si>
  <si>
    <t>수리후양산-&gt;코아파손정지</t>
    <phoneticPr fontId="2" type="noConversion"/>
  </si>
  <si>
    <t>4</t>
    <phoneticPr fontId="2" type="noConversion"/>
  </si>
  <si>
    <t>KR6156FA841YA</t>
    <phoneticPr fontId="2" type="noConversion"/>
  </si>
  <si>
    <t>세척후양산</t>
    <phoneticPr fontId="2" type="noConversion"/>
  </si>
  <si>
    <t>당일 진행 사항(09일)</t>
    <phoneticPr fontId="2" type="noConversion"/>
  </si>
  <si>
    <t>14</t>
    <phoneticPr fontId="2" type="noConversion"/>
  </si>
  <si>
    <t>KR6156DB841CA</t>
    <phoneticPr fontId="2" type="noConversion"/>
  </si>
  <si>
    <t>세척후양산</t>
    <phoneticPr fontId="2" type="noConversion"/>
  </si>
  <si>
    <t>MCS</t>
    <phoneticPr fontId="2" type="noConversion"/>
  </si>
  <si>
    <t>11</t>
    <phoneticPr fontId="2" type="noConversion"/>
  </si>
  <si>
    <t>BODY</t>
    <phoneticPr fontId="2" type="noConversion"/>
  </si>
  <si>
    <t>AM0148D-K-R3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</si>
  <si>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</si>
  <si>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</si>
  <si>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</si>
  <si>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2017년 10월 09일 일일생산현황</t>
    </r>
    <r>
      <rPr>
        <b/>
        <sz val="14"/>
        <color indexed="8"/>
        <rFont val="굴림체"/>
        <family val="3"/>
        <charset val="129"/>
      </rPr>
      <t>(10일(화) 09시 현재)</t>
    </r>
    <phoneticPr fontId="2" type="noConversion"/>
  </si>
  <si>
    <t>SHAFT</t>
    <phoneticPr fontId="2" type="noConversion"/>
  </si>
  <si>
    <t>KR6166-01TB</t>
    <phoneticPr fontId="2" type="noConversion"/>
  </si>
  <si>
    <t>JD4901</t>
    <phoneticPr fontId="2" type="noConversion"/>
  </si>
  <si>
    <t>BASE</t>
    <phoneticPr fontId="2" type="noConversion"/>
  </si>
  <si>
    <t>AMB0160A-KAA-R1</t>
    <phoneticPr fontId="2" type="noConversion"/>
  </si>
  <si>
    <t>SF2255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</si>
  <si>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</si>
  <si>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</si>
  <si>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</si>
  <si>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AMM0821A-KAA-R3</t>
    <phoneticPr fontId="2" type="noConversion"/>
  </si>
  <si>
    <t>7301</t>
    <phoneticPr fontId="2" type="noConversion"/>
  </si>
  <si>
    <t>AM0148D-K-R3</t>
    <phoneticPr fontId="2" type="noConversion"/>
  </si>
  <si>
    <t>IC GUIDE</t>
    <phoneticPr fontId="2" type="noConversion"/>
  </si>
  <si>
    <t>AMB07H9A-KAA-R1</t>
    <phoneticPr fontId="2" type="noConversion"/>
  </si>
  <si>
    <t>ACTUATOR</t>
    <phoneticPr fontId="2" type="noConversion"/>
  </si>
  <si>
    <t>AMB1922A-KAA-R1</t>
    <phoneticPr fontId="2" type="noConversion"/>
  </si>
  <si>
    <t>SGF2030</t>
    <phoneticPr fontId="2" type="noConversion"/>
  </si>
  <si>
    <t>전일 ISSUE 사항(09일)</t>
    <phoneticPr fontId="2" type="noConversion"/>
  </si>
  <si>
    <t>SST</t>
    <phoneticPr fontId="2" type="noConversion"/>
  </si>
  <si>
    <t>2</t>
    <phoneticPr fontId="2" type="noConversion"/>
  </si>
  <si>
    <t>SHAFT</t>
    <phoneticPr fontId="2" type="noConversion"/>
  </si>
  <si>
    <t>MCS</t>
    <phoneticPr fontId="2" type="noConversion"/>
  </si>
  <si>
    <t>AMB0160A-KAA-R1</t>
    <phoneticPr fontId="2" type="noConversion"/>
  </si>
  <si>
    <t>ACTUATOR</t>
    <phoneticPr fontId="2" type="noConversion"/>
  </si>
  <si>
    <t>AMB1922A-KAA-R1</t>
    <phoneticPr fontId="2" type="noConversion"/>
  </si>
  <si>
    <t>9</t>
    <phoneticPr fontId="2" type="noConversion"/>
  </si>
  <si>
    <t>BASE</t>
    <phoneticPr fontId="2" type="noConversion"/>
  </si>
  <si>
    <t>발주분양산-&gt;뜯김2회정지</t>
    <phoneticPr fontId="2" type="noConversion"/>
  </si>
  <si>
    <t>11</t>
    <phoneticPr fontId="2" type="noConversion"/>
  </si>
  <si>
    <t>14</t>
    <phoneticPr fontId="2" type="noConversion"/>
  </si>
  <si>
    <t>KR6156DB841CA</t>
    <phoneticPr fontId="2" type="noConversion"/>
  </si>
  <si>
    <t>세척후양산</t>
    <phoneticPr fontId="2" type="noConversion"/>
  </si>
  <si>
    <t>당일 진행 사항(10일)</t>
    <phoneticPr fontId="2" type="noConversion"/>
  </si>
  <si>
    <t>AMB0230A-KAA-R1</t>
    <phoneticPr fontId="2" type="noConversion"/>
  </si>
  <si>
    <t>발주분양산</t>
    <phoneticPr fontId="2" type="noConversion"/>
  </si>
  <si>
    <t>HICON</t>
    <phoneticPr fontId="2" type="noConversion"/>
  </si>
  <si>
    <t>HSA65-M001B1(CD)</t>
    <phoneticPr fontId="2" type="noConversion"/>
  </si>
  <si>
    <t>수리후양산</t>
    <phoneticPr fontId="2" type="noConversion"/>
  </si>
  <si>
    <t>SAMPLE 진행 사항(09일)</t>
    <phoneticPr fontId="2" type="noConversion"/>
  </si>
  <si>
    <t>케미텍</t>
    <phoneticPr fontId="2" type="noConversion"/>
  </si>
  <si>
    <t>Z280-FMFD</t>
    <phoneticPr fontId="2" type="noConversion"/>
  </si>
  <si>
    <t>Z280-F20</t>
    <phoneticPr fontId="2" type="noConversion"/>
  </si>
  <si>
    <t>E473i</t>
    <phoneticPr fontId="2" type="noConversion"/>
  </si>
  <si>
    <t>수정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</si>
  <si>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</si>
  <si>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</si>
  <si>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2017년 10월 10일 일일생산현황</t>
    </r>
    <r>
      <rPr>
        <b/>
        <sz val="14"/>
        <color indexed="8"/>
        <rFont val="굴림체"/>
        <family val="3"/>
        <charset val="129"/>
      </rPr>
      <t>(11일(수) 09시 현재)</t>
    </r>
    <phoneticPr fontId="2" type="noConversion"/>
  </si>
  <si>
    <t>HSA65-M001B1(CD)</t>
    <phoneticPr fontId="2" type="noConversion"/>
  </si>
  <si>
    <t>SGF2033</t>
    <phoneticPr fontId="2" type="noConversion"/>
  </si>
  <si>
    <t>STOPPER</t>
    <phoneticPr fontId="2" type="noConversion"/>
  </si>
  <si>
    <t>AMB0230A-KAA-R1</t>
    <phoneticPr fontId="2" type="noConversion"/>
  </si>
  <si>
    <t>SF2255</t>
    <phoneticPr fontId="2" type="noConversion"/>
  </si>
  <si>
    <t>전일 ISSUE 사항(10일)</t>
    <phoneticPr fontId="2" type="noConversion"/>
  </si>
  <si>
    <t>13</t>
    <phoneticPr fontId="2" type="noConversion"/>
  </si>
  <si>
    <t>코아파손정지</t>
    <phoneticPr fontId="2" type="noConversion"/>
  </si>
  <si>
    <t>HICON</t>
    <phoneticPr fontId="2" type="noConversion"/>
  </si>
  <si>
    <t>5</t>
    <phoneticPr fontId="2" type="noConversion"/>
  </si>
  <si>
    <t>발주분양산</t>
    <phoneticPr fontId="2" type="noConversion"/>
  </si>
  <si>
    <t>당일 진행 사항(11일)</t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</si>
  <si>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</si>
  <si>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</si>
  <si>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</si>
  <si>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>세척후양산</t>
    <phoneticPr fontId="2" type="noConversion"/>
  </si>
  <si>
    <t>8</t>
    <phoneticPr fontId="2" type="noConversion"/>
  </si>
  <si>
    <t>STOPPER</t>
    <phoneticPr fontId="2" type="noConversion"/>
  </si>
  <si>
    <t>KR6156-D841PA</t>
    <phoneticPr fontId="2" type="noConversion"/>
  </si>
  <si>
    <t>14</t>
    <phoneticPr fontId="2" type="noConversion"/>
  </si>
  <si>
    <t>KR6156DB841CA</t>
    <phoneticPr fontId="2" type="noConversion"/>
  </si>
  <si>
    <t>수리후양산</t>
    <phoneticPr fontId="2" type="noConversion"/>
  </si>
  <si>
    <t>SAMPLE 진행 사항(10일)</t>
    <phoneticPr fontId="2" type="noConversion"/>
  </si>
  <si>
    <t>BODY</t>
    <phoneticPr fontId="2" type="noConversion"/>
  </si>
  <si>
    <t>AMB0114E-JAA-R2</t>
    <phoneticPr fontId="2" type="noConversion"/>
  </si>
  <si>
    <t>AMM0821A-KAA-R3</t>
    <phoneticPr fontId="2" type="noConversion"/>
  </si>
  <si>
    <t>게이트</t>
    <phoneticPr fontId="2" type="noConversion"/>
  </si>
  <si>
    <t>게이트 내부검토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</si>
  <si>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</si>
  <si>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</si>
  <si>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2017년 10월 11일 일일생산현황</t>
    </r>
    <r>
      <rPr>
        <b/>
        <sz val="14"/>
        <color indexed="8"/>
        <rFont val="굴림체"/>
        <family val="3"/>
        <charset val="129"/>
      </rPr>
      <t>(12일(목) 09시 현재)</t>
    </r>
    <phoneticPr fontId="2" type="noConversion"/>
  </si>
  <si>
    <t>ADAPTER</t>
    <phoneticPr fontId="2" type="noConversion"/>
  </si>
  <si>
    <t>AMB07P8A-KAA-R1</t>
    <phoneticPr fontId="2" type="noConversion"/>
  </si>
  <si>
    <t>SF2255 I/V</t>
    <phoneticPr fontId="2" type="noConversion"/>
  </si>
  <si>
    <t>전일 ISSUE 사항(11일)</t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</si>
  <si>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</si>
  <si>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</si>
  <si>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</si>
  <si>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>세척후양산</t>
    <phoneticPr fontId="2" type="noConversion"/>
  </si>
  <si>
    <t>8</t>
    <phoneticPr fontId="2" type="noConversion"/>
  </si>
  <si>
    <t>STOPPER</t>
    <phoneticPr fontId="2" type="noConversion"/>
  </si>
  <si>
    <t>KR6156-D841PA</t>
    <phoneticPr fontId="2" type="noConversion"/>
  </si>
  <si>
    <t>HICON</t>
    <phoneticPr fontId="2" type="noConversion"/>
  </si>
  <si>
    <t>5</t>
    <phoneticPr fontId="2" type="noConversion"/>
  </si>
  <si>
    <t>BASE</t>
    <phoneticPr fontId="2" type="noConversion"/>
  </si>
  <si>
    <t>HSA65-M001B1(CD)</t>
    <phoneticPr fontId="2" type="noConversion"/>
  </si>
  <si>
    <t>코아파손수리-&gt;코아파손정지</t>
    <phoneticPr fontId="2" type="noConversion"/>
  </si>
  <si>
    <t>14</t>
    <phoneticPr fontId="2" type="noConversion"/>
  </si>
  <si>
    <t>KR6156DB841CA</t>
    <phoneticPr fontId="2" type="noConversion"/>
  </si>
  <si>
    <t>당일 진행 사항(12일)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</si>
  <si>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</si>
  <si>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</si>
  <si>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</si>
  <si>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재고분양산</t>
    <phoneticPr fontId="2" type="noConversion"/>
  </si>
  <si>
    <t>HSA65-M001B1(CD)</t>
    <phoneticPr fontId="2" type="noConversion"/>
  </si>
  <si>
    <t>수리후양산</t>
    <phoneticPr fontId="2" type="noConversion"/>
  </si>
  <si>
    <t>AM0148B-K-R2</t>
    <phoneticPr fontId="2" type="noConversion"/>
  </si>
  <si>
    <t>MCS</t>
    <phoneticPr fontId="2" type="noConversion"/>
  </si>
  <si>
    <t>11</t>
    <phoneticPr fontId="2" type="noConversion"/>
  </si>
  <si>
    <t>교체후양산</t>
    <phoneticPr fontId="2" type="noConversion"/>
  </si>
  <si>
    <t>LID-0089</t>
    <phoneticPr fontId="2" type="noConversion"/>
  </si>
  <si>
    <t>스테츠</t>
    <phoneticPr fontId="2" type="noConversion"/>
  </si>
  <si>
    <t>10</t>
    <phoneticPr fontId="2" type="noConversion"/>
  </si>
  <si>
    <t>발주분양산</t>
    <phoneticPr fontId="2" type="noConversion"/>
  </si>
  <si>
    <t>AMB1904D-KAA-R2</t>
    <phoneticPr fontId="2" type="noConversion"/>
  </si>
  <si>
    <t>6</t>
    <phoneticPr fontId="2" type="noConversion"/>
  </si>
  <si>
    <t>ACTUATOR</t>
    <phoneticPr fontId="2" type="noConversion"/>
  </si>
  <si>
    <t>12</t>
    <phoneticPr fontId="2" type="noConversion"/>
  </si>
  <si>
    <t>ADAPTER</t>
    <phoneticPr fontId="2" type="noConversion"/>
  </si>
  <si>
    <t>발주분양산</t>
    <phoneticPr fontId="2" type="noConversion"/>
  </si>
  <si>
    <t>SAMPLE 진행 사항(11일)</t>
    <phoneticPr fontId="2" type="noConversion"/>
  </si>
  <si>
    <t>SGF2030</t>
    <phoneticPr fontId="2" type="noConversion"/>
  </si>
  <si>
    <t>KR6400-B255WA</t>
    <phoneticPr fontId="2" type="noConversion"/>
  </si>
  <si>
    <t>요청</t>
    <phoneticPr fontId="2" type="noConversion"/>
  </si>
  <si>
    <t>SLIDER</t>
    <phoneticPr fontId="2" type="noConversion"/>
  </si>
  <si>
    <t>KR6182-A426XX</t>
    <phoneticPr fontId="2" type="noConversion"/>
  </si>
  <si>
    <t>SGF2050</t>
    <phoneticPr fontId="2" type="noConversion"/>
  </si>
  <si>
    <t>원재료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</si>
  <si>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</si>
  <si>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</si>
  <si>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2017년 10월 12일 일일생산현황</t>
    </r>
    <r>
      <rPr>
        <b/>
        <sz val="14"/>
        <color indexed="8"/>
        <rFont val="굴림체"/>
        <family val="3"/>
        <charset val="129"/>
      </rPr>
      <t>(13일(금) 09시 현재)</t>
    </r>
    <phoneticPr fontId="2" type="noConversion"/>
  </si>
  <si>
    <t>재고</t>
    <phoneticPr fontId="2" type="noConversion"/>
  </si>
  <si>
    <t>STOPPER</t>
    <phoneticPr fontId="2" type="noConversion"/>
  </si>
  <si>
    <t>KR6197-D841PB</t>
    <phoneticPr fontId="2" type="noConversion"/>
  </si>
  <si>
    <t>SF2255</t>
    <phoneticPr fontId="2" type="noConversion"/>
  </si>
  <si>
    <t>AM0148B-K-R2</t>
    <phoneticPr fontId="2" type="noConversion"/>
  </si>
  <si>
    <t>전일 ISSUE 사항(12일)</t>
    <phoneticPr fontId="2" type="noConversion"/>
  </si>
  <si>
    <t>재고분양산</t>
    <phoneticPr fontId="2" type="noConversion"/>
  </si>
  <si>
    <t>MCS</t>
    <phoneticPr fontId="2" type="noConversion"/>
  </si>
  <si>
    <t>ACTUATOR</t>
    <phoneticPr fontId="2" type="noConversion"/>
  </si>
  <si>
    <t>AMB1904D-KAA-R2</t>
    <phoneticPr fontId="2" type="noConversion"/>
  </si>
  <si>
    <t>코아파손3회수리-&gt;1C막음</t>
    <phoneticPr fontId="2" type="noConversion"/>
  </si>
  <si>
    <t>11</t>
    <phoneticPr fontId="2" type="noConversion"/>
  </si>
  <si>
    <t>AM0148B-K-R2</t>
    <phoneticPr fontId="2" type="noConversion"/>
  </si>
  <si>
    <t>발주분양산</t>
    <phoneticPr fontId="2" type="noConversion"/>
  </si>
  <si>
    <t>SAMPLE 진행 사항(12일)</t>
    <phoneticPr fontId="2" type="noConversion"/>
  </si>
  <si>
    <t>당일 진행 사항(13일)</t>
    <phoneticPr fontId="2" type="noConversion"/>
  </si>
  <si>
    <t>13</t>
    <phoneticPr fontId="2" type="noConversion"/>
  </si>
  <si>
    <t>STOPPER</t>
    <phoneticPr fontId="2" type="noConversion"/>
  </si>
  <si>
    <t>HSA65-M004B1(CD)</t>
    <phoneticPr fontId="2" type="noConversion"/>
  </si>
  <si>
    <t>발주분양산</t>
    <phoneticPr fontId="2" type="noConversion"/>
  </si>
  <si>
    <t>SLIDER</t>
    <phoneticPr fontId="2" type="noConversion"/>
  </si>
  <si>
    <t>HSB05-M002B2-09BI</t>
    <phoneticPr fontId="2" type="noConversion"/>
  </si>
  <si>
    <t>SGF2041 N/P</t>
    <phoneticPr fontId="2" type="noConversion"/>
  </si>
  <si>
    <t>수정</t>
    <phoneticPr fontId="2" type="noConversion"/>
  </si>
  <si>
    <t>TOP/BOTTOM</t>
    <phoneticPr fontId="2" type="noConversion"/>
  </si>
  <si>
    <t>HRCS-00C11A/12A</t>
    <phoneticPr fontId="2" type="noConversion"/>
  </si>
  <si>
    <t>SGF2030</t>
    <phoneticPr fontId="2" type="noConversion"/>
  </si>
  <si>
    <t>원재료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</si>
  <si>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</si>
  <si>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</si>
  <si>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2017년 10월 13일 일일생산현황</t>
    </r>
    <r>
      <rPr>
        <b/>
        <sz val="14"/>
        <color indexed="8"/>
        <rFont val="굴림체"/>
        <family val="3"/>
        <charset val="129"/>
      </rPr>
      <t>(14일(토) 09시 현재)</t>
    </r>
    <phoneticPr fontId="2" type="noConversion"/>
  </si>
  <si>
    <t>MCS</t>
    <phoneticPr fontId="2" type="noConversion"/>
  </si>
  <si>
    <t>BASE</t>
    <phoneticPr fontId="2" type="noConversion"/>
  </si>
  <si>
    <t>AMB0160A-KAA-R1</t>
    <phoneticPr fontId="2" type="noConversion"/>
  </si>
  <si>
    <t>HICON</t>
    <phoneticPr fontId="2" type="noConversion"/>
  </si>
  <si>
    <t>HSA65-M004B1(CD)</t>
    <phoneticPr fontId="2" type="noConversion"/>
  </si>
  <si>
    <t>SGF2033</t>
    <phoneticPr fontId="2" type="noConversion"/>
  </si>
  <si>
    <t>전일 ISSUE 사항(13일)</t>
    <phoneticPr fontId="2" type="noConversion"/>
  </si>
  <si>
    <t>수리후양산</t>
    <phoneticPr fontId="2" type="noConversion"/>
  </si>
  <si>
    <t>7</t>
    <phoneticPr fontId="2" type="noConversion"/>
  </si>
  <si>
    <t>AMB0160A-KAA-R1</t>
    <phoneticPr fontId="2" type="noConversion"/>
  </si>
  <si>
    <t>불량대치분양산</t>
    <phoneticPr fontId="2" type="noConversion"/>
  </si>
  <si>
    <t>STOPPER</t>
    <phoneticPr fontId="2" type="noConversion"/>
  </si>
  <si>
    <t>HSA65-M004B1(CD)</t>
    <phoneticPr fontId="2" type="noConversion"/>
  </si>
  <si>
    <t>발주분양산</t>
    <phoneticPr fontId="2" type="noConversion"/>
  </si>
  <si>
    <t>당일 진행 사항(16일)</t>
    <phoneticPr fontId="2" type="noConversion"/>
  </si>
  <si>
    <t>MCS</t>
    <phoneticPr fontId="2" type="noConversion"/>
  </si>
  <si>
    <t>8</t>
    <phoneticPr fontId="2" type="noConversion"/>
  </si>
  <si>
    <t>AMB1901B-JAA-R1</t>
    <phoneticPr fontId="2" type="noConversion"/>
  </si>
  <si>
    <t>발주분양산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</si>
  <si>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</si>
  <si>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</si>
  <si>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</si>
  <si>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</si>
  <si>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재고분양산</t>
    <phoneticPr fontId="2" type="noConversion"/>
  </si>
  <si>
    <t>SST</t>
    <phoneticPr fontId="2" type="noConversion"/>
  </si>
  <si>
    <t>KR6197AB841CA</t>
    <phoneticPr fontId="2" type="noConversion"/>
  </si>
  <si>
    <t>HICON</t>
    <phoneticPr fontId="2" type="noConversion"/>
  </si>
  <si>
    <t>13</t>
    <phoneticPr fontId="2" type="noConversion"/>
  </si>
  <si>
    <t>세척후양산</t>
    <phoneticPr fontId="2" type="noConversion"/>
  </si>
  <si>
    <t>LID-0089</t>
    <phoneticPr fontId="2" type="noConversion"/>
  </si>
  <si>
    <t>스테츠</t>
    <phoneticPr fontId="2" type="noConversion"/>
  </si>
  <si>
    <t>10</t>
    <phoneticPr fontId="2" type="noConversion"/>
  </si>
  <si>
    <t>SAMPLE 진행 사항(13일)</t>
    <phoneticPr fontId="2" type="noConversion"/>
  </si>
  <si>
    <t>BODY</t>
    <phoneticPr fontId="2" type="noConversion"/>
  </si>
  <si>
    <t>AMB0114E-JAA-R2</t>
    <phoneticPr fontId="2" type="noConversion"/>
  </si>
  <si>
    <t>SF2255</t>
    <phoneticPr fontId="2" type="noConversion"/>
  </si>
  <si>
    <t>FLOATING</t>
    <phoneticPr fontId="2" type="noConversion"/>
  </si>
  <si>
    <t>HRCS-00C13</t>
    <phoneticPr fontId="2" type="noConversion"/>
  </si>
  <si>
    <t>SGF2030 N/P</t>
    <phoneticPr fontId="2" type="noConversion"/>
  </si>
  <si>
    <t>금형 수리 내역(13일)</t>
    <phoneticPr fontId="2" type="noConversion"/>
  </si>
  <si>
    <t>KR6156FA841YA</t>
    <phoneticPr fontId="2" type="noConversion"/>
  </si>
  <si>
    <t xml:space="preserve"> 세척</t>
    <phoneticPr fontId="2" type="noConversion"/>
  </si>
  <si>
    <t>KR6156DB841CA</t>
    <phoneticPr fontId="2" type="noConversion"/>
  </si>
  <si>
    <t>설비 점검 내역(13일)</t>
    <phoneticPr fontId="2" type="noConversion"/>
  </si>
  <si>
    <r>
      <t>2017년 10월 16일 일일생산현황</t>
    </r>
    <r>
      <rPr>
        <b/>
        <sz val="14"/>
        <color indexed="8"/>
        <rFont val="굴림체"/>
        <family val="3"/>
        <charset val="129"/>
      </rPr>
      <t>(17일(화) 09시 현재)</t>
    </r>
    <phoneticPr fontId="2" type="noConversion"/>
  </si>
  <si>
    <t>ACTUATOR</t>
    <phoneticPr fontId="2" type="noConversion"/>
  </si>
  <si>
    <t>AMB1901B-JAA-R1</t>
    <phoneticPr fontId="2" type="noConversion"/>
  </si>
  <si>
    <t>SGF2033</t>
    <phoneticPr fontId="2" type="noConversion"/>
  </si>
  <si>
    <t>발주</t>
    <phoneticPr fontId="2" type="noConversion"/>
  </si>
  <si>
    <t>스테츠</t>
    <phoneticPr fontId="2" type="noConversion"/>
  </si>
  <si>
    <t>SZ2831</t>
    <phoneticPr fontId="2" type="noConversion"/>
  </si>
  <si>
    <t>LID-0089</t>
    <phoneticPr fontId="2" type="noConversion"/>
  </si>
  <si>
    <t>S475 N/P</t>
    <phoneticPr fontId="2" type="noConversion"/>
  </si>
  <si>
    <t>KR6197-F841UA</t>
    <phoneticPr fontId="2" type="noConversion"/>
  </si>
  <si>
    <t>재고</t>
    <phoneticPr fontId="2" type="noConversion"/>
  </si>
  <si>
    <t>KR6197AB841CA</t>
    <phoneticPr fontId="2" type="noConversion"/>
  </si>
  <si>
    <t>전일 ISSUE 사항(16일)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</si>
  <si>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</si>
  <si>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</si>
  <si>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</si>
  <si>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발주분양산</t>
    <phoneticPr fontId="2" type="noConversion"/>
  </si>
  <si>
    <t>세척후양산</t>
    <phoneticPr fontId="2" type="noConversion"/>
  </si>
  <si>
    <t>11</t>
    <phoneticPr fontId="2" type="noConversion"/>
  </si>
  <si>
    <t>LEAD GUIDE</t>
    <phoneticPr fontId="2" type="noConversion"/>
  </si>
  <si>
    <t>재고분양산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</si>
  <si>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</si>
  <si>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</si>
  <si>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</si>
  <si>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당일 진행 사항(17일)</t>
    <phoneticPr fontId="2" type="noConversion"/>
  </si>
  <si>
    <t>테스트</t>
    <phoneticPr fontId="2" type="noConversion"/>
  </si>
  <si>
    <t>COVER</t>
    <phoneticPr fontId="2" type="noConversion"/>
  </si>
  <si>
    <t>스테츠</t>
    <phoneticPr fontId="2" type="noConversion"/>
  </si>
  <si>
    <t>10</t>
    <phoneticPr fontId="2" type="noConversion"/>
  </si>
  <si>
    <t>LID-0089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</si>
  <si>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</si>
  <si>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</si>
  <si>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</si>
  <si>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2017년 10월 17일 일일생산현황</t>
    </r>
    <r>
      <rPr>
        <b/>
        <sz val="14"/>
        <color indexed="8"/>
        <rFont val="굴림체"/>
        <family val="3"/>
        <charset val="129"/>
      </rPr>
      <t>(18일(수) 09시 현재)</t>
    </r>
    <phoneticPr fontId="2" type="noConversion"/>
  </si>
  <si>
    <t>테스트</t>
    <phoneticPr fontId="2" type="noConversion"/>
  </si>
  <si>
    <t>UPPER/COVER</t>
    <phoneticPr fontId="2" type="noConversion"/>
  </si>
  <si>
    <t>2*1</t>
    <phoneticPr fontId="2" type="noConversion"/>
  </si>
  <si>
    <t>LEAD IN</t>
    <phoneticPr fontId="2" type="noConversion"/>
  </si>
  <si>
    <t>K-JR01920-M01ABA</t>
    <phoneticPr fontId="2" type="noConversion"/>
  </si>
  <si>
    <t>SGF2030 N/P</t>
    <phoneticPr fontId="2" type="noConversion"/>
  </si>
  <si>
    <t>테스트</t>
    <phoneticPr fontId="2" type="noConversion"/>
  </si>
  <si>
    <t>PUSHER/LOWER/LATCH</t>
    <phoneticPr fontId="2" type="noConversion"/>
  </si>
  <si>
    <t>3*1</t>
    <phoneticPr fontId="2" type="noConversion"/>
  </si>
  <si>
    <t>전일 ISSUE 사항(17일)</t>
    <phoneticPr fontId="2" type="noConversion"/>
  </si>
  <si>
    <t>6</t>
    <phoneticPr fontId="2" type="noConversion"/>
  </si>
  <si>
    <t>발주분양산</t>
    <phoneticPr fontId="2" type="noConversion"/>
  </si>
  <si>
    <t>테스트</t>
    <phoneticPr fontId="2" type="noConversion"/>
  </si>
  <si>
    <t>4</t>
    <phoneticPr fontId="2" type="noConversion"/>
  </si>
  <si>
    <t>7</t>
    <phoneticPr fontId="2" type="noConversion"/>
  </si>
  <si>
    <t>LOWER/PUSHER/LATCH</t>
    <phoneticPr fontId="2" type="noConversion"/>
  </si>
  <si>
    <t>당일 진행 사항(18일)</t>
    <phoneticPr fontId="2" type="noConversion"/>
  </si>
  <si>
    <t>SST</t>
    <phoneticPr fontId="2" type="noConversion"/>
  </si>
  <si>
    <t>9</t>
    <phoneticPr fontId="2" type="noConversion"/>
  </si>
  <si>
    <t>K-JR01920-C01AWA</t>
    <phoneticPr fontId="2" type="noConversion"/>
  </si>
  <si>
    <t>14</t>
    <phoneticPr fontId="2" type="noConversion"/>
  </si>
  <si>
    <t>BASE</t>
    <phoneticPr fontId="2" type="noConversion"/>
  </si>
  <si>
    <t>K-JR01920-B414AZB</t>
    <phoneticPr fontId="2" type="noConversion"/>
  </si>
  <si>
    <t>4LEAD</t>
    <phoneticPr fontId="2" type="noConversion"/>
  </si>
  <si>
    <t>009-019-004</t>
    <phoneticPr fontId="2" type="noConversion"/>
  </si>
  <si>
    <t>BASE/UNDER BASE(42P)</t>
    <phoneticPr fontId="2" type="noConversion"/>
  </si>
  <si>
    <t>메카텍</t>
    <phoneticPr fontId="2" type="noConversion"/>
  </si>
  <si>
    <t>12</t>
    <phoneticPr fontId="2" type="noConversion"/>
  </si>
  <si>
    <t>SAMPLE 진행 사항(17일)</t>
    <phoneticPr fontId="2" type="noConversion"/>
  </si>
  <si>
    <t>MCS</t>
    <phoneticPr fontId="2" type="noConversion"/>
  </si>
  <si>
    <t>AM0143A-K</t>
    <phoneticPr fontId="2" type="noConversion"/>
  </si>
  <si>
    <t>SF2255</t>
    <phoneticPr fontId="2" type="noConversion"/>
  </si>
  <si>
    <t>수정</t>
    <phoneticPr fontId="2" type="noConversion"/>
  </si>
  <si>
    <t>치수NG</t>
    <phoneticPr fontId="2" type="noConversion"/>
  </si>
  <si>
    <t>MCS</t>
    <phoneticPr fontId="2" type="noConversion"/>
  </si>
  <si>
    <t>AMB0114B-JAA-R5</t>
    <phoneticPr fontId="2" type="noConversion"/>
  </si>
  <si>
    <t>GUIDE</t>
    <phoneticPr fontId="2" type="noConversion"/>
  </si>
  <si>
    <t>SGF2030</t>
    <phoneticPr fontId="2" type="noConversion"/>
  </si>
  <si>
    <t>신작</t>
    <phoneticPr fontId="2" type="noConversion"/>
  </si>
  <si>
    <t>ADAPTER</t>
    <phoneticPr fontId="2" type="noConversion"/>
  </si>
  <si>
    <t>AMB07M4A-KAA-R1</t>
    <phoneticPr fontId="2" type="noConversion"/>
  </si>
  <si>
    <t>AMB0150A-KAA-R1</t>
    <phoneticPr fontId="2" type="noConversion"/>
  </si>
  <si>
    <t>SGF2050</t>
    <phoneticPr fontId="2" type="noConversion"/>
  </si>
  <si>
    <t>옵션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</si>
  <si>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</si>
  <si>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</si>
  <si>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2017년 10월 18일 일일생산현황</t>
    </r>
    <r>
      <rPr>
        <b/>
        <sz val="14"/>
        <color indexed="8"/>
        <rFont val="굴림체"/>
        <family val="3"/>
        <charset val="129"/>
      </rPr>
      <t>(19일(목) 09시 현재)</t>
    </r>
    <phoneticPr fontId="2" type="noConversion"/>
  </si>
  <si>
    <t>4LEAD</t>
    <phoneticPr fontId="2" type="noConversion"/>
  </si>
  <si>
    <t>009-019-004</t>
    <phoneticPr fontId="2" type="noConversion"/>
  </si>
  <si>
    <t>발주</t>
    <phoneticPr fontId="2" type="noConversion"/>
  </si>
  <si>
    <t>SST</t>
    <phoneticPr fontId="2" type="noConversion"/>
  </si>
  <si>
    <t>COVER</t>
    <phoneticPr fontId="2" type="noConversion"/>
  </si>
  <si>
    <t>K-JR01920-C01AWA</t>
    <phoneticPr fontId="2" type="noConversion"/>
  </si>
  <si>
    <t>SGF2030</t>
    <phoneticPr fontId="2" type="noConversion"/>
  </si>
  <si>
    <t>발주</t>
    <phoneticPr fontId="2" type="noConversion"/>
  </si>
  <si>
    <t>메카텍</t>
    <phoneticPr fontId="2" type="noConversion"/>
  </si>
  <si>
    <t>42P BASE/UNDER</t>
    <phoneticPr fontId="2" type="noConversion"/>
  </si>
  <si>
    <t>2*1</t>
    <phoneticPr fontId="2" type="noConversion"/>
  </si>
  <si>
    <t>K-JR01920-B414AZB</t>
    <phoneticPr fontId="2" type="noConversion"/>
  </si>
  <si>
    <t>SGP2020R</t>
    <phoneticPr fontId="2" type="noConversion"/>
  </si>
  <si>
    <t>HOLDER</t>
    <phoneticPr fontId="2" type="noConversion"/>
  </si>
  <si>
    <t>K-JR01920-D432AZA</t>
    <phoneticPr fontId="2" type="noConversion"/>
  </si>
  <si>
    <t>전일 ISSUE 사항(18일)</t>
    <phoneticPr fontId="2" type="noConversion"/>
  </si>
  <si>
    <t>4</t>
    <phoneticPr fontId="2" type="noConversion"/>
  </si>
  <si>
    <t>4LEAD</t>
    <phoneticPr fontId="2" type="noConversion"/>
  </si>
  <si>
    <t>009-019-004</t>
    <phoneticPr fontId="2" type="noConversion"/>
  </si>
  <si>
    <t>SST</t>
    <phoneticPr fontId="2" type="noConversion"/>
  </si>
  <si>
    <t>14</t>
    <phoneticPr fontId="2" type="noConversion"/>
  </si>
  <si>
    <t>BASE</t>
    <phoneticPr fontId="2" type="noConversion"/>
  </si>
  <si>
    <t>발주분양산-&gt;코아파손정지</t>
    <phoneticPr fontId="2" type="noConversion"/>
  </si>
  <si>
    <t>HOLDER</t>
    <phoneticPr fontId="2" type="noConversion"/>
  </si>
  <si>
    <t>K-JR01920-D432AZA</t>
    <phoneticPr fontId="2" type="noConversion"/>
  </si>
  <si>
    <t>발주분양산</t>
    <phoneticPr fontId="2" type="noConversion"/>
  </si>
  <si>
    <t>12</t>
    <phoneticPr fontId="2" type="noConversion"/>
  </si>
  <si>
    <t>42P</t>
    <phoneticPr fontId="2" type="noConversion"/>
  </si>
  <si>
    <t>HICON</t>
    <phoneticPr fontId="2" type="noConversion"/>
  </si>
  <si>
    <t>5</t>
    <phoneticPr fontId="2" type="noConversion"/>
  </si>
  <si>
    <t>BASE</t>
    <phoneticPr fontId="2" type="noConversion"/>
  </si>
  <si>
    <t>HSA65-M001B1(CD)</t>
    <phoneticPr fontId="2" type="noConversion"/>
  </si>
  <si>
    <t>코아파손정지</t>
    <phoneticPr fontId="2" type="noConversion"/>
  </si>
  <si>
    <t>당일 진행 사항(19일)</t>
    <phoneticPr fontId="2" type="noConversion"/>
  </si>
  <si>
    <t>9</t>
    <phoneticPr fontId="2" type="noConversion"/>
  </si>
  <si>
    <t>K-JR01920-C01AWA</t>
    <phoneticPr fontId="2" type="noConversion"/>
  </si>
  <si>
    <t>수리후양산</t>
    <phoneticPr fontId="2" type="noConversion"/>
  </si>
  <si>
    <t>13</t>
    <phoneticPr fontId="2" type="noConversion"/>
  </si>
  <si>
    <t>FLOAT</t>
    <phoneticPr fontId="2" type="noConversion"/>
  </si>
  <si>
    <t>K-JR01920-A432AWA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</si>
  <si>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</si>
  <si>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</si>
  <si>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</si>
  <si>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HICON</t>
    <phoneticPr fontId="2" type="noConversion"/>
  </si>
  <si>
    <t>HSA65-M001B1</t>
    <phoneticPr fontId="2" type="noConversion"/>
  </si>
  <si>
    <t>수리후양산</t>
    <phoneticPr fontId="2" type="noConversion"/>
  </si>
  <si>
    <t>SAMPLE 진행 사항(18일)</t>
    <phoneticPr fontId="2" type="noConversion"/>
  </si>
  <si>
    <t>MCS</t>
    <phoneticPr fontId="2" type="noConversion"/>
  </si>
  <si>
    <t>BASE</t>
    <phoneticPr fontId="2" type="noConversion"/>
  </si>
  <si>
    <t>AMB0129A-KAA-R4</t>
    <phoneticPr fontId="2" type="noConversion"/>
  </si>
  <si>
    <t>SGF2050</t>
    <phoneticPr fontId="2" type="noConversion"/>
  </si>
  <si>
    <t>수정</t>
    <phoneticPr fontId="2" type="noConversion"/>
  </si>
  <si>
    <t>MCS</t>
    <phoneticPr fontId="2" type="noConversion"/>
  </si>
  <si>
    <t>STOPPER</t>
    <phoneticPr fontId="2" type="noConversion"/>
  </si>
  <si>
    <t>AMB0227A-KAA-R1</t>
    <phoneticPr fontId="2" type="noConversion"/>
  </si>
  <si>
    <t>SF2255</t>
    <phoneticPr fontId="2" type="noConversion"/>
  </si>
  <si>
    <t>요청</t>
    <phoneticPr fontId="2" type="noConversion"/>
  </si>
  <si>
    <t>STOPPER</t>
    <phoneticPr fontId="2" type="noConversion"/>
  </si>
  <si>
    <t>AMB0443A-KAA-R1</t>
    <phoneticPr fontId="2" type="noConversion"/>
  </si>
  <si>
    <t>7301(미국산)</t>
    <phoneticPr fontId="2" type="noConversion"/>
  </si>
  <si>
    <t>옵션</t>
    <phoneticPr fontId="2" type="noConversion"/>
  </si>
  <si>
    <t>코아파손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</si>
  <si>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</si>
  <si>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</si>
  <si>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2017년 10월 19일 일일생산현황</t>
    </r>
    <r>
      <rPr>
        <b/>
        <sz val="14"/>
        <color indexed="8"/>
        <rFont val="굴림체"/>
        <family val="3"/>
        <charset val="129"/>
      </rPr>
      <t>(20일(금) 09시 현재)</t>
    </r>
    <phoneticPr fontId="2" type="noConversion"/>
  </si>
  <si>
    <t>SLIDER</t>
    <phoneticPr fontId="2" type="noConversion"/>
  </si>
  <si>
    <t>HSA65-M002B1-13A</t>
    <phoneticPr fontId="2" type="noConversion"/>
  </si>
  <si>
    <t>STOPPER</t>
    <phoneticPr fontId="2" type="noConversion"/>
  </si>
  <si>
    <t>K-JR01920-H432AZA</t>
    <phoneticPr fontId="2" type="noConversion"/>
  </si>
  <si>
    <t>SGP2020R</t>
    <phoneticPr fontId="2" type="noConversion"/>
  </si>
  <si>
    <t>FLOAT</t>
    <phoneticPr fontId="2" type="noConversion"/>
  </si>
  <si>
    <t>K-JR01920-A414AWA</t>
    <phoneticPr fontId="2" type="noConversion"/>
  </si>
  <si>
    <t>SGF2030</t>
    <phoneticPr fontId="2" type="noConversion"/>
  </si>
  <si>
    <t>발주</t>
    <phoneticPr fontId="2" type="noConversion"/>
  </si>
  <si>
    <t>DI</t>
    <phoneticPr fontId="2" type="noConversion"/>
  </si>
  <si>
    <t>22P(4P)</t>
    <phoneticPr fontId="2" type="noConversion"/>
  </si>
  <si>
    <t>PA46</t>
    <phoneticPr fontId="2" type="noConversion"/>
  </si>
  <si>
    <t>전일 ISSUE 사항(19일)</t>
    <phoneticPr fontId="2" type="noConversion"/>
  </si>
  <si>
    <t>수리후양산</t>
    <phoneticPr fontId="2" type="noConversion"/>
  </si>
  <si>
    <t>8</t>
    <phoneticPr fontId="2" type="noConversion"/>
  </si>
  <si>
    <t>STOPPER</t>
    <phoneticPr fontId="2" type="noConversion"/>
  </si>
  <si>
    <t>K-JR01920-H432AZA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</si>
  <si>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</si>
  <si>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</si>
  <si>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</si>
  <si>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13</t>
    <phoneticPr fontId="2" type="noConversion"/>
  </si>
  <si>
    <t>FLOAT</t>
    <phoneticPr fontId="2" type="noConversion"/>
  </si>
  <si>
    <t>K-JR01920-A414AWA</t>
    <phoneticPr fontId="2" type="noConversion"/>
  </si>
  <si>
    <t>당일 진행 사항(20일)</t>
    <phoneticPr fontId="2" type="noConversion"/>
  </si>
  <si>
    <t>14</t>
    <phoneticPr fontId="2" type="noConversion"/>
  </si>
  <si>
    <t>4</t>
    <phoneticPr fontId="2" type="noConversion"/>
  </si>
  <si>
    <t>LEAD GUIDE</t>
    <phoneticPr fontId="2" type="noConversion"/>
  </si>
  <si>
    <t>K-JR01920-F414AWA</t>
    <phoneticPr fontId="2" type="noConversion"/>
  </si>
  <si>
    <t>15</t>
    <phoneticPr fontId="2" type="noConversion"/>
  </si>
  <si>
    <t>22P</t>
    <phoneticPr fontId="2" type="noConversion"/>
  </si>
  <si>
    <t>SAMPLE 진행 사항(19일)</t>
    <phoneticPr fontId="2" type="noConversion"/>
  </si>
  <si>
    <t>ACTUATOR</t>
    <phoneticPr fontId="2" type="noConversion"/>
  </si>
  <si>
    <t>AMB1919A-KAA-R1</t>
    <phoneticPr fontId="2" type="noConversion"/>
  </si>
  <si>
    <t>SGF2050 N/P</t>
    <phoneticPr fontId="2" type="noConversion"/>
  </si>
  <si>
    <t>요청</t>
    <phoneticPr fontId="2" type="noConversion"/>
  </si>
  <si>
    <t>BASE</t>
    <phoneticPr fontId="2" type="noConversion"/>
  </si>
  <si>
    <t>AMB0156A-KAA-R1</t>
    <phoneticPr fontId="2" type="noConversion"/>
  </si>
  <si>
    <t>수축작업안됨</t>
    <phoneticPr fontId="2" type="noConversion"/>
  </si>
  <si>
    <t>MCS</t>
    <phoneticPr fontId="2" type="noConversion"/>
  </si>
  <si>
    <t>AMB0114B-JAA-R5</t>
    <phoneticPr fontId="2" type="noConversion"/>
  </si>
  <si>
    <t>SF2255</t>
    <phoneticPr fontId="2" type="noConversion"/>
  </si>
  <si>
    <t>수정</t>
    <phoneticPr fontId="2" type="noConversion"/>
  </si>
  <si>
    <t>AMB0114F-JAA-R1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</si>
  <si>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</si>
  <si>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</si>
  <si>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2017년 10월 20일 일일생산현황</t>
    </r>
    <r>
      <rPr>
        <b/>
        <sz val="14"/>
        <color indexed="8"/>
        <rFont val="굴림체"/>
        <family val="3"/>
        <charset val="129"/>
      </rPr>
      <t>(21일(토) 09시 현재)</t>
    </r>
    <phoneticPr fontId="2" type="noConversion"/>
  </si>
  <si>
    <t>LEAD GUIDE</t>
    <phoneticPr fontId="2" type="noConversion"/>
  </si>
  <si>
    <t>K-JR01920-F414AWA</t>
    <phoneticPr fontId="2" type="noConversion"/>
  </si>
  <si>
    <t>SGF2030</t>
    <phoneticPr fontId="2" type="noConversion"/>
  </si>
  <si>
    <t>MCS</t>
    <phoneticPr fontId="2" type="noConversion"/>
  </si>
  <si>
    <t>STOPPER</t>
    <phoneticPr fontId="2" type="noConversion"/>
  </si>
  <si>
    <t>AMB0221A-KAA-R1</t>
    <phoneticPr fontId="2" type="noConversion"/>
  </si>
  <si>
    <t>전일 ISSUE 사항(20일)</t>
    <phoneticPr fontId="2" type="noConversion"/>
  </si>
  <si>
    <t>SST</t>
    <phoneticPr fontId="2" type="noConversion"/>
  </si>
  <si>
    <t>LEAD GUIDE</t>
    <phoneticPr fontId="2" type="noConversion"/>
  </si>
  <si>
    <t>K-JR01920-F414AWA</t>
    <phoneticPr fontId="2" type="noConversion"/>
  </si>
  <si>
    <t>발주분양산</t>
    <phoneticPr fontId="2" type="noConversion"/>
  </si>
  <si>
    <t>발주분양산-&gt;코아파손정지</t>
    <phoneticPr fontId="2" type="noConversion"/>
  </si>
  <si>
    <t>하측박힘정지</t>
    <phoneticPr fontId="2" type="noConversion"/>
  </si>
  <si>
    <t>8</t>
    <phoneticPr fontId="2" type="noConversion"/>
  </si>
  <si>
    <t>STOPPER</t>
    <phoneticPr fontId="2" type="noConversion"/>
  </si>
  <si>
    <t>K-JR01920-H432AZA</t>
    <phoneticPr fontId="2" type="noConversion"/>
  </si>
  <si>
    <t>수리후양산</t>
    <phoneticPr fontId="2" type="noConversion"/>
  </si>
  <si>
    <t>BASE</t>
    <phoneticPr fontId="2" type="noConversion"/>
  </si>
  <si>
    <t>K-JR01920-B414AZB</t>
    <phoneticPr fontId="2" type="noConversion"/>
  </si>
  <si>
    <t>코아파손2회정지</t>
    <phoneticPr fontId="2" type="noConversion"/>
  </si>
  <si>
    <t>OKINS</t>
    <phoneticPr fontId="2" type="noConversion"/>
  </si>
  <si>
    <t>9</t>
    <phoneticPr fontId="2" type="noConversion"/>
  </si>
  <si>
    <t>BD1-BS005-1</t>
    <phoneticPr fontId="2" type="noConversion"/>
  </si>
  <si>
    <t>발주분양산</t>
    <phoneticPr fontId="2" type="noConversion"/>
  </si>
  <si>
    <t>AMB0125A-KAA-R1</t>
    <phoneticPr fontId="2" type="noConversion"/>
  </si>
  <si>
    <t>발주분양산-&gt;BURR정지</t>
    <phoneticPr fontId="2" type="noConversion"/>
  </si>
  <si>
    <t>14</t>
    <phoneticPr fontId="2" type="noConversion"/>
  </si>
  <si>
    <t>HICON</t>
    <phoneticPr fontId="2" type="noConversion"/>
  </si>
  <si>
    <t>7</t>
    <phoneticPr fontId="2" type="noConversion"/>
  </si>
  <si>
    <t>HSB75-M01A1</t>
    <phoneticPr fontId="2" type="noConversion"/>
  </si>
  <si>
    <t>당일 진행 사항(21일)</t>
    <phoneticPr fontId="2" type="noConversion"/>
  </si>
  <si>
    <t>SAMPLE 진행 사항(20일)</t>
    <phoneticPr fontId="2" type="noConversion"/>
  </si>
  <si>
    <t>AMB0160A-KAA-R1</t>
    <phoneticPr fontId="2" type="noConversion"/>
  </si>
  <si>
    <t>SF2255</t>
    <phoneticPr fontId="2" type="noConversion"/>
  </si>
  <si>
    <t>수정</t>
    <phoneticPr fontId="2" type="noConversion"/>
  </si>
  <si>
    <t>케미텍</t>
    <phoneticPr fontId="2" type="noConversion"/>
  </si>
  <si>
    <t>Z280 ASSY</t>
    <phoneticPr fontId="2" type="noConversion"/>
  </si>
  <si>
    <t>Z280-F40</t>
    <phoneticPr fontId="2" type="noConversion"/>
  </si>
  <si>
    <t>E473i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</si>
  <si>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</si>
  <si>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</si>
  <si>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2017년 10월 21일(주간) 일일생산현황</t>
    </r>
    <r>
      <rPr>
        <b/>
        <sz val="14"/>
        <color indexed="8"/>
        <rFont val="굴림체"/>
        <family val="3"/>
        <charset val="129"/>
      </rPr>
      <t>(22일(일) 09시 현재)</t>
    </r>
    <phoneticPr fontId="2" type="noConversion"/>
  </si>
  <si>
    <t>BASE</t>
    <phoneticPr fontId="2" type="noConversion"/>
  </si>
  <si>
    <t>HSB75-M01A1</t>
    <phoneticPr fontId="2" type="noConversion"/>
  </si>
  <si>
    <t>SGF2041</t>
    <phoneticPr fontId="2" type="noConversion"/>
  </si>
  <si>
    <t>OKINS</t>
    <phoneticPr fontId="2" type="noConversion"/>
  </si>
  <si>
    <t>BD1-BS005A-1</t>
    <phoneticPr fontId="2" type="noConversion"/>
  </si>
  <si>
    <t>7301</t>
    <phoneticPr fontId="2" type="noConversion"/>
  </si>
  <si>
    <t>MCS</t>
    <phoneticPr fontId="2" type="noConversion"/>
  </si>
  <si>
    <t>AMB0125A-KAA-R1</t>
    <phoneticPr fontId="2" type="noConversion"/>
  </si>
  <si>
    <t>7301</t>
    <phoneticPr fontId="2" type="noConversion"/>
  </si>
  <si>
    <t>전일 ISSUE 사항(21일)</t>
    <phoneticPr fontId="2" type="noConversion"/>
  </si>
  <si>
    <t>수리후양산</t>
    <phoneticPr fontId="2" type="noConversion"/>
  </si>
  <si>
    <t>HICON</t>
    <phoneticPr fontId="2" type="noConversion"/>
  </si>
  <si>
    <t>HSB75-M01A1</t>
    <phoneticPr fontId="2" type="noConversion"/>
  </si>
  <si>
    <t>발주분양산</t>
    <phoneticPr fontId="2" type="noConversion"/>
  </si>
  <si>
    <t>당일 진행 사항(23일)</t>
    <phoneticPr fontId="2" type="noConversion"/>
  </si>
  <si>
    <t>SLIDER</t>
    <phoneticPr fontId="2" type="noConversion"/>
  </si>
  <si>
    <t>SLIDER</t>
    <phoneticPr fontId="2" type="noConversion"/>
  </si>
  <si>
    <t>세척후양산</t>
    <phoneticPr fontId="2" type="noConversion"/>
  </si>
  <si>
    <t>KR6170-C116WD</t>
    <phoneticPr fontId="2" type="noConversion"/>
  </si>
  <si>
    <t>HSB05-M002B2-09BI</t>
    <phoneticPr fontId="2" type="noConversion"/>
  </si>
  <si>
    <t>SST</t>
    <phoneticPr fontId="2" type="noConversion"/>
  </si>
  <si>
    <t>COVER</t>
    <phoneticPr fontId="2" type="noConversion"/>
  </si>
  <si>
    <t>SAMPLE 진행 사항(21일)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</si>
  <si>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</si>
  <si>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</si>
  <si>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2017년 10월 23일 일일생산현황</t>
    </r>
    <r>
      <rPr>
        <b/>
        <sz val="14"/>
        <color indexed="8"/>
        <rFont val="굴림체"/>
        <family val="3"/>
        <charset val="129"/>
      </rPr>
      <t>(24일(화) 09시 현재)</t>
    </r>
    <phoneticPr fontId="2" type="noConversion"/>
  </si>
  <si>
    <t>HSB05-M002B2-09BI</t>
    <phoneticPr fontId="2" type="noConversion"/>
  </si>
  <si>
    <t>SGF2041 N/P</t>
    <phoneticPr fontId="2" type="noConversion"/>
  </si>
  <si>
    <t>전일 ISSUE 사항(23일)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</si>
  <si>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</si>
  <si>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</si>
  <si>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</si>
  <si>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</si>
  <si>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</si>
  <si>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8</t>
    <phoneticPr fontId="2" type="noConversion"/>
  </si>
  <si>
    <t>수리후양산-&gt;코아파손정지</t>
    <phoneticPr fontId="2" type="noConversion"/>
  </si>
  <si>
    <t>수리후양산-&gt;뜯김정지</t>
    <phoneticPr fontId="2" type="noConversion"/>
  </si>
  <si>
    <t>6</t>
    <phoneticPr fontId="2" type="noConversion"/>
  </si>
  <si>
    <t>SLIDER</t>
    <phoneticPr fontId="2" type="noConversion"/>
  </si>
  <si>
    <t>HSB05-M002B2-09BI</t>
    <phoneticPr fontId="2" type="noConversion"/>
  </si>
  <si>
    <t>발주분양산-&gt;미성형수리</t>
    <phoneticPr fontId="2" type="noConversion"/>
  </si>
  <si>
    <t>당일 진행 사항(24일)</t>
    <phoneticPr fontId="2" type="noConversion"/>
  </si>
  <si>
    <t>AMB0114E-JAA-R3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</si>
  <si>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</si>
  <si>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</si>
  <si>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</si>
  <si>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AM0148B-K-R2</t>
    <phoneticPr fontId="2" type="noConversion"/>
  </si>
  <si>
    <t>11</t>
    <phoneticPr fontId="2" type="noConversion"/>
  </si>
  <si>
    <t>셈플승인후양산</t>
    <phoneticPr fontId="2" type="noConversion"/>
  </si>
  <si>
    <t>HSB75-M01A4</t>
    <phoneticPr fontId="2" type="noConversion"/>
  </si>
  <si>
    <t>HICON</t>
    <phoneticPr fontId="2" type="noConversion"/>
  </si>
  <si>
    <t>14</t>
    <phoneticPr fontId="2" type="noConversion"/>
  </si>
  <si>
    <t>KR6170-C116WD</t>
    <phoneticPr fontId="2" type="noConversion"/>
  </si>
  <si>
    <t>SST</t>
    <phoneticPr fontId="2" type="noConversion"/>
  </si>
  <si>
    <t>3</t>
    <phoneticPr fontId="2" type="noConversion"/>
  </si>
  <si>
    <t>COVER</t>
    <phoneticPr fontId="2" type="noConversion"/>
  </si>
  <si>
    <t>발주분양산</t>
    <phoneticPr fontId="2" type="noConversion"/>
  </si>
  <si>
    <t>K-JR01928-E01AWA</t>
    <phoneticPr fontId="2" type="noConversion"/>
  </si>
  <si>
    <t>LATCH</t>
    <phoneticPr fontId="2" type="noConversion"/>
  </si>
  <si>
    <t>SGF2030</t>
    <phoneticPr fontId="2" type="noConversion"/>
  </si>
  <si>
    <t>수정</t>
    <phoneticPr fontId="2" type="noConversion"/>
  </si>
  <si>
    <t>K-JR01928-B01ANA</t>
    <phoneticPr fontId="2" type="noConversion"/>
  </si>
  <si>
    <t>SGF2052,SGP2020R</t>
    <phoneticPr fontId="2" type="noConversion"/>
  </si>
  <si>
    <t>SGF2052 작업안됨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</si>
  <si>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</si>
  <si>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</si>
  <si>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BODY</t>
    <phoneticPr fontId="2" type="noConversion"/>
  </si>
  <si>
    <t>AMB0125A-KAA-R1</t>
    <phoneticPr fontId="2" type="noConversion"/>
  </si>
  <si>
    <t xml:space="preserve"> 하측박힘</t>
    <phoneticPr fontId="2" type="noConversion"/>
  </si>
  <si>
    <t>설비 점검 내역(23일)</t>
    <phoneticPr fontId="2" type="noConversion"/>
  </si>
  <si>
    <r>
      <t>2017년 10월 24일 일일생산현황</t>
    </r>
    <r>
      <rPr>
        <b/>
        <sz val="14"/>
        <color indexed="8"/>
        <rFont val="굴림체"/>
        <family val="3"/>
        <charset val="129"/>
      </rPr>
      <t>(25일(수) 09시 현재)</t>
    </r>
    <phoneticPr fontId="2" type="noConversion"/>
  </si>
  <si>
    <t>KR6170-C116WD</t>
    <phoneticPr fontId="2" type="noConversion"/>
  </si>
  <si>
    <t>JD4901</t>
    <phoneticPr fontId="2" type="noConversion"/>
  </si>
  <si>
    <t>BODY</t>
    <phoneticPr fontId="2" type="noConversion"/>
  </si>
  <si>
    <t>AMB0114E-JAA-R3</t>
    <phoneticPr fontId="2" type="noConversion"/>
  </si>
  <si>
    <t>SF2255</t>
    <phoneticPr fontId="2" type="noConversion"/>
  </si>
  <si>
    <t>AM0148B-K-R2</t>
    <phoneticPr fontId="2" type="noConversion"/>
  </si>
  <si>
    <t>HSB75-M01A4</t>
    <phoneticPr fontId="2" type="noConversion"/>
  </si>
  <si>
    <t>SGF2030</t>
    <phoneticPr fontId="2" type="noConversion"/>
  </si>
  <si>
    <t>전일 ISSUE 사항(24일)</t>
    <phoneticPr fontId="2" type="noConversion"/>
  </si>
  <si>
    <t>14</t>
    <phoneticPr fontId="2" type="noConversion"/>
  </si>
  <si>
    <t>STOPPER</t>
    <phoneticPr fontId="2" type="noConversion"/>
  </si>
  <si>
    <t>발주분양산</t>
    <phoneticPr fontId="2" type="noConversion"/>
  </si>
  <si>
    <t>수리후양산</t>
    <phoneticPr fontId="2" type="noConversion"/>
  </si>
  <si>
    <t>4</t>
    <phoneticPr fontId="2" type="noConversion"/>
  </si>
  <si>
    <t>11</t>
    <phoneticPr fontId="2" type="noConversion"/>
  </si>
  <si>
    <t>셈플승인후양산</t>
    <phoneticPr fontId="2" type="noConversion"/>
  </si>
  <si>
    <t>당일 진행 사항(25일)</t>
    <phoneticPr fontId="2" type="noConversion"/>
  </si>
  <si>
    <t>SLIDER</t>
    <phoneticPr fontId="2" type="noConversion"/>
  </si>
  <si>
    <t>HSB05-M002B2-09BI</t>
    <phoneticPr fontId="2" type="noConversion"/>
  </si>
  <si>
    <t>HSB75-M01A3</t>
    <phoneticPr fontId="2" type="noConversion"/>
  </si>
  <si>
    <t>10</t>
    <phoneticPr fontId="2" type="noConversion"/>
  </si>
  <si>
    <t>발주분양산</t>
    <phoneticPr fontId="2" type="noConversion"/>
  </si>
  <si>
    <t>HSB75-M02A1</t>
    <phoneticPr fontId="2" type="noConversion"/>
  </si>
  <si>
    <t>12</t>
    <phoneticPr fontId="2" type="noConversion"/>
  </si>
  <si>
    <t>수리후양산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</si>
  <si>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</si>
  <si>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</si>
  <si>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</si>
  <si>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t>BODY</t>
    <phoneticPr fontId="2" type="noConversion"/>
  </si>
  <si>
    <t>AM0148B-K-R2</t>
    <phoneticPr fontId="2" type="noConversion"/>
  </si>
  <si>
    <t>수정</t>
    <phoneticPr fontId="2" type="noConversion"/>
  </si>
  <si>
    <r>
      <t>2017년 10월 25일 일일생산현황</t>
    </r>
    <r>
      <rPr>
        <b/>
        <sz val="14"/>
        <color indexed="8"/>
        <rFont val="굴림체"/>
        <family val="3"/>
        <charset val="129"/>
      </rPr>
      <t>(26일(목) 09시 현재)</t>
    </r>
    <phoneticPr fontId="2" type="noConversion"/>
  </si>
  <si>
    <t>HSB75-M01A3</t>
    <phoneticPr fontId="2" type="noConversion"/>
  </si>
  <si>
    <t>RTP</t>
    <phoneticPr fontId="2" type="noConversion"/>
  </si>
  <si>
    <t>SLIDER</t>
    <phoneticPr fontId="2" type="noConversion"/>
  </si>
  <si>
    <t>HSB75-M01A2</t>
    <phoneticPr fontId="2" type="noConversion"/>
  </si>
  <si>
    <t>SGF2030 N/P</t>
    <phoneticPr fontId="2" type="noConversion"/>
  </si>
  <si>
    <t>전일 ISSUE 사항(25일)</t>
    <phoneticPr fontId="2" type="noConversion"/>
  </si>
  <si>
    <t>설비이동양산</t>
    <phoneticPr fontId="2" type="noConversion"/>
  </si>
  <si>
    <t>코아파손정지</t>
    <phoneticPr fontId="2" type="noConversion"/>
  </si>
  <si>
    <t>당일 진행 사항(26일)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</si>
  <si>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</si>
  <si>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</si>
  <si>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</si>
  <si>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HSB05-M002B2-09BI</t>
    <phoneticPr fontId="2" type="noConversion"/>
  </si>
  <si>
    <t>수리후양산-&gt;뜯김정지</t>
    <phoneticPr fontId="2" type="noConversion"/>
  </si>
  <si>
    <t>COVER</t>
    <phoneticPr fontId="2" type="noConversion"/>
  </si>
  <si>
    <t>발주분양산</t>
    <phoneticPr fontId="2" type="noConversion"/>
  </si>
  <si>
    <t>12</t>
    <phoneticPr fontId="2" type="noConversion"/>
  </si>
  <si>
    <t>KR6197-F841UA</t>
    <phoneticPr fontId="2" type="noConversion"/>
  </si>
  <si>
    <t>LEAD GUIDE</t>
    <phoneticPr fontId="2" type="noConversion"/>
  </si>
  <si>
    <t>발주분양산</t>
    <phoneticPr fontId="2" type="noConversion"/>
  </si>
  <si>
    <t>AM0314C-K</t>
    <phoneticPr fontId="2" type="noConversion"/>
  </si>
  <si>
    <t>MCS</t>
    <phoneticPr fontId="2" type="noConversion"/>
  </si>
  <si>
    <t>KR6182-A308WA</t>
    <phoneticPr fontId="2" type="noConversion"/>
  </si>
  <si>
    <t>13</t>
    <phoneticPr fontId="2" type="noConversion"/>
  </si>
  <si>
    <t>14</t>
    <phoneticPr fontId="2" type="noConversion"/>
  </si>
  <si>
    <t>BASE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</si>
  <si>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</si>
  <si>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</si>
  <si>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</si>
  <si>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2017년 10월 26일 일일생산현황</t>
    </r>
    <r>
      <rPr>
        <b/>
        <sz val="14"/>
        <color indexed="8"/>
        <rFont val="굴림체"/>
        <family val="3"/>
        <charset val="129"/>
      </rPr>
      <t>(27일(금) 09시 현재)</t>
    </r>
    <phoneticPr fontId="2" type="noConversion"/>
  </si>
  <si>
    <t>LEAD GUIDE</t>
    <phoneticPr fontId="2" type="noConversion"/>
  </si>
  <si>
    <t>KR6197-F841UA</t>
    <phoneticPr fontId="2" type="noConversion"/>
  </si>
  <si>
    <t>AM0314C-K</t>
    <phoneticPr fontId="2" type="noConversion"/>
  </si>
  <si>
    <t>KR6182-A308WA</t>
    <phoneticPr fontId="2" type="noConversion"/>
  </si>
  <si>
    <t>KR6156DB84CA</t>
    <phoneticPr fontId="2" type="noConversion"/>
  </si>
  <si>
    <t>SGF2033</t>
    <phoneticPr fontId="2" type="noConversion"/>
  </si>
  <si>
    <t>전일 ISSUE 사항(26일)</t>
    <phoneticPr fontId="2" type="noConversion"/>
  </si>
  <si>
    <t>SST</t>
    <phoneticPr fontId="2" type="noConversion"/>
  </si>
  <si>
    <t>LEAD GUIDE</t>
    <phoneticPr fontId="2" type="noConversion"/>
  </si>
  <si>
    <t>발주분양산</t>
    <phoneticPr fontId="2" type="noConversion"/>
  </si>
  <si>
    <t>KR6182-A308WA</t>
    <phoneticPr fontId="2" type="noConversion"/>
  </si>
  <si>
    <t>발주분양산-&gt;BURR수리후양산</t>
    <phoneticPr fontId="2" type="noConversion"/>
  </si>
  <si>
    <t>KR6156DB841CA</t>
    <phoneticPr fontId="2" type="noConversion"/>
  </si>
  <si>
    <t>수리후양산</t>
    <phoneticPr fontId="2" type="noConversion"/>
  </si>
  <si>
    <t>당일 진행 사항(27일)</t>
    <phoneticPr fontId="2" type="noConversion"/>
  </si>
  <si>
    <t>KR6182-B624CB</t>
    <phoneticPr fontId="2" type="noConversion"/>
  </si>
  <si>
    <t>BASE</t>
    <phoneticPr fontId="2" type="noConversion"/>
  </si>
  <si>
    <t>KR6197EA293YA</t>
    <phoneticPr fontId="2" type="noConversion"/>
  </si>
  <si>
    <t>SLIDER</t>
    <phoneticPr fontId="2" type="noConversion"/>
  </si>
  <si>
    <t>ACTUATOR</t>
    <phoneticPr fontId="2" type="noConversion"/>
  </si>
  <si>
    <t>SAMPLE 진행 사항(26일)</t>
    <phoneticPr fontId="2" type="noConversion"/>
  </si>
  <si>
    <t>AM0143A-K</t>
    <phoneticPr fontId="2" type="noConversion"/>
  </si>
  <si>
    <t>SF2255</t>
    <phoneticPr fontId="2" type="noConversion"/>
  </si>
  <si>
    <t>수정</t>
    <phoneticPr fontId="2" type="noConversion"/>
  </si>
  <si>
    <t>치수NG</t>
    <phoneticPr fontId="2" type="noConversion"/>
  </si>
  <si>
    <t>BODY</t>
    <phoneticPr fontId="2" type="noConversion"/>
  </si>
  <si>
    <t>AMB0114E-JAA-R3</t>
    <phoneticPr fontId="2" type="noConversion"/>
  </si>
  <si>
    <t>SGF2033</t>
    <phoneticPr fontId="2" type="noConversion"/>
  </si>
  <si>
    <t>원재료</t>
    <phoneticPr fontId="2" type="noConversion"/>
  </si>
  <si>
    <t>STOPPER</t>
    <phoneticPr fontId="2" type="noConversion"/>
  </si>
  <si>
    <t>AMB0443A-KAA-R1</t>
    <phoneticPr fontId="2" type="noConversion"/>
  </si>
  <si>
    <t>7301(미국산)</t>
    <phoneticPr fontId="2" type="noConversion"/>
  </si>
  <si>
    <t>AMB0156A-KAA-R1</t>
    <phoneticPr fontId="2" type="noConversion"/>
  </si>
  <si>
    <t>SF2255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</si>
  <si>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</si>
  <si>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</si>
  <si>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2017년 10월 27일 일일생산현황</t>
    </r>
    <r>
      <rPr>
        <b/>
        <sz val="14"/>
        <color indexed="8"/>
        <rFont val="굴림체"/>
        <family val="3"/>
        <charset val="129"/>
      </rPr>
      <t>(28일(토) 09시 현재)</t>
    </r>
    <phoneticPr fontId="2" type="noConversion"/>
  </si>
  <si>
    <t>KR6197EA293YA</t>
    <phoneticPr fontId="2" type="noConversion"/>
  </si>
  <si>
    <t>SGF2050</t>
    <phoneticPr fontId="2" type="noConversion"/>
  </si>
  <si>
    <t>KR6182-B624CB</t>
    <phoneticPr fontId="2" type="noConversion"/>
  </si>
  <si>
    <t>SGF2033</t>
    <phoneticPr fontId="2" type="noConversion"/>
  </si>
  <si>
    <t>AMB1922A-KAA-R1</t>
    <phoneticPr fontId="2" type="noConversion"/>
  </si>
  <si>
    <t>SGF2030</t>
    <phoneticPr fontId="2" type="noConversion"/>
  </si>
  <si>
    <t>전일 ISSUE 사항(27일)</t>
    <phoneticPr fontId="2" type="noConversion"/>
  </si>
  <si>
    <t>HICON</t>
    <phoneticPr fontId="2" type="noConversion"/>
  </si>
  <si>
    <t>미성형정지</t>
    <phoneticPr fontId="2" type="noConversion"/>
  </si>
  <si>
    <t>발주분양산-&gt;코아파손정지</t>
    <phoneticPr fontId="2" type="noConversion"/>
  </si>
  <si>
    <t>당일 진행 사항(28일)</t>
    <phoneticPr fontId="2" type="noConversion"/>
  </si>
  <si>
    <t>HICON</t>
    <phoneticPr fontId="2" type="noConversion"/>
  </si>
  <si>
    <t>HSA65-M002B1-13A</t>
    <phoneticPr fontId="2" type="noConversion"/>
  </si>
  <si>
    <t>AMM0863A-KAA-R2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</si>
  <si>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</si>
  <si>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</si>
  <si>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</si>
  <si>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2017년 10월 28일 일일생산현황</t>
    </r>
    <r>
      <rPr>
        <b/>
        <sz val="14"/>
        <color indexed="8"/>
        <rFont val="굴림체"/>
        <family val="3"/>
        <charset val="129"/>
      </rPr>
      <t>(29일(일) 09시 현재)</t>
    </r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</si>
  <si>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</si>
  <si>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</si>
  <si>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</si>
  <si>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AMM0863A-KAA-R2</t>
    <phoneticPr fontId="2" type="noConversion"/>
  </si>
  <si>
    <t>BLUE</t>
    <phoneticPr fontId="2" type="noConversion"/>
  </si>
  <si>
    <t>전일 ISSUE 사항(28일)</t>
    <phoneticPr fontId="2" type="noConversion"/>
  </si>
  <si>
    <t>13</t>
    <phoneticPr fontId="2" type="noConversion"/>
  </si>
  <si>
    <t>KR6182-A308WA</t>
    <phoneticPr fontId="2" type="noConversion"/>
  </si>
  <si>
    <t>BURR정지</t>
    <phoneticPr fontId="2" type="noConversion"/>
  </si>
  <si>
    <t>단차정지</t>
    <phoneticPr fontId="2" type="noConversion"/>
  </si>
  <si>
    <t>코아파손수리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</si>
  <si>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</si>
  <si>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</si>
  <si>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</si>
  <si>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발주분양산-&gt;코아파손정지</t>
    <phoneticPr fontId="2" type="noConversion"/>
  </si>
  <si>
    <t>당일 진행 사항(29일)</t>
    <phoneticPr fontId="2" type="noConversion"/>
  </si>
  <si>
    <t>수리후양산</t>
    <phoneticPr fontId="2" type="noConversion"/>
  </si>
  <si>
    <t>KR6182-A308WA</t>
    <phoneticPr fontId="2" type="noConversion"/>
  </si>
  <si>
    <t>SST</t>
    <phoneticPr fontId="2" type="noConversion"/>
  </si>
  <si>
    <t>13</t>
    <phoneticPr fontId="2" type="noConversion"/>
  </si>
  <si>
    <t>SLIDER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</si>
  <si>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</si>
  <si>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</si>
  <si>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</si>
  <si>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2017년 10월 29일(주간) 일일생산현황</t>
    </r>
    <r>
      <rPr>
        <b/>
        <sz val="14"/>
        <color indexed="8"/>
        <rFont val="굴림체"/>
        <family val="3"/>
        <charset val="129"/>
      </rPr>
      <t>(30일(월) 09시 현재)</t>
    </r>
    <phoneticPr fontId="2" type="noConversion"/>
  </si>
  <si>
    <t>전일 ISSUE 사항(29일)</t>
    <phoneticPr fontId="2" type="noConversion"/>
  </si>
  <si>
    <t>BURR수리-&gt;수리안됨</t>
    <phoneticPr fontId="2" type="noConversion"/>
  </si>
  <si>
    <t>BURR수리</t>
    <phoneticPr fontId="2" type="noConversion"/>
  </si>
  <si>
    <t>코아파손수리-&gt;코아파손정지</t>
    <phoneticPr fontId="2" type="noConversion"/>
  </si>
  <si>
    <t>당일 진행 사항(30일)</t>
    <phoneticPr fontId="2" type="noConversion"/>
  </si>
  <si>
    <t>MCS</t>
    <phoneticPr fontId="2" type="noConversion"/>
  </si>
  <si>
    <t>8</t>
    <phoneticPr fontId="2" type="noConversion"/>
  </si>
  <si>
    <t>ACTUATOR</t>
    <phoneticPr fontId="2" type="noConversion"/>
  </si>
  <si>
    <t>AMB1922A-KAA-R1</t>
    <phoneticPr fontId="2" type="noConversion"/>
  </si>
  <si>
    <t>세척후양산</t>
    <phoneticPr fontId="2" type="noConversion"/>
  </si>
  <si>
    <t>KR6182-D624PA</t>
    <phoneticPr fontId="2" type="noConversion"/>
  </si>
  <si>
    <t>3</t>
    <phoneticPr fontId="2" type="noConversion"/>
  </si>
  <si>
    <t>STOPPER</t>
    <phoneticPr fontId="2" type="noConversion"/>
  </si>
  <si>
    <t>발주분양산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</si>
  <si>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</si>
  <si>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</si>
  <si>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</si>
  <si>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2017년 10월 30일 일일생산현황</t>
    </r>
    <r>
      <rPr>
        <b/>
        <sz val="14"/>
        <color indexed="8"/>
        <rFont val="굴림체"/>
        <family val="3"/>
        <charset val="129"/>
      </rPr>
      <t>(31일(화) 09시 현재)</t>
    </r>
    <phoneticPr fontId="2" type="noConversion"/>
  </si>
  <si>
    <t>발주</t>
    <phoneticPr fontId="2" type="noConversion"/>
  </si>
  <si>
    <t>GTS</t>
    <phoneticPr fontId="2" type="noConversion"/>
  </si>
  <si>
    <t>BASE</t>
    <phoneticPr fontId="2" type="noConversion"/>
  </si>
  <si>
    <t>GTS-001</t>
    <phoneticPr fontId="2" type="noConversion"/>
  </si>
  <si>
    <t>SGF2041</t>
    <phoneticPr fontId="2" type="noConversion"/>
  </si>
  <si>
    <t>STOPPER</t>
    <phoneticPr fontId="2" type="noConversion"/>
  </si>
  <si>
    <t>KR6182-D624PA</t>
    <phoneticPr fontId="2" type="noConversion"/>
  </si>
  <si>
    <t>SF2255</t>
    <phoneticPr fontId="2" type="noConversion"/>
  </si>
  <si>
    <t>KR6156FA841YA</t>
    <phoneticPr fontId="2" type="noConversion"/>
  </si>
  <si>
    <t>GTS</t>
    <phoneticPr fontId="2" type="noConversion"/>
  </si>
  <si>
    <t>COVER</t>
    <phoneticPr fontId="2" type="noConversion"/>
  </si>
  <si>
    <t>GTS-002</t>
  </si>
  <si>
    <t>GTS-002</t>
    <phoneticPr fontId="2" type="noConversion"/>
  </si>
  <si>
    <t>SGF2041</t>
    <phoneticPr fontId="2" type="noConversion"/>
  </si>
  <si>
    <t>TOP</t>
    <phoneticPr fontId="2" type="noConversion"/>
  </si>
  <si>
    <t>GTS-003</t>
  </si>
  <si>
    <t>GTS-003</t>
    <phoneticPr fontId="2" type="noConversion"/>
  </si>
  <si>
    <t>SGF2041 N/P</t>
    <phoneticPr fontId="2" type="noConversion"/>
  </si>
  <si>
    <t>SGF2041 N/P</t>
    <phoneticPr fontId="2" type="noConversion"/>
  </si>
  <si>
    <t>BOTTOM</t>
    <phoneticPr fontId="2" type="noConversion"/>
  </si>
  <si>
    <t>GTS-004</t>
  </si>
  <si>
    <t>GTS-004</t>
    <phoneticPr fontId="2" type="noConversion"/>
  </si>
  <si>
    <t>전일 ISSUE 사항(30일)</t>
    <phoneticPr fontId="2" type="noConversion"/>
  </si>
  <si>
    <t>2</t>
    <phoneticPr fontId="2" type="noConversion"/>
  </si>
  <si>
    <t>9</t>
    <phoneticPr fontId="2" type="noConversion"/>
  </si>
  <si>
    <t>COVER</t>
    <phoneticPr fontId="2" type="noConversion"/>
  </si>
  <si>
    <t>6</t>
    <phoneticPr fontId="2" type="noConversion"/>
  </si>
  <si>
    <t>BOTTOM</t>
    <phoneticPr fontId="2" type="noConversion"/>
  </si>
  <si>
    <t>12</t>
    <phoneticPr fontId="2" type="noConversion"/>
  </si>
  <si>
    <t>TOP</t>
    <phoneticPr fontId="2" type="noConversion"/>
  </si>
  <si>
    <t>승인후양산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</si>
  <si>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</si>
  <si>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</si>
  <si>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</si>
  <si>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발주분양산</t>
    <phoneticPr fontId="2" type="noConversion"/>
  </si>
  <si>
    <t>당일 진행 사항(31일)</t>
    <phoneticPr fontId="2" type="noConversion"/>
  </si>
  <si>
    <t>3</t>
    <phoneticPr fontId="2" type="noConversion"/>
  </si>
  <si>
    <t>발주분양산-&gt;코아파손정지</t>
    <phoneticPr fontId="2" type="noConversion"/>
  </si>
  <si>
    <t>STOPPER</t>
    <phoneticPr fontId="2" type="noConversion"/>
  </si>
  <si>
    <t>KR6182-D624PA</t>
    <phoneticPr fontId="2" type="noConversion"/>
  </si>
  <si>
    <t>수리후양산</t>
    <phoneticPr fontId="2" type="noConversion"/>
  </si>
  <si>
    <t>SAMPLE 진행 사항(30일)</t>
    <phoneticPr fontId="2" type="noConversion"/>
  </si>
  <si>
    <t>BASE</t>
    <phoneticPr fontId="2" type="noConversion"/>
  </si>
  <si>
    <t>BOTTOM</t>
    <phoneticPr fontId="2" type="noConversion"/>
  </si>
  <si>
    <t>SGF2041 N/P</t>
    <phoneticPr fontId="2" type="noConversion"/>
  </si>
  <si>
    <t>신작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</si>
  <si>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</si>
  <si>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</si>
  <si>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2017년 10월 31일 일일생산현황</t>
    </r>
    <r>
      <rPr>
        <b/>
        <sz val="14"/>
        <color indexed="8"/>
        <rFont val="굴림체"/>
        <family val="3"/>
        <charset val="129"/>
      </rPr>
      <t>(01일(수) 09시 현재)</t>
    </r>
    <phoneticPr fontId="2" type="noConversion"/>
  </si>
  <si>
    <t>AMB0104J-KAA-R2</t>
    <phoneticPr fontId="2" type="noConversion"/>
  </si>
  <si>
    <t>전일 ISSUE 사항(31일)</t>
    <phoneticPr fontId="2" type="noConversion"/>
  </si>
  <si>
    <t>수리후양산-&gt;코아파손정지</t>
    <phoneticPr fontId="2" type="noConversion"/>
  </si>
  <si>
    <t>MCS</t>
    <phoneticPr fontId="2" type="noConversion"/>
  </si>
  <si>
    <t>11</t>
    <phoneticPr fontId="2" type="noConversion"/>
  </si>
  <si>
    <t>BODY</t>
    <phoneticPr fontId="2" type="noConversion"/>
  </si>
  <si>
    <t>발주분양산</t>
    <phoneticPr fontId="2" type="noConversion"/>
  </si>
  <si>
    <t>AMM0863A-KAA-R2</t>
    <phoneticPr fontId="2" type="noConversion"/>
  </si>
  <si>
    <t>발주분양산-&gt;코아파손정지</t>
    <phoneticPr fontId="2" type="noConversion"/>
  </si>
  <si>
    <t>SST</t>
    <phoneticPr fontId="2" type="noConversion"/>
  </si>
  <si>
    <t>13</t>
    <phoneticPr fontId="2" type="noConversion"/>
  </si>
  <si>
    <t>SLIDER</t>
    <phoneticPr fontId="2" type="noConversion"/>
  </si>
  <si>
    <t>KR6182-A308WA</t>
    <phoneticPr fontId="2" type="noConversion"/>
  </si>
  <si>
    <t>코아파손수리후양산</t>
    <phoneticPr fontId="2" type="noConversion"/>
  </si>
  <si>
    <t>당일 진행 사항(01일)</t>
    <phoneticPr fontId="2" type="noConversion"/>
  </si>
  <si>
    <t>OKINS</t>
    <phoneticPr fontId="2" type="noConversion"/>
  </si>
  <si>
    <t>COVER</t>
    <phoneticPr fontId="2" type="noConversion"/>
  </si>
  <si>
    <t>92-178V-CV949A</t>
    <phoneticPr fontId="2" type="noConversion"/>
  </si>
  <si>
    <t>92-178V-LC949B</t>
    <phoneticPr fontId="2" type="noConversion"/>
  </si>
  <si>
    <t>LATCH</t>
    <phoneticPr fontId="2" type="noConversion"/>
  </si>
  <si>
    <t>NEXT</t>
    <phoneticPr fontId="2" type="noConversion"/>
  </si>
  <si>
    <t>MIDDLE PLATE</t>
    <phoneticPr fontId="2" type="noConversion"/>
  </si>
  <si>
    <t>2회진행</t>
    <phoneticPr fontId="2" type="noConversion"/>
  </si>
  <si>
    <t>LATCH ROLLER</t>
    <phoneticPr fontId="2" type="noConversion"/>
  </si>
  <si>
    <t>KR6304-ER01XX</t>
    <phoneticPr fontId="2" type="noConversion"/>
  </si>
  <si>
    <t>L3000 N/P</t>
    <phoneticPr fontId="2" type="noConversion"/>
  </si>
  <si>
    <t>LATCH</t>
    <phoneticPr fontId="2" type="noConversion"/>
  </si>
  <si>
    <t>KR6304-E03XX</t>
    <phoneticPr fontId="2" type="noConversion"/>
  </si>
  <si>
    <t>JD4901</t>
    <phoneticPr fontId="2" type="noConversion"/>
  </si>
  <si>
    <t>JD4901</t>
    <phoneticPr fontId="2" type="noConversion"/>
  </si>
  <si>
    <t>AMB0125A-KAA-R1</t>
    <phoneticPr fontId="2" type="noConversion"/>
  </si>
  <si>
    <t>수정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</si>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</sst>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  <numFmt numFmtId="191" formatCode="mm&quot;월&quot;\ dd&quot;일&quot;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6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191" fontId="8" fillId="0" borderId="3" xfId="2" applyNumberFormat="1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22" fillId="5" borderId="1" xfId="12" applyBorder="1" applyAlignment="1">
      <alignment horizontal="center" vertical="center"/>
    </xf>
    <xf numFmtId="0" fontId="22" fillId="5" borderId="14" xfId="12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10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819264"/>
        <c:axId val="878360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819264"/>
        <c:axId val="878360192"/>
      </c:lineChart>
      <c:catAx>
        <c:axId val="95181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878360192"/>
        <c:crosses val="autoZero"/>
        <c:auto val="1"/>
        <c:lblAlgn val="ctr"/>
        <c:lblOffset val="100"/>
        <c:noMultiLvlLbl val="0"/>
      </c:catAx>
      <c:valAx>
        <c:axId val="878360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181926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10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6.3095238210749485E-2</c:v>
                </c:pt>
                <c:pt idx="2">
                  <c:v>0.38516214042856906</c:v>
                </c:pt>
                <c:pt idx="3">
                  <c:v>0.50061208181299788</c:v>
                </c:pt>
                <c:pt idx="4">
                  <c:v>0.47873017203123613</c:v>
                </c:pt>
                <c:pt idx="5">
                  <c:v>0.44977664410205687</c:v>
                </c:pt>
                <c:pt idx="6">
                  <c:v>0.28974095350339474</c:v>
                </c:pt>
                <c:pt idx="7">
                  <c:v>0.42972320963221716</c:v>
                </c:pt>
                <c:pt idx="8">
                  <c:v>0.13263209372641707</c:v>
                </c:pt>
                <c:pt idx="9">
                  <c:v>7.66062774496441E-2</c:v>
                </c:pt>
                <c:pt idx="10">
                  <c:v>0.41890577142493413</c:v>
                </c:pt>
                <c:pt idx="11">
                  <c:v>0.1986435080185314</c:v>
                </c:pt>
                <c:pt idx="12">
                  <c:v>0.42159212293124187</c:v>
                </c:pt>
                <c:pt idx="13">
                  <c:v>0.52361793901204889</c:v>
                </c:pt>
                <c:pt idx="14">
                  <c:v>0.2096635536173877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450048"/>
        <c:axId val="878584384"/>
      </c:barChart>
      <c:catAx>
        <c:axId val="95245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878584384"/>
        <c:crosses val="autoZero"/>
        <c:auto val="1"/>
        <c:lblAlgn val="ctr"/>
        <c:lblOffset val="100"/>
        <c:noMultiLvlLbl val="0"/>
      </c:catAx>
      <c:valAx>
        <c:axId val="8785843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245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3">
                  <c:v>4927</c:v>
                </c:pt>
                <c:pt idx="4">
                  <c:v>2023</c:v>
                </c:pt>
                <c:pt idx="5">
                  <c:v>538</c:v>
                </c:pt>
                <c:pt idx="6">
                  <c:v>1691</c:v>
                </c:pt>
                <c:pt idx="7">
                  <c:v>6535</c:v>
                </c:pt>
                <c:pt idx="10">
                  <c:v>4858</c:v>
                </c:pt>
                <c:pt idx="11">
                  <c:v>1408</c:v>
                </c:pt>
                <c:pt idx="12">
                  <c:v>1289</c:v>
                </c:pt>
                <c:pt idx="13">
                  <c:v>5071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2570</c:v>
                </c:pt>
                <c:pt idx="2">
                  <c:v>470</c:v>
                </c:pt>
                <c:pt idx="3">
                  <c:v>4930</c:v>
                </c:pt>
                <c:pt idx="4">
                  <c:v>1610</c:v>
                </c:pt>
                <c:pt idx="5">
                  <c:v>540</c:v>
                </c:pt>
                <c:pt idx="6">
                  <c:v>1700</c:v>
                </c:pt>
                <c:pt idx="7">
                  <c:v>6540</c:v>
                </c:pt>
                <c:pt idx="8">
                  <c:v>2240</c:v>
                </c:pt>
                <c:pt idx="9">
                  <c:v>1640</c:v>
                </c:pt>
                <c:pt idx="10">
                  <c:v>4860</c:v>
                </c:pt>
                <c:pt idx="11">
                  <c:v>1410</c:v>
                </c:pt>
                <c:pt idx="12">
                  <c:v>1290</c:v>
                </c:pt>
                <c:pt idx="13">
                  <c:v>5080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054720"/>
        <c:axId val="878586112"/>
      </c:lineChart>
      <c:catAx>
        <c:axId val="9610547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878586112"/>
        <c:crosses val="autoZero"/>
        <c:auto val="1"/>
        <c:lblAlgn val="ctr"/>
        <c:lblOffset val="100"/>
        <c:noMultiLvlLbl val="0"/>
      </c:catAx>
      <c:valAx>
        <c:axId val="8785861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105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0% 87% 52% 12% 41% 100% 0% 0% 100% 37% 37%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0.87446754563894524</c:v>
                </c:pt>
                <c:pt idx="4">
                  <c:v>0.52355072463768126</c:v>
                </c:pt>
                <c:pt idx="5">
                  <c:v>0.12453703703703704</c:v>
                </c:pt>
                <c:pt idx="6">
                  <c:v>0.41446078431372552</c:v>
                </c:pt>
                <c:pt idx="7">
                  <c:v>0.99923547400611623</c:v>
                </c:pt>
                <c:pt idx="8">
                  <c:v>0</c:v>
                </c:pt>
                <c:pt idx="9">
                  <c:v>0</c:v>
                </c:pt>
                <c:pt idx="10">
                  <c:v>0.99958847736625511</c:v>
                </c:pt>
                <c:pt idx="11">
                  <c:v>0.37446808510638296</c:v>
                </c:pt>
                <c:pt idx="12">
                  <c:v>0.37470930232558142</c:v>
                </c:pt>
                <c:pt idx="13">
                  <c:v>0.99822834645669289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0.37888305179256121</c:v>
                </c:pt>
                <c:pt idx="1">
                  <c:v>0.37888305179256121</c:v>
                </c:pt>
                <c:pt idx="2">
                  <c:v>0.37888305179256121</c:v>
                </c:pt>
                <c:pt idx="3">
                  <c:v>0.37888305179256121</c:v>
                </c:pt>
                <c:pt idx="4">
                  <c:v>0.37888305179256121</c:v>
                </c:pt>
                <c:pt idx="5">
                  <c:v>0.37888305179256121</c:v>
                </c:pt>
                <c:pt idx="6">
                  <c:v>0.37888305179256121</c:v>
                </c:pt>
                <c:pt idx="7">
                  <c:v>0.37888305179256121</c:v>
                </c:pt>
                <c:pt idx="8">
                  <c:v>0.37888305179256121</c:v>
                </c:pt>
                <c:pt idx="9">
                  <c:v>0.37888305179256121</c:v>
                </c:pt>
                <c:pt idx="10">
                  <c:v>0.37888305179256121</c:v>
                </c:pt>
                <c:pt idx="11">
                  <c:v>0.37888305179256121</c:v>
                </c:pt>
                <c:pt idx="12">
                  <c:v>0.37888305179256121</c:v>
                </c:pt>
                <c:pt idx="13">
                  <c:v>0.37888305179256121</c:v>
                </c:pt>
                <c:pt idx="14">
                  <c:v>0.37888305179256121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785856"/>
        <c:axId val="878588416"/>
      </c:lineChart>
      <c:catAx>
        <c:axId val="96178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878588416"/>
        <c:crosses val="autoZero"/>
        <c:auto val="1"/>
        <c:lblAlgn val="ctr"/>
        <c:lblOffset val="100"/>
        <c:noMultiLvlLbl val="0"/>
      </c:catAx>
      <c:valAx>
        <c:axId val="878588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178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3">
                  <c:v>4927</c:v>
                </c:pt>
                <c:pt idx="4">
                  <c:v>2023</c:v>
                </c:pt>
                <c:pt idx="5">
                  <c:v>538</c:v>
                </c:pt>
                <c:pt idx="6">
                  <c:v>1691</c:v>
                </c:pt>
                <c:pt idx="7">
                  <c:v>6535</c:v>
                </c:pt>
                <c:pt idx="10">
                  <c:v>4858</c:v>
                </c:pt>
                <c:pt idx="11">
                  <c:v>1408</c:v>
                </c:pt>
                <c:pt idx="12">
                  <c:v>1289</c:v>
                </c:pt>
                <c:pt idx="13">
                  <c:v>5071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2570</c:v>
                </c:pt>
                <c:pt idx="2">
                  <c:v>470</c:v>
                </c:pt>
                <c:pt idx="3">
                  <c:v>4930</c:v>
                </c:pt>
                <c:pt idx="4">
                  <c:v>1610</c:v>
                </c:pt>
                <c:pt idx="5">
                  <c:v>540</c:v>
                </c:pt>
                <c:pt idx="6">
                  <c:v>1700</c:v>
                </c:pt>
                <c:pt idx="7">
                  <c:v>6540</c:v>
                </c:pt>
                <c:pt idx="8">
                  <c:v>2240</c:v>
                </c:pt>
                <c:pt idx="9">
                  <c:v>1640</c:v>
                </c:pt>
                <c:pt idx="10">
                  <c:v>4860</c:v>
                </c:pt>
                <c:pt idx="11">
                  <c:v>1410</c:v>
                </c:pt>
                <c:pt idx="12">
                  <c:v>1290</c:v>
                </c:pt>
                <c:pt idx="13">
                  <c:v>5080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786368"/>
        <c:axId val="941875200"/>
      </c:lineChart>
      <c:catAx>
        <c:axId val="961786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1875200"/>
        <c:crosses val="autoZero"/>
        <c:auto val="1"/>
        <c:lblAlgn val="ctr"/>
        <c:lblOffset val="100"/>
        <c:noMultiLvlLbl val="0"/>
      </c:catAx>
      <c:valAx>
        <c:axId val="941875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1786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0% 87% 52% 12% 41% 100% 0% 0% 100% 37% 37%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0.87446754563894524</c:v>
                </c:pt>
                <c:pt idx="4">
                  <c:v>0.52355072463768126</c:v>
                </c:pt>
                <c:pt idx="5">
                  <c:v>0.12453703703703704</c:v>
                </c:pt>
                <c:pt idx="6">
                  <c:v>0.41446078431372552</c:v>
                </c:pt>
                <c:pt idx="7">
                  <c:v>0.99923547400611623</c:v>
                </c:pt>
                <c:pt idx="8">
                  <c:v>0</c:v>
                </c:pt>
                <c:pt idx="9">
                  <c:v>0</c:v>
                </c:pt>
                <c:pt idx="10">
                  <c:v>0.99958847736625511</c:v>
                </c:pt>
                <c:pt idx="11">
                  <c:v>0.37446808510638296</c:v>
                </c:pt>
                <c:pt idx="12">
                  <c:v>0.37470930232558142</c:v>
                </c:pt>
                <c:pt idx="13">
                  <c:v>0.99822834645669289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BODY/LID</c:v>
                </c:pt>
                <c:pt idx="3">
                  <c:v>SLIDER</c:v>
                </c:pt>
                <c:pt idx="4">
                  <c:v>SLIDER</c:v>
                </c:pt>
                <c:pt idx="5">
                  <c:v>STOPPER</c:v>
                </c:pt>
                <c:pt idx="6">
                  <c:v>STOPPER</c:v>
                </c:pt>
                <c:pt idx="7">
                  <c:v>STOPPER</c:v>
                </c:pt>
                <c:pt idx="8">
                  <c:v>FRONT/REAR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0.37888305179256121</c:v>
                </c:pt>
                <c:pt idx="1">
                  <c:v>0.37888305179256121</c:v>
                </c:pt>
                <c:pt idx="2">
                  <c:v>0.37888305179256121</c:v>
                </c:pt>
                <c:pt idx="3">
                  <c:v>0.37888305179256121</c:v>
                </c:pt>
                <c:pt idx="4">
                  <c:v>0.37888305179256121</c:v>
                </c:pt>
                <c:pt idx="5">
                  <c:v>0.37888305179256121</c:v>
                </c:pt>
                <c:pt idx="6">
                  <c:v>0.37888305179256121</c:v>
                </c:pt>
                <c:pt idx="7">
                  <c:v>0.37888305179256121</c:v>
                </c:pt>
                <c:pt idx="8">
                  <c:v>0.37888305179256121</c:v>
                </c:pt>
                <c:pt idx="9">
                  <c:v>0.37888305179256121</c:v>
                </c:pt>
                <c:pt idx="10">
                  <c:v>0.37888305179256121</c:v>
                </c:pt>
                <c:pt idx="11">
                  <c:v>0.37888305179256121</c:v>
                </c:pt>
                <c:pt idx="12">
                  <c:v>0.37888305179256121</c:v>
                </c:pt>
                <c:pt idx="13">
                  <c:v>0.37888305179256121</c:v>
                </c:pt>
                <c:pt idx="14">
                  <c:v>0.37888305179256121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789440"/>
        <c:axId val="941876928"/>
      </c:lineChart>
      <c:catAx>
        <c:axId val="9617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1876928"/>
        <c:crosses val="autoZero"/>
        <c:auto val="1"/>
        <c:lblAlgn val="ctr"/>
        <c:lblOffset val="100"/>
        <c:noMultiLvlLbl val="0"/>
      </c:catAx>
      <c:valAx>
        <c:axId val="941876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1789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6004736"/>
        <c:axId val="941879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004736"/>
        <c:axId val="941879808"/>
      </c:lineChart>
      <c:catAx>
        <c:axId val="96600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941879808"/>
        <c:crosses val="autoZero"/>
        <c:auto val="1"/>
        <c:lblAlgn val="ctr"/>
        <c:lblOffset val="100"/>
        <c:noMultiLvlLbl val="0"/>
      </c:catAx>
      <c:valAx>
        <c:axId val="941879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60047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53670</c:v>
                </c:pt>
                <c:pt idx="3">
                  <c:v>5173</c:v>
                </c:pt>
                <c:pt idx="4">
                  <c:v>2374</c:v>
                </c:pt>
                <c:pt idx="5">
                  <c:v>4637</c:v>
                </c:pt>
                <c:pt idx="7">
                  <c:v>5604</c:v>
                </c:pt>
                <c:pt idx="8">
                  <c:v>387</c:v>
                </c:pt>
                <c:pt idx="10">
                  <c:v>3405</c:v>
                </c:pt>
                <c:pt idx="11">
                  <c:v>1636</c:v>
                </c:pt>
                <c:pt idx="12">
                  <c:v>2274</c:v>
                </c:pt>
                <c:pt idx="13">
                  <c:v>2647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53670</c:v>
                </c:pt>
                <c:pt idx="2">
                  <c:v>470</c:v>
                </c:pt>
                <c:pt idx="3">
                  <c:v>5180</c:v>
                </c:pt>
                <c:pt idx="4">
                  <c:v>2380</c:v>
                </c:pt>
                <c:pt idx="5">
                  <c:v>4640</c:v>
                </c:pt>
                <c:pt idx="6">
                  <c:v>1700</c:v>
                </c:pt>
                <c:pt idx="7">
                  <c:v>5610</c:v>
                </c:pt>
                <c:pt idx="8">
                  <c:v>387</c:v>
                </c:pt>
                <c:pt idx="9">
                  <c:v>1640</c:v>
                </c:pt>
                <c:pt idx="10">
                  <c:v>3410</c:v>
                </c:pt>
                <c:pt idx="11">
                  <c:v>1640</c:v>
                </c:pt>
                <c:pt idx="12">
                  <c:v>2280</c:v>
                </c:pt>
                <c:pt idx="13">
                  <c:v>2650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64736"/>
        <c:axId val="942030848"/>
      </c:lineChart>
      <c:catAx>
        <c:axId val="995764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2030848"/>
        <c:crosses val="autoZero"/>
        <c:auto val="1"/>
        <c:lblAlgn val="ctr"/>
        <c:lblOffset val="100"/>
        <c:noMultiLvlLbl val="0"/>
      </c:catAx>
      <c:valAx>
        <c:axId val="942030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95764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83% 0% 100% 54% 87% 0% 100% 33% 0% 79% 42% 54%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0.83333333333333337</c:v>
                </c:pt>
                <c:pt idx="2">
                  <c:v>0</c:v>
                </c:pt>
                <c:pt idx="3">
                  <c:v>0.99864864864864866</c:v>
                </c:pt>
                <c:pt idx="4">
                  <c:v>0.54030112044817924</c:v>
                </c:pt>
                <c:pt idx="5">
                  <c:v>0.87443426724137929</c:v>
                </c:pt>
                <c:pt idx="6">
                  <c:v>0</c:v>
                </c:pt>
                <c:pt idx="7">
                  <c:v>0.99893048128342243</c:v>
                </c:pt>
                <c:pt idx="8">
                  <c:v>0.33333333333333331</c:v>
                </c:pt>
                <c:pt idx="9">
                  <c:v>0</c:v>
                </c:pt>
                <c:pt idx="10">
                  <c:v>0.79050586510263932</c:v>
                </c:pt>
                <c:pt idx="11">
                  <c:v>0.41565040650406504</c:v>
                </c:pt>
                <c:pt idx="12">
                  <c:v>0.54024122807017538</c:v>
                </c:pt>
                <c:pt idx="13">
                  <c:v>0.54105345911949676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0.45776214287231148</c:v>
                </c:pt>
                <c:pt idx="1">
                  <c:v>0.45776214287231148</c:v>
                </c:pt>
                <c:pt idx="2">
                  <c:v>0.45776214287231148</c:v>
                </c:pt>
                <c:pt idx="3">
                  <c:v>0.45776214287231148</c:v>
                </c:pt>
                <c:pt idx="4">
                  <c:v>0.45776214287231148</c:v>
                </c:pt>
                <c:pt idx="5">
                  <c:v>0.45776214287231148</c:v>
                </c:pt>
                <c:pt idx="6">
                  <c:v>0.45776214287231148</c:v>
                </c:pt>
                <c:pt idx="7">
                  <c:v>0.45776214287231148</c:v>
                </c:pt>
                <c:pt idx="8">
                  <c:v>0.45776214287231148</c:v>
                </c:pt>
                <c:pt idx="9">
                  <c:v>0.45776214287231148</c:v>
                </c:pt>
                <c:pt idx="10">
                  <c:v>0.45776214287231148</c:v>
                </c:pt>
                <c:pt idx="11">
                  <c:v>0.45776214287231148</c:v>
                </c:pt>
                <c:pt idx="12">
                  <c:v>0.45776214287231148</c:v>
                </c:pt>
                <c:pt idx="13">
                  <c:v>0.45776214287231148</c:v>
                </c:pt>
                <c:pt idx="14">
                  <c:v>0.45776214287231148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71904"/>
        <c:axId val="942033728"/>
      </c:lineChart>
      <c:catAx>
        <c:axId val="9957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2033728"/>
        <c:crosses val="autoZero"/>
        <c:auto val="1"/>
        <c:lblAlgn val="ctr"/>
        <c:lblOffset val="100"/>
        <c:noMultiLvlLbl val="0"/>
      </c:catAx>
      <c:valAx>
        <c:axId val="9420337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95771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53670</c:v>
                </c:pt>
                <c:pt idx="3">
                  <c:v>5173</c:v>
                </c:pt>
                <c:pt idx="4">
                  <c:v>2374</c:v>
                </c:pt>
                <c:pt idx="5">
                  <c:v>4637</c:v>
                </c:pt>
                <c:pt idx="7">
                  <c:v>5604</c:v>
                </c:pt>
                <c:pt idx="8">
                  <c:v>387</c:v>
                </c:pt>
                <c:pt idx="10">
                  <c:v>3405</c:v>
                </c:pt>
                <c:pt idx="11">
                  <c:v>1636</c:v>
                </c:pt>
                <c:pt idx="12">
                  <c:v>2274</c:v>
                </c:pt>
                <c:pt idx="13">
                  <c:v>2647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53670</c:v>
                </c:pt>
                <c:pt idx="2">
                  <c:v>470</c:v>
                </c:pt>
                <c:pt idx="3">
                  <c:v>5180</c:v>
                </c:pt>
                <c:pt idx="4">
                  <c:v>2380</c:v>
                </c:pt>
                <c:pt idx="5">
                  <c:v>4640</c:v>
                </c:pt>
                <c:pt idx="6">
                  <c:v>1700</c:v>
                </c:pt>
                <c:pt idx="7">
                  <c:v>5610</c:v>
                </c:pt>
                <c:pt idx="8">
                  <c:v>387</c:v>
                </c:pt>
                <c:pt idx="9">
                  <c:v>1640</c:v>
                </c:pt>
                <c:pt idx="10">
                  <c:v>3410</c:v>
                </c:pt>
                <c:pt idx="11">
                  <c:v>1640</c:v>
                </c:pt>
                <c:pt idx="12">
                  <c:v>2280</c:v>
                </c:pt>
                <c:pt idx="13">
                  <c:v>2650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72416"/>
        <c:axId val="942036032"/>
      </c:lineChart>
      <c:catAx>
        <c:axId val="995772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2036032"/>
        <c:crosses val="autoZero"/>
        <c:auto val="1"/>
        <c:lblAlgn val="ctr"/>
        <c:lblOffset val="100"/>
        <c:noMultiLvlLbl val="0"/>
      </c:catAx>
      <c:valAx>
        <c:axId val="942036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95772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83% 0% 100% 54% 87% 0% 100% 33% 0% 79% 42% 54%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0.83333333333333337</c:v>
                </c:pt>
                <c:pt idx="2">
                  <c:v>0</c:v>
                </c:pt>
                <c:pt idx="3">
                  <c:v>0.99864864864864866</c:v>
                </c:pt>
                <c:pt idx="4">
                  <c:v>0.54030112044817924</c:v>
                </c:pt>
                <c:pt idx="5">
                  <c:v>0.87443426724137929</c:v>
                </c:pt>
                <c:pt idx="6">
                  <c:v>0</c:v>
                </c:pt>
                <c:pt idx="7">
                  <c:v>0.99893048128342243</c:v>
                </c:pt>
                <c:pt idx="8">
                  <c:v>0.33333333333333331</c:v>
                </c:pt>
                <c:pt idx="9">
                  <c:v>0</c:v>
                </c:pt>
                <c:pt idx="10">
                  <c:v>0.79050586510263932</c:v>
                </c:pt>
                <c:pt idx="11">
                  <c:v>0.41565040650406504</c:v>
                </c:pt>
                <c:pt idx="12">
                  <c:v>0.54024122807017538</c:v>
                </c:pt>
                <c:pt idx="13">
                  <c:v>0.54105345911949676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0.45776214287231148</c:v>
                </c:pt>
                <c:pt idx="1">
                  <c:v>0.45776214287231148</c:v>
                </c:pt>
                <c:pt idx="2">
                  <c:v>0.45776214287231148</c:v>
                </c:pt>
                <c:pt idx="3">
                  <c:v>0.45776214287231148</c:v>
                </c:pt>
                <c:pt idx="4">
                  <c:v>0.45776214287231148</c:v>
                </c:pt>
                <c:pt idx="5">
                  <c:v>0.45776214287231148</c:v>
                </c:pt>
                <c:pt idx="6">
                  <c:v>0.45776214287231148</c:v>
                </c:pt>
                <c:pt idx="7">
                  <c:v>0.45776214287231148</c:v>
                </c:pt>
                <c:pt idx="8">
                  <c:v>0.45776214287231148</c:v>
                </c:pt>
                <c:pt idx="9">
                  <c:v>0.45776214287231148</c:v>
                </c:pt>
                <c:pt idx="10">
                  <c:v>0.45776214287231148</c:v>
                </c:pt>
                <c:pt idx="11">
                  <c:v>0.45776214287231148</c:v>
                </c:pt>
                <c:pt idx="12">
                  <c:v>0.45776214287231148</c:v>
                </c:pt>
                <c:pt idx="13">
                  <c:v>0.45776214287231148</c:v>
                </c:pt>
                <c:pt idx="14">
                  <c:v>0.45776214287231148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73440"/>
        <c:axId val="942038336"/>
      </c:lineChart>
      <c:catAx>
        <c:axId val="99577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2038336"/>
        <c:crosses val="autoZero"/>
        <c:auto val="1"/>
        <c:lblAlgn val="ctr"/>
        <c:lblOffset val="100"/>
        <c:noMultiLvlLbl val="0"/>
      </c:catAx>
      <c:valAx>
        <c:axId val="9420383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95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6005248"/>
        <c:axId val="942852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005248"/>
        <c:axId val="942852352"/>
      </c:lineChart>
      <c:catAx>
        <c:axId val="96600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942852352"/>
        <c:crosses val="autoZero"/>
        <c:auto val="1"/>
        <c:lblAlgn val="ctr"/>
        <c:lblOffset val="100"/>
        <c:noMultiLvlLbl val="0"/>
      </c:catAx>
      <c:valAx>
        <c:axId val="942852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60052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14325</c:v>
                </c:pt>
                <c:pt idx="3">
                  <c:v>5223</c:v>
                </c:pt>
                <c:pt idx="4">
                  <c:v>5816</c:v>
                </c:pt>
                <c:pt idx="5">
                  <c:v>5196</c:v>
                </c:pt>
                <c:pt idx="7">
                  <c:v>6128</c:v>
                </c:pt>
                <c:pt idx="10">
                  <c:v>4949</c:v>
                </c:pt>
                <c:pt idx="12">
                  <c:v>2241</c:v>
                </c:pt>
                <c:pt idx="13">
                  <c:v>4285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470</c:v>
                </c:pt>
                <c:pt idx="3">
                  <c:v>5230</c:v>
                </c:pt>
                <c:pt idx="4">
                  <c:v>5820</c:v>
                </c:pt>
                <c:pt idx="5">
                  <c:v>5200</c:v>
                </c:pt>
                <c:pt idx="6">
                  <c:v>1700</c:v>
                </c:pt>
                <c:pt idx="7">
                  <c:v>6130</c:v>
                </c:pt>
                <c:pt idx="8">
                  <c:v>387</c:v>
                </c:pt>
                <c:pt idx="9">
                  <c:v>1640</c:v>
                </c:pt>
                <c:pt idx="10">
                  <c:v>4950</c:v>
                </c:pt>
                <c:pt idx="11">
                  <c:v>1640</c:v>
                </c:pt>
                <c:pt idx="12">
                  <c:v>2250</c:v>
                </c:pt>
                <c:pt idx="13">
                  <c:v>4290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542144"/>
        <c:axId val="942855808"/>
      </c:lineChart>
      <c:catAx>
        <c:axId val="961542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2855808"/>
        <c:crosses val="autoZero"/>
        <c:auto val="1"/>
        <c:lblAlgn val="ctr"/>
        <c:lblOffset val="100"/>
        <c:noMultiLvlLbl val="0"/>
      </c:catAx>
      <c:valAx>
        <c:axId val="942855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1542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25% 0% 100% 58% 100% 0% 100% 0% 0% 100% 0% 54%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0.24991277041172366</c:v>
                </c:pt>
                <c:pt idx="2">
                  <c:v>0</c:v>
                </c:pt>
                <c:pt idx="3">
                  <c:v>0.99866156787762905</c:v>
                </c:pt>
                <c:pt idx="4">
                  <c:v>0.58293241695303555</c:v>
                </c:pt>
                <c:pt idx="5">
                  <c:v>0.99923076923076926</c:v>
                </c:pt>
                <c:pt idx="6">
                  <c:v>0</c:v>
                </c:pt>
                <c:pt idx="7">
                  <c:v>0.99967373572593798</c:v>
                </c:pt>
                <c:pt idx="8">
                  <c:v>0</c:v>
                </c:pt>
                <c:pt idx="9">
                  <c:v>0</c:v>
                </c:pt>
                <c:pt idx="10">
                  <c:v>0.9997979797979798</c:v>
                </c:pt>
                <c:pt idx="11">
                  <c:v>0</c:v>
                </c:pt>
                <c:pt idx="12">
                  <c:v>0.53949999999999998</c:v>
                </c:pt>
                <c:pt idx="13">
                  <c:v>0.95721639471639475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0.42179504231423137</c:v>
                </c:pt>
                <c:pt idx="1">
                  <c:v>0.42179504231423137</c:v>
                </c:pt>
                <c:pt idx="2">
                  <c:v>0.42179504231423137</c:v>
                </c:pt>
                <c:pt idx="3">
                  <c:v>0.42179504231423137</c:v>
                </c:pt>
                <c:pt idx="4">
                  <c:v>0.42179504231423137</c:v>
                </c:pt>
                <c:pt idx="5">
                  <c:v>0.42179504231423137</c:v>
                </c:pt>
                <c:pt idx="6">
                  <c:v>0.42179504231423137</c:v>
                </c:pt>
                <c:pt idx="7">
                  <c:v>0.42179504231423137</c:v>
                </c:pt>
                <c:pt idx="8">
                  <c:v>0.42179504231423137</c:v>
                </c:pt>
                <c:pt idx="9">
                  <c:v>0.42179504231423137</c:v>
                </c:pt>
                <c:pt idx="10">
                  <c:v>0.42179504231423137</c:v>
                </c:pt>
                <c:pt idx="11">
                  <c:v>0.42179504231423137</c:v>
                </c:pt>
                <c:pt idx="12">
                  <c:v>0.42179504231423137</c:v>
                </c:pt>
                <c:pt idx="13">
                  <c:v>0.42179504231423137</c:v>
                </c:pt>
                <c:pt idx="14">
                  <c:v>0.42179504231423137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543168"/>
        <c:axId val="943882816"/>
      </c:lineChart>
      <c:catAx>
        <c:axId val="96154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3882816"/>
        <c:crosses val="autoZero"/>
        <c:auto val="1"/>
        <c:lblAlgn val="ctr"/>
        <c:lblOffset val="100"/>
        <c:noMultiLvlLbl val="0"/>
      </c:catAx>
      <c:valAx>
        <c:axId val="943882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1543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14325</c:v>
                </c:pt>
                <c:pt idx="3">
                  <c:v>5223</c:v>
                </c:pt>
                <c:pt idx="4">
                  <c:v>5816</c:v>
                </c:pt>
                <c:pt idx="5">
                  <c:v>5196</c:v>
                </c:pt>
                <c:pt idx="7">
                  <c:v>6128</c:v>
                </c:pt>
                <c:pt idx="10">
                  <c:v>4949</c:v>
                </c:pt>
                <c:pt idx="12">
                  <c:v>2241</c:v>
                </c:pt>
                <c:pt idx="13">
                  <c:v>4285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470</c:v>
                </c:pt>
                <c:pt idx="3">
                  <c:v>5230</c:v>
                </c:pt>
                <c:pt idx="4">
                  <c:v>5820</c:v>
                </c:pt>
                <c:pt idx="5">
                  <c:v>5200</c:v>
                </c:pt>
                <c:pt idx="6">
                  <c:v>1700</c:v>
                </c:pt>
                <c:pt idx="7">
                  <c:v>6130</c:v>
                </c:pt>
                <c:pt idx="8">
                  <c:v>387</c:v>
                </c:pt>
                <c:pt idx="9">
                  <c:v>1640</c:v>
                </c:pt>
                <c:pt idx="10">
                  <c:v>4950</c:v>
                </c:pt>
                <c:pt idx="11">
                  <c:v>1640</c:v>
                </c:pt>
                <c:pt idx="12">
                  <c:v>2250</c:v>
                </c:pt>
                <c:pt idx="13">
                  <c:v>4290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606656"/>
        <c:axId val="943885120"/>
      </c:lineChart>
      <c:catAx>
        <c:axId val="9616066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3885120"/>
        <c:crosses val="autoZero"/>
        <c:auto val="1"/>
        <c:lblAlgn val="ctr"/>
        <c:lblOffset val="100"/>
        <c:noMultiLvlLbl val="0"/>
      </c:catAx>
      <c:valAx>
        <c:axId val="943885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1606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25% 0% 100% 58% 100% 0% 100% 0% 0% 100% 0% 54%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0.24991277041172366</c:v>
                </c:pt>
                <c:pt idx="2">
                  <c:v>0</c:v>
                </c:pt>
                <c:pt idx="3">
                  <c:v>0.99866156787762905</c:v>
                </c:pt>
                <c:pt idx="4">
                  <c:v>0.58293241695303555</c:v>
                </c:pt>
                <c:pt idx="5">
                  <c:v>0.99923076923076926</c:v>
                </c:pt>
                <c:pt idx="6">
                  <c:v>0</c:v>
                </c:pt>
                <c:pt idx="7">
                  <c:v>0.99967373572593798</c:v>
                </c:pt>
                <c:pt idx="8">
                  <c:v>0</c:v>
                </c:pt>
                <c:pt idx="9">
                  <c:v>0</c:v>
                </c:pt>
                <c:pt idx="10">
                  <c:v>0.9997979797979798</c:v>
                </c:pt>
                <c:pt idx="11">
                  <c:v>0</c:v>
                </c:pt>
                <c:pt idx="12">
                  <c:v>0.53949999999999998</c:v>
                </c:pt>
                <c:pt idx="13">
                  <c:v>0.95721639471639475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0.42179504231423137</c:v>
                </c:pt>
                <c:pt idx="1">
                  <c:v>0.42179504231423137</c:v>
                </c:pt>
                <c:pt idx="2">
                  <c:v>0.42179504231423137</c:v>
                </c:pt>
                <c:pt idx="3">
                  <c:v>0.42179504231423137</c:v>
                </c:pt>
                <c:pt idx="4">
                  <c:v>0.42179504231423137</c:v>
                </c:pt>
                <c:pt idx="5">
                  <c:v>0.42179504231423137</c:v>
                </c:pt>
                <c:pt idx="6">
                  <c:v>0.42179504231423137</c:v>
                </c:pt>
                <c:pt idx="7">
                  <c:v>0.42179504231423137</c:v>
                </c:pt>
                <c:pt idx="8">
                  <c:v>0.42179504231423137</c:v>
                </c:pt>
                <c:pt idx="9">
                  <c:v>0.42179504231423137</c:v>
                </c:pt>
                <c:pt idx="10">
                  <c:v>0.42179504231423137</c:v>
                </c:pt>
                <c:pt idx="11">
                  <c:v>0.42179504231423137</c:v>
                </c:pt>
                <c:pt idx="12">
                  <c:v>0.42179504231423137</c:v>
                </c:pt>
                <c:pt idx="13">
                  <c:v>0.42179504231423137</c:v>
                </c:pt>
                <c:pt idx="14">
                  <c:v>0.42179504231423137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607680"/>
        <c:axId val="943887424"/>
      </c:lineChart>
      <c:catAx>
        <c:axId val="96160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3887424"/>
        <c:crosses val="autoZero"/>
        <c:auto val="1"/>
        <c:lblAlgn val="ctr"/>
        <c:lblOffset val="100"/>
        <c:noMultiLvlLbl val="0"/>
      </c:catAx>
      <c:valAx>
        <c:axId val="9438874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160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1608192"/>
        <c:axId val="9439155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608192"/>
        <c:axId val="943915584"/>
      </c:lineChart>
      <c:catAx>
        <c:axId val="96160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943915584"/>
        <c:crosses val="autoZero"/>
        <c:auto val="1"/>
        <c:lblAlgn val="ctr"/>
        <c:lblOffset val="100"/>
        <c:noMultiLvlLbl val="0"/>
      </c:catAx>
      <c:valAx>
        <c:axId val="943915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16081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3">
                  <c:v>3579</c:v>
                </c:pt>
                <c:pt idx="4">
                  <c:v>6288</c:v>
                </c:pt>
                <c:pt idx="5">
                  <c:v>4992</c:v>
                </c:pt>
                <c:pt idx="7">
                  <c:v>4713</c:v>
                </c:pt>
                <c:pt idx="8">
                  <c:v>241</c:v>
                </c:pt>
                <c:pt idx="10">
                  <c:v>4735</c:v>
                </c:pt>
                <c:pt idx="11">
                  <c:v>2516</c:v>
                </c:pt>
                <c:pt idx="13">
                  <c:v>3898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470</c:v>
                </c:pt>
                <c:pt idx="3">
                  <c:v>3600</c:v>
                </c:pt>
                <c:pt idx="4">
                  <c:v>6290</c:v>
                </c:pt>
                <c:pt idx="5">
                  <c:v>5000</c:v>
                </c:pt>
                <c:pt idx="6">
                  <c:v>1700</c:v>
                </c:pt>
                <c:pt idx="7">
                  <c:v>4720</c:v>
                </c:pt>
                <c:pt idx="8">
                  <c:v>241</c:v>
                </c:pt>
                <c:pt idx="9">
                  <c:v>1640</c:v>
                </c:pt>
                <c:pt idx="10">
                  <c:v>4740</c:v>
                </c:pt>
                <c:pt idx="11">
                  <c:v>2520</c:v>
                </c:pt>
                <c:pt idx="12">
                  <c:v>2250</c:v>
                </c:pt>
                <c:pt idx="13">
                  <c:v>3900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599872"/>
        <c:axId val="943918464"/>
      </c:lineChart>
      <c:catAx>
        <c:axId val="9635998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3918464"/>
        <c:crosses val="autoZero"/>
        <c:auto val="1"/>
        <c:lblAlgn val="ctr"/>
        <c:lblOffset val="100"/>
        <c:noMultiLvlLbl val="0"/>
      </c:catAx>
      <c:valAx>
        <c:axId val="943918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3599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0% 75% 58% 100% 0% 87% 25% 0% 100% 58% 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0.74562499999999998</c:v>
                </c:pt>
                <c:pt idx="4">
                  <c:v>0.58314785373608902</c:v>
                </c:pt>
                <c:pt idx="5">
                  <c:v>0.99839999999999995</c:v>
                </c:pt>
                <c:pt idx="6">
                  <c:v>0</c:v>
                </c:pt>
                <c:pt idx="7">
                  <c:v>0.87370233050847457</c:v>
                </c:pt>
                <c:pt idx="8">
                  <c:v>0.25</c:v>
                </c:pt>
                <c:pt idx="9">
                  <c:v>0</c:v>
                </c:pt>
                <c:pt idx="10">
                  <c:v>0.99894514767932485</c:v>
                </c:pt>
                <c:pt idx="11">
                  <c:v>0.58240740740740748</c:v>
                </c:pt>
                <c:pt idx="12">
                  <c:v>0</c:v>
                </c:pt>
                <c:pt idx="13">
                  <c:v>0.83290598290598294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0.39100891481581856</c:v>
                </c:pt>
                <c:pt idx="1">
                  <c:v>0.39100891481581856</c:v>
                </c:pt>
                <c:pt idx="2">
                  <c:v>0.39100891481581856</c:v>
                </c:pt>
                <c:pt idx="3">
                  <c:v>0.39100891481581856</c:v>
                </c:pt>
                <c:pt idx="4">
                  <c:v>0.39100891481581856</c:v>
                </c:pt>
                <c:pt idx="5">
                  <c:v>0.39100891481581856</c:v>
                </c:pt>
                <c:pt idx="6">
                  <c:v>0.39100891481581856</c:v>
                </c:pt>
                <c:pt idx="7">
                  <c:v>0.39100891481581856</c:v>
                </c:pt>
                <c:pt idx="8">
                  <c:v>0.39100891481581856</c:v>
                </c:pt>
                <c:pt idx="9">
                  <c:v>0.39100891481581856</c:v>
                </c:pt>
                <c:pt idx="10">
                  <c:v>0.39100891481581856</c:v>
                </c:pt>
                <c:pt idx="11">
                  <c:v>0.39100891481581856</c:v>
                </c:pt>
                <c:pt idx="12">
                  <c:v>0.39100891481581856</c:v>
                </c:pt>
                <c:pt idx="13">
                  <c:v>0.39100891481581856</c:v>
                </c:pt>
                <c:pt idx="14">
                  <c:v>0.39100891481581856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609088"/>
        <c:axId val="943920768"/>
      </c:lineChart>
      <c:catAx>
        <c:axId val="96360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3920768"/>
        <c:crosses val="autoZero"/>
        <c:auto val="1"/>
        <c:lblAlgn val="ctr"/>
        <c:lblOffset val="100"/>
        <c:noMultiLvlLbl val="0"/>
      </c:catAx>
      <c:valAx>
        <c:axId val="9439207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36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3">
                  <c:v>3579</c:v>
                </c:pt>
                <c:pt idx="4">
                  <c:v>6288</c:v>
                </c:pt>
                <c:pt idx="5">
                  <c:v>4992</c:v>
                </c:pt>
                <c:pt idx="7">
                  <c:v>4713</c:v>
                </c:pt>
                <c:pt idx="8">
                  <c:v>241</c:v>
                </c:pt>
                <c:pt idx="10">
                  <c:v>4735</c:v>
                </c:pt>
                <c:pt idx="11">
                  <c:v>2516</c:v>
                </c:pt>
                <c:pt idx="13">
                  <c:v>3898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470</c:v>
                </c:pt>
                <c:pt idx="3">
                  <c:v>3600</c:v>
                </c:pt>
                <c:pt idx="4">
                  <c:v>6290</c:v>
                </c:pt>
                <c:pt idx="5">
                  <c:v>5000</c:v>
                </c:pt>
                <c:pt idx="6">
                  <c:v>1700</c:v>
                </c:pt>
                <c:pt idx="7">
                  <c:v>4720</c:v>
                </c:pt>
                <c:pt idx="8">
                  <c:v>241</c:v>
                </c:pt>
                <c:pt idx="9">
                  <c:v>1640</c:v>
                </c:pt>
                <c:pt idx="10">
                  <c:v>4740</c:v>
                </c:pt>
                <c:pt idx="11">
                  <c:v>2520</c:v>
                </c:pt>
                <c:pt idx="12">
                  <c:v>2250</c:v>
                </c:pt>
                <c:pt idx="13">
                  <c:v>3900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610112"/>
        <c:axId val="944088192"/>
      </c:lineChart>
      <c:catAx>
        <c:axId val="9636101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088192"/>
        <c:crosses val="autoZero"/>
        <c:auto val="1"/>
        <c:lblAlgn val="ctr"/>
        <c:lblOffset val="100"/>
        <c:noMultiLvlLbl val="0"/>
      </c:catAx>
      <c:valAx>
        <c:axId val="9440881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361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0% 75% 58% 100% 0% 87% 25% 0% 100% 58% 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0.74562499999999998</c:v>
                </c:pt>
                <c:pt idx="4">
                  <c:v>0.58314785373608902</c:v>
                </c:pt>
                <c:pt idx="5">
                  <c:v>0.99839999999999995</c:v>
                </c:pt>
                <c:pt idx="6">
                  <c:v>0</c:v>
                </c:pt>
                <c:pt idx="7">
                  <c:v>0.87370233050847457</c:v>
                </c:pt>
                <c:pt idx="8">
                  <c:v>0.25</c:v>
                </c:pt>
                <c:pt idx="9">
                  <c:v>0</c:v>
                </c:pt>
                <c:pt idx="10">
                  <c:v>0.99894514767932485</c:v>
                </c:pt>
                <c:pt idx="11">
                  <c:v>0.58240740740740748</c:v>
                </c:pt>
                <c:pt idx="12">
                  <c:v>0</c:v>
                </c:pt>
                <c:pt idx="13">
                  <c:v>0.83290598290598294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BODY/LID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0.39100891481581856</c:v>
                </c:pt>
                <c:pt idx="1">
                  <c:v>0.39100891481581856</c:v>
                </c:pt>
                <c:pt idx="2">
                  <c:v>0.39100891481581856</c:v>
                </c:pt>
                <c:pt idx="3">
                  <c:v>0.39100891481581856</c:v>
                </c:pt>
                <c:pt idx="4">
                  <c:v>0.39100891481581856</c:v>
                </c:pt>
                <c:pt idx="5">
                  <c:v>0.39100891481581856</c:v>
                </c:pt>
                <c:pt idx="6">
                  <c:v>0.39100891481581856</c:v>
                </c:pt>
                <c:pt idx="7">
                  <c:v>0.39100891481581856</c:v>
                </c:pt>
                <c:pt idx="8">
                  <c:v>0.39100891481581856</c:v>
                </c:pt>
                <c:pt idx="9">
                  <c:v>0.39100891481581856</c:v>
                </c:pt>
                <c:pt idx="10">
                  <c:v>0.39100891481581856</c:v>
                </c:pt>
                <c:pt idx="11">
                  <c:v>0.39100891481581856</c:v>
                </c:pt>
                <c:pt idx="12">
                  <c:v>0.39100891481581856</c:v>
                </c:pt>
                <c:pt idx="13">
                  <c:v>0.39100891481581856</c:v>
                </c:pt>
                <c:pt idx="14">
                  <c:v>0.39100891481581856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610624"/>
        <c:axId val="944091072"/>
      </c:lineChart>
      <c:catAx>
        <c:axId val="96361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091072"/>
        <c:crosses val="autoZero"/>
        <c:auto val="1"/>
        <c:lblAlgn val="ctr"/>
        <c:lblOffset val="100"/>
        <c:noMultiLvlLbl val="0"/>
      </c:catAx>
      <c:valAx>
        <c:axId val="9440910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361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611136"/>
        <c:axId val="9440939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611136"/>
        <c:axId val="944093952"/>
      </c:lineChart>
      <c:catAx>
        <c:axId val="96361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944093952"/>
        <c:crosses val="autoZero"/>
        <c:auto val="1"/>
        <c:lblAlgn val="ctr"/>
        <c:lblOffset val="100"/>
        <c:noMultiLvlLbl val="0"/>
      </c:catAx>
      <c:valAx>
        <c:axId val="944093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36111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3338</c:v>
                </c:pt>
                <c:pt idx="3">
                  <c:v>5678</c:v>
                </c:pt>
                <c:pt idx="4">
                  <c:v>3800</c:v>
                </c:pt>
                <c:pt idx="5">
                  <c:v>2453</c:v>
                </c:pt>
                <c:pt idx="7">
                  <c:v>6139</c:v>
                </c:pt>
                <c:pt idx="10">
                  <c:v>4054</c:v>
                </c:pt>
                <c:pt idx="13">
                  <c:v>4342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3340</c:v>
                </c:pt>
                <c:pt idx="3">
                  <c:v>5680</c:v>
                </c:pt>
                <c:pt idx="4">
                  <c:v>3800</c:v>
                </c:pt>
                <c:pt idx="5">
                  <c:v>2460</c:v>
                </c:pt>
                <c:pt idx="6">
                  <c:v>1700</c:v>
                </c:pt>
                <c:pt idx="7">
                  <c:v>6140</c:v>
                </c:pt>
                <c:pt idx="8">
                  <c:v>241</c:v>
                </c:pt>
                <c:pt idx="9">
                  <c:v>1640</c:v>
                </c:pt>
                <c:pt idx="10">
                  <c:v>4060</c:v>
                </c:pt>
                <c:pt idx="11">
                  <c:v>2520</c:v>
                </c:pt>
                <c:pt idx="12">
                  <c:v>2250</c:v>
                </c:pt>
                <c:pt idx="13">
                  <c:v>4350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62368"/>
        <c:axId val="944146112"/>
      </c:lineChart>
      <c:catAx>
        <c:axId val="963962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146112"/>
        <c:crosses val="autoZero"/>
        <c:auto val="1"/>
        <c:lblAlgn val="ctr"/>
        <c:lblOffset val="100"/>
        <c:noMultiLvlLbl val="0"/>
      </c:catAx>
      <c:valAx>
        <c:axId val="9441461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3962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79% 100% 79% 58% 0% 100% 0% 0% 96% 0% 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0.79119261477045899</c:v>
                </c:pt>
                <c:pt idx="3">
                  <c:v>0.99964788732394361</c:v>
                </c:pt>
                <c:pt idx="4">
                  <c:v>0.79166666666666663</c:v>
                </c:pt>
                <c:pt idx="5">
                  <c:v>0.58167344173441737</c:v>
                </c:pt>
                <c:pt idx="6">
                  <c:v>0</c:v>
                </c:pt>
                <c:pt idx="7">
                  <c:v>0.99983713355048864</c:v>
                </c:pt>
                <c:pt idx="8">
                  <c:v>0</c:v>
                </c:pt>
                <c:pt idx="9">
                  <c:v>0</c:v>
                </c:pt>
                <c:pt idx="10">
                  <c:v>0.95691707717569796</c:v>
                </c:pt>
                <c:pt idx="11">
                  <c:v>0</c:v>
                </c:pt>
                <c:pt idx="12">
                  <c:v>0</c:v>
                </c:pt>
                <c:pt idx="13">
                  <c:v>0.9981609195402299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0.40793971605079354</c:v>
                </c:pt>
                <c:pt idx="1">
                  <c:v>0.40793971605079354</c:v>
                </c:pt>
                <c:pt idx="2">
                  <c:v>0.40793971605079354</c:v>
                </c:pt>
                <c:pt idx="3">
                  <c:v>0.40793971605079354</c:v>
                </c:pt>
                <c:pt idx="4">
                  <c:v>0.40793971605079354</c:v>
                </c:pt>
                <c:pt idx="5">
                  <c:v>0.40793971605079354</c:v>
                </c:pt>
                <c:pt idx="6">
                  <c:v>0.40793971605079354</c:v>
                </c:pt>
                <c:pt idx="7">
                  <c:v>0.40793971605079354</c:v>
                </c:pt>
                <c:pt idx="8">
                  <c:v>0.40793971605079354</c:v>
                </c:pt>
                <c:pt idx="9">
                  <c:v>0.40793971605079354</c:v>
                </c:pt>
                <c:pt idx="10">
                  <c:v>0.40793971605079354</c:v>
                </c:pt>
                <c:pt idx="11">
                  <c:v>0.40793971605079354</c:v>
                </c:pt>
                <c:pt idx="12">
                  <c:v>0.40793971605079354</c:v>
                </c:pt>
                <c:pt idx="13">
                  <c:v>0.40793971605079354</c:v>
                </c:pt>
                <c:pt idx="14">
                  <c:v>0.40793971605079354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64416"/>
        <c:axId val="944148416"/>
      </c:lineChart>
      <c:catAx>
        <c:axId val="96396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148416"/>
        <c:crosses val="autoZero"/>
        <c:auto val="1"/>
        <c:lblAlgn val="ctr"/>
        <c:lblOffset val="100"/>
        <c:noMultiLvlLbl val="0"/>
      </c:catAx>
      <c:valAx>
        <c:axId val="944148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3964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3338</c:v>
                </c:pt>
                <c:pt idx="3">
                  <c:v>5678</c:v>
                </c:pt>
                <c:pt idx="4">
                  <c:v>3800</c:v>
                </c:pt>
                <c:pt idx="5">
                  <c:v>2453</c:v>
                </c:pt>
                <c:pt idx="7">
                  <c:v>6139</c:v>
                </c:pt>
                <c:pt idx="10">
                  <c:v>4054</c:v>
                </c:pt>
                <c:pt idx="13">
                  <c:v>4342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14330</c:v>
                </c:pt>
                <c:pt idx="2">
                  <c:v>3340</c:v>
                </c:pt>
                <c:pt idx="3">
                  <c:v>5680</c:v>
                </c:pt>
                <c:pt idx="4">
                  <c:v>3800</c:v>
                </c:pt>
                <c:pt idx="5">
                  <c:v>2460</c:v>
                </c:pt>
                <c:pt idx="6">
                  <c:v>1700</c:v>
                </c:pt>
                <c:pt idx="7">
                  <c:v>6140</c:v>
                </c:pt>
                <c:pt idx="8">
                  <c:v>241</c:v>
                </c:pt>
                <c:pt idx="9">
                  <c:v>1640</c:v>
                </c:pt>
                <c:pt idx="10">
                  <c:v>4060</c:v>
                </c:pt>
                <c:pt idx="11">
                  <c:v>2520</c:v>
                </c:pt>
                <c:pt idx="12">
                  <c:v>2250</c:v>
                </c:pt>
                <c:pt idx="13">
                  <c:v>4350</c:v>
                </c:pt>
                <c:pt idx="14">
                  <c:v>33300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14080"/>
        <c:axId val="944316416"/>
      </c:lineChart>
      <c:catAx>
        <c:axId val="964014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316416"/>
        <c:crosses val="autoZero"/>
        <c:auto val="1"/>
        <c:lblAlgn val="ctr"/>
        <c:lblOffset val="100"/>
        <c:noMultiLvlLbl val="0"/>
      </c:catAx>
      <c:valAx>
        <c:axId val="9443164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401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79% 100% 79% 58% 0% 100% 0% 0% 96% 0% 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0.79119261477045899</c:v>
                </c:pt>
                <c:pt idx="3">
                  <c:v>0.99964788732394361</c:v>
                </c:pt>
                <c:pt idx="4">
                  <c:v>0.79166666666666663</c:v>
                </c:pt>
                <c:pt idx="5">
                  <c:v>0.58167344173441737</c:v>
                </c:pt>
                <c:pt idx="6">
                  <c:v>0</c:v>
                </c:pt>
                <c:pt idx="7">
                  <c:v>0.99983713355048864</c:v>
                </c:pt>
                <c:pt idx="8">
                  <c:v>0</c:v>
                </c:pt>
                <c:pt idx="9">
                  <c:v>0</c:v>
                </c:pt>
                <c:pt idx="10">
                  <c:v>0.95691707717569796</c:v>
                </c:pt>
                <c:pt idx="11">
                  <c:v>0</c:v>
                </c:pt>
                <c:pt idx="12">
                  <c:v>0</c:v>
                </c:pt>
                <c:pt idx="13">
                  <c:v>0.9981609195402299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LOWER PLATE</c:v>
                </c:pt>
                <c:pt idx="1">
                  <c:v>SHAFT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0.40793971605079354</c:v>
                </c:pt>
                <c:pt idx="1">
                  <c:v>0.40793971605079354</c:v>
                </c:pt>
                <c:pt idx="2">
                  <c:v>0.40793971605079354</c:v>
                </c:pt>
                <c:pt idx="3">
                  <c:v>0.40793971605079354</c:v>
                </c:pt>
                <c:pt idx="4">
                  <c:v>0.40793971605079354</c:v>
                </c:pt>
                <c:pt idx="5">
                  <c:v>0.40793971605079354</c:v>
                </c:pt>
                <c:pt idx="6">
                  <c:v>0.40793971605079354</c:v>
                </c:pt>
                <c:pt idx="7">
                  <c:v>0.40793971605079354</c:v>
                </c:pt>
                <c:pt idx="8">
                  <c:v>0.40793971605079354</c:v>
                </c:pt>
                <c:pt idx="9">
                  <c:v>0.40793971605079354</c:v>
                </c:pt>
                <c:pt idx="10">
                  <c:v>0.40793971605079354</c:v>
                </c:pt>
                <c:pt idx="11">
                  <c:v>0.40793971605079354</c:v>
                </c:pt>
                <c:pt idx="12">
                  <c:v>0.40793971605079354</c:v>
                </c:pt>
                <c:pt idx="13">
                  <c:v>0.40793971605079354</c:v>
                </c:pt>
                <c:pt idx="14">
                  <c:v>0.40793971605079354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15616"/>
        <c:axId val="944319872"/>
      </c:lineChart>
      <c:catAx>
        <c:axId val="9640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319872"/>
        <c:crosses val="autoZero"/>
        <c:auto val="1"/>
        <c:lblAlgn val="ctr"/>
        <c:lblOffset val="100"/>
        <c:noMultiLvlLbl val="0"/>
      </c:catAx>
      <c:valAx>
        <c:axId val="9443198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4015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016128"/>
        <c:axId val="944322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16128"/>
        <c:axId val="944322752"/>
      </c:lineChart>
      <c:catAx>
        <c:axId val="96401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944322752"/>
        <c:crosses val="autoZero"/>
        <c:auto val="1"/>
        <c:lblAlgn val="ctr"/>
        <c:lblOffset val="100"/>
        <c:noMultiLvlLbl val="0"/>
      </c:catAx>
      <c:valAx>
        <c:axId val="94432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4016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5408</c:v>
                </c:pt>
                <c:pt idx="3">
                  <c:v>5156</c:v>
                </c:pt>
                <c:pt idx="4">
                  <c:v>8500</c:v>
                </c:pt>
                <c:pt idx="5">
                  <c:v>5311</c:v>
                </c:pt>
                <c:pt idx="6">
                  <c:v>2218</c:v>
                </c:pt>
                <c:pt idx="7">
                  <c:v>5868</c:v>
                </c:pt>
                <c:pt idx="10">
                  <c:v>4397</c:v>
                </c:pt>
                <c:pt idx="12">
                  <c:v>10802</c:v>
                </c:pt>
                <c:pt idx="13">
                  <c:v>5068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2">
                  <c:v>5410</c:v>
                </c:pt>
                <c:pt idx="3">
                  <c:v>5160</c:v>
                </c:pt>
                <c:pt idx="4">
                  <c:v>8500</c:v>
                </c:pt>
                <c:pt idx="5">
                  <c:v>5320</c:v>
                </c:pt>
                <c:pt idx="6">
                  <c:v>2220</c:v>
                </c:pt>
                <c:pt idx="7">
                  <c:v>5870</c:v>
                </c:pt>
                <c:pt idx="10">
                  <c:v>4400</c:v>
                </c:pt>
                <c:pt idx="12">
                  <c:v>10810</c:v>
                </c:pt>
                <c:pt idx="13">
                  <c:v>5070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16960"/>
        <c:axId val="944719552"/>
      </c:lineChart>
      <c:catAx>
        <c:axId val="9654169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719552"/>
        <c:crosses val="autoZero"/>
        <c:auto val="1"/>
        <c:lblAlgn val="ctr"/>
        <c:lblOffset val="100"/>
        <c:noMultiLvlLbl val="0"/>
      </c:catAx>
      <c:valAx>
        <c:axId val="9447195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5416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0% 100% 100% 88% 100% 58% 100% 0% 0% 100% 0% 96%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0.99963031423290205</c:v>
                </c:pt>
                <c:pt idx="3">
                  <c:v>0.99922480620155041</c:v>
                </c:pt>
                <c:pt idx="4">
                  <c:v>0.875</c:v>
                </c:pt>
                <c:pt idx="5">
                  <c:v>0.9983082706766917</c:v>
                </c:pt>
                <c:pt idx="6">
                  <c:v>0.58280780780780783</c:v>
                </c:pt>
                <c:pt idx="7">
                  <c:v>0.99965928449744468</c:v>
                </c:pt>
                <c:pt idx="8">
                  <c:v>0</c:v>
                </c:pt>
                <c:pt idx="9">
                  <c:v>0</c:v>
                </c:pt>
                <c:pt idx="10">
                  <c:v>0.99931818181818177</c:v>
                </c:pt>
                <c:pt idx="11">
                  <c:v>0</c:v>
                </c:pt>
                <c:pt idx="12">
                  <c:v>0.9576241134751774</c:v>
                </c:pt>
                <c:pt idx="13">
                  <c:v>0.99960552268244574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0.56074522009281347</c:v>
                </c:pt>
                <c:pt idx="1">
                  <c:v>0.56074522009281347</c:v>
                </c:pt>
                <c:pt idx="2">
                  <c:v>0.56074522009281347</c:v>
                </c:pt>
                <c:pt idx="3">
                  <c:v>0.56074522009281347</c:v>
                </c:pt>
                <c:pt idx="4">
                  <c:v>0.56074522009281347</c:v>
                </c:pt>
                <c:pt idx="5">
                  <c:v>0.56074522009281347</c:v>
                </c:pt>
                <c:pt idx="6">
                  <c:v>0.56074522009281347</c:v>
                </c:pt>
                <c:pt idx="7">
                  <c:v>0.56074522009281347</c:v>
                </c:pt>
                <c:pt idx="8">
                  <c:v>0.56074522009281347</c:v>
                </c:pt>
                <c:pt idx="9">
                  <c:v>0.56074522009281347</c:v>
                </c:pt>
                <c:pt idx="10">
                  <c:v>0.56074522009281347</c:v>
                </c:pt>
                <c:pt idx="11">
                  <c:v>0.56074522009281347</c:v>
                </c:pt>
                <c:pt idx="12">
                  <c:v>0.56074522009281347</c:v>
                </c:pt>
                <c:pt idx="13">
                  <c:v>0.56074522009281347</c:v>
                </c:pt>
                <c:pt idx="14">
                  <c:v>0.56074522009281347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18496"/>
        <c:axId val="944723008"/>
      </c:lineChart>
      <c:catAx>
        <c:axId val="96541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723008"/>
        <c:crosses val="autoZero"/>
        <c:auto val="1"/>
        <c:lblAlgn val="ctr"/>
        <c:lblOffset val="100"/>
        <c:noMultiLvlLbl val="0"/>
      </c:catAx>
      <c:valAx>
        <c:axId val="944723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541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5408</c:v>
                </c:pt>
                <c:pt idx="3">
                  <c:v>5156</c:v>
                </c:pt>
                <c:pt idx="4">
                  <c:v>8500</c:v>
                </c:pt>
                <c:pt idx="5">
                  <c:v>5311</c:v>
                </c:pt>
                <c:pt idx="6">
                  <c:v>2218</c:v>
                </c:pt>
                <c:pt idx="7">
                  <c:v>5868</c:v>
                </c:pt>
                <c:pt idx="10">
                  <c:v>4397</c:v>
                </c:pt>
                <c:pt idx="12">
                  <c:v>10802</c:v>
                </c:pt>
                <c:pt idx="13">
                  <c:v>5068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2">
                  <c:v>5410</c:v>
                </c:pt>
                <c:pt idx="3">
                  <c:v>5160</c:v>
                </c:pt>
                <c:pt idx="4">
                  <c:v>8500</c:v>
                </c:pt>
                <c:pt idx="5">
                  <c:v>5320</c:v>
                </c:pt>
                <c:pt idx="6">
                  <c:v>2220</c:v>
                </c:pt>
                <c:pt idx="7">
                  <c:v>5870</c:v>
                </c:pt>
                <c:pt idx="10">
                  <c:v>4400</c:v>
                </c:pt>
                <c:pt idx="12">
                  <c:v>10810</c:v>
                </c:pt>
                <c:pt idx="13">
                  <c:v>5070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51776"/>
        <c:axId val="944725312"/>
      </c:lineChart>
      <c:catAx>
        <c:axId val="965451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725312"/>
        <c:crosses val="autoZero"/>
        <c:auto val="1"/>
        <c:lblAlgn val="ctr"/>
        <c:lblOffset val="100"/>
        <c:noMultiLvlLbl val="0"/>
      </c:catAx>
      <c:valAx>
        <c:axId val="944725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545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0% 100% 100% 88% 100% 58% 100% 0% 0% 100% 0% 96%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0.99963031423290205</c:v>
                </c:pt>
                <c:pt idx="3">
                  <c:v>0.99922480620155041</c:v>
                </c:pt>
                <c:pt idx="4">
                  <c:v>0.875</c:v>
                </c:pt>
                <c:pt idx="5">
                  <c:v>0.9983082706766917</c:v>
                </c:pt>
                <c:pt idx="6">
                  <c:v>0.58280780780780783</c:v>
                </c:pt>
                <c:pt idx="7">
                  <c:v>0.99965928449744468</c:v>
                </c:pt>
                <c:pt idx="8">
                  <c:v>0</c:v>
                </c:pt>
                <c:pt idx="9">
                  <c:v>0</c:v>
                </c:pt>
                <c:pt idx="10">
                  <c:v>0.99931818181818177</c:v>
                </c:pt>
                <c:pt idx="11">
                  <c:v>0</c:v>
                </c:pt>
                <c:pt idx="12">
                  <c:v>0.9576241134751774</c:v>
                </c:pt>
                <c:pt idx="13">
                  <c:v>0.99960552268244574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10">
                  <c:v>BODY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0.56074522009281347</c:v>
                </c:pt>
                <c:pt idx="1">
                  <c:v>0.56074522009281347</c:v>
                </c:pt>
                <c:pt idx="2">
                  <c:v>0.56074522009281347</c:v>
                </c:pt>
                <c:pt idx="3">
                  <c:v>0.56074522009281347</c:v>
                </c:pt>
                <c:pt idx="4">
                  <c:v>0.56074522009281347</c:v>
                </c:pt>
                <c:pt idx="5">
                  <c:v>0.56074522009281347</c:v>
                </c:pt>
                <c:pt idx="6">
                  <c:v>0.56074522009281347</c:v>
                </c:pt>
                <c:pt idx="7">
                  <c:v>0.56074522009281347</c:v>
                </c:pt>
                <c:pt idx="8">
                  <c:v>0.56074522009281347</c:v>
                </c:pt>
                <c:pt idx="9">
                  <c:v>0.56074522009281347</c:v>
                </c:pt>
                <c:pt idx="10">
                  <c:v>0.56074522009281347</c:v>
                </c:pt>
                <c:pt idx="11">
                  <c:v>0.56074522009281347</c:v>
                </c:pt>
                <c:pt idx="12">
                  <c:v>0.56074522009281347</c:v>
                </c:pt>
                <c:pt idx="13">
                  <c:v>0.56074522009281347</c:v>
                </c:pt>
                <c:pt idx="14">
                  <c:v>0.56074522009281347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52800"/>
        <c:axId val="944735360"/>
      </c:lineChart>
      <c:catAx>
        <c:axId val="96545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735360"/>
        <c:crosses val="autoZero"/>
        <c:auto val="1"/>
        <c:lblAlgn val="ctr"/>
        <c:lblOffset val="100"/>
        <c:noMultiLvlLbl val="0"/>
      </c:catAx>
      <c:valAx>
        <c:axId val="9447353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5452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016640"/>
        <c:axId val="9447382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16640"/>
        <c:axId val="944738240"/>
      </c:lineChart>
      <c:catAx>
        <c:axId val="9640166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4738240"/>
        <c:crosses val="autoZero"/>
        <c:auto val="1"/>
        <c:lblAlgn val="ctr"/>
        <c:lblOffset val="100"/>
        <c:noMultiLvlLbl val="0"/>
      </c:catAx>
      <c:valAx>
        <c:axId val="944738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40166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3735</c:v>
                </c:pt>
                <c:pt idx="4">
                  <c:v>8684</c:v>
                </c:pt>
                <c:pt idx="7">
                  <c:v>2967</c:v>
                </c:pt>
                <c:pt idx="9">
                  <c:v>20640</c:v>
                </c:pt>
                <c:pt idx="10">
                  <c:v>5007</c:v>
                </c:pt>
                <c:pt idx="12">
                  <c:v>7342</c:v>
                </c:pt>
                <c:pt idx="13">
                  <c:v>4606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2">
                  <c:v>3740</c:v>
                </c:pt>
                <c:pt idx="3">
                  <c:v>5160</c:v>
                </c:pt>
                <c:pt idx="4">
                  <c:v>8690</c:v>
                </c:pt>
                <c:pt idx="5">
                  <c:v>5320</c:v>
                </c:pt>
                <c:pt idx="6">
                  <c:v>2220</c:v>
                </c:pt>
                <c:pt idx="7">
                  <c:v>2970</c:v>
                </c:pt>
                <c:pt idx="9">
                  <c:v>20640</c:v>
                </c:pt>
                <c:pt idx="10">
                  <c:v>5010</c:v>
                </c:pt>
                <c:pt idx="12">
                  <c:v>7350</c:v>
                </c:pt>
                <c:pt idx="13">
                  <c:v>4610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28704"/>
        <c:axId val="944741696"/>
      </c:lineChart>
      <c:catAx>
        <c:axId val="9667287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741696"/>
        <c:crosses val="autoZero"/>
        <c:auto val="1"/>
        <c:lblAlgn val="ctr"/>
        <c:lblOffset val="100"/>
        <c:noMultiLvlLbl val="0"/>
      </c:catAx>
      <c:valAx>
        <c:axId val="9447416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672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79% 0% 92% 0% 0% 75% 0% 58% 96% 0% 83%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0.7906082887700534</c:v>
                </c:pt>
                <c:pt idx="3">
                  <c:v>0</c:v>
                </c:pt>
                <c:pt idx="4">
                  <c:v>0.91603375527426156</c:v>
                </c:pt>
                <c:pt idx="5">
                  <c:v>0</c:v>
                </c:pt>
                <c:pt idx="6">
                  <c:v>0</c:v>
                </c:pt>
                <c:pt idx="7">
                  <c:v>0.74924242424242427</c:v>
                </c:pt>
                <c:pt idx="8">
                  <c:v>0</c:v>
                </c:pt>
                <c:pt idx="9">
                  <c:v>0.58333333333333337</c:v>
                </c:pt>
                <c:pt idx="10">
                  <c:v>0.95775948103792419</c:v>
                </c:pt>
                <c:pt idx="11">
                  <c:v>0</c:v>
                </c:pt>
                <c:pt idx="12">
                  <c:v>0.83242630385487526</c:v>
                </c:pt>
                <c:pt idx="13">
                  <c:v>0.95750180766449755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0.38579369294515797</c:v>
                </c:pt>
                <c:pt idx="1">
                  <c:v>0.38579369294515797</c:v>
                </c:pt>
                <c:pt idx="2">
                  <c:v>0.38579369294515797</c:v>
                </c:pt>
                <c:pt idx="3">
                  <c:v>0.38579369294515797</c:v>
                </c:pt>
                <c:pt idx="4">
                  <c:v>0.38579369294515797</c:v>
                </c:pt>
                <c:pt idx="5">
                  <c:v>0.38579369294515797</c:v>
                </c:pt>
                <c:pt idx="6">
                  <c:v>0.38579369294515797</c:v>
                </c:pt>
                <c:pt idx="7">
                  <c:v>0.38579369294515797</c:v>
                </c:pt>
                <c:pt idx="8">
                  <c:v>0.38579369294515797</c:v>
                </c:pt>
                <c:pt idx="9">
                  <c:v>0.38579369294515797</c:v>
                </c:pt>
                <c:pt idx="10">
                  <c:v>0.38579369294515797</c:v>
                </c:pt>
                <c:pt idx="11">
                  <c:v>0.38579369294515797</c:v>
                </c:pt>
                <c:pt idx="12">
                  <c:v>0.38579369294515797</c:v>
                </c:pt>
                <c:pt idx="13">
                  <c:v>0.38579369294515797</c:v>
                </c:pt>
                <c:pt idx="14">
                  <c:v>0.38579369294515797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38432"/>
        <c:axId val="944924352"/>
      </c:lineChart>
      <c:catAx>
        <c:axId val="96673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924352"/>
        <c:crosses val="autoZero"/>
        <c:auto val="1"/>
        <c:lblAlgn val="ctr"/>
        <c:lblOffset val="100"/>
        <c:noMultiLvlLbl val="0"/>
      </c:catAx>
      <c:valAx>
        <c:axId val="944924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673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3735</c:v>
                </c:pt>
                <c:pt idx="4">
                  <c:v>8684</c:v>
                </c:pt>
                <c:pt idx="7">
                  <c:v>2967</c:v>
                </c:pt>
                <c:pt idx="9">
                  <c:v>20640</c:v>
                </c:pt>
                <c:pt idx="10">
                  <c:v>5007</c:v>
                </c:pt>
                <c:pt idx="12">
                  <c:v>7342</c:v>
                </c:pt>
                <c:pt idx="13">
                  <c:v>4606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2">
                  <c:v>3740</c:v>
                </c:pt>
                <c:pt idx="3">
                  <c:v>5160</c:v>
                </c:pt>
                <c:pt idx="4">
                  <c:v>8690</c:v>
                </c:pt>
                <c:pt idx="5">
                  <c:v>5320</c:v>
                </c:pt>
                <c:pt idx="6">
                  <c:v>2220</c:v>
                </c:pt>
                <c:pt idx="7">
                  <c:v>2970</c:v>
                </c:pt>
                <c:pt idx="9">
                  <c:v>20640</c:v>
                </c:pt>
                <c:pt idx="10">
                  <c:v>5010</c:v>
                </c:pt>
                <c:pt idx="12">
                  <c:v>7350</c:v>
                </c:pt>
                <c:pt idx="13">
                  <c:v>4610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38944"/>
        <c:axId val="944927808"/>
      </c:lineChart>
      <c:catAx>
        <c:axId val="966738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4927808"/>
        <c:crosses val="autoZero"/>
        <c:auto val="1"/>
        <c:lblAlgn val="ctr"/>
        <c:lblOffset val="100"/>
        <c:noMultiLvlLbl val="0"/>
      </c:catAx>
      <c:valAx>
        <c:axId val="944927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6738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79% 0% 92% 0% 0% 75% 0% 58% 96% 0% 83%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0.7906082887700534</c:v>
                </c:pt>
                <c:pt idx="3">
                  <c:v>0</c:v>
                </c:pt>
                <c:pt idx="4">
                  <c:v>0.91603375527426156</c:v>
                </c:pt>
                <c:pt idx="5">
                  <c:v>0</c:v>
                </c:pt>
                <c:pt idx="6">
                  <c:v>0</c:v>
                </c:pt>
                <c:pt idx="7">
                  <c:v>0.74924242424242427</c:v>
                </c:pt>
                <c:pt idx="8">
                  <c:v>0</c:v>
                </c:pt>
                <c:pt idx="9">
                  <c:v>0.58333333333333337</c:v>
                </c:pt>
                <c:pt idx="10">
                  <c:v>0.95775948103792419</c:v>
                </c:pt>
                <c:pt idx="11">
                  <c:v>0</c:v>
                </c:pt>
                <c:pt idx="12">
                  <c:v>0.83242630385487526</c:v>
                </c:pt>
                <c:pt idx="13">
                  <c:v>0.95750180766449755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0.38579369294515797</c:v>
                </c:pt>
                <c:pt idx="1">
                  <c:v>0.38579369294515797</c:v>
                </c:pt>
                <c:pt idx="2">
                  <c:v>0.38579369294515797</c:v>
                </c:pt>
                <c:pt idx="3">
                  <c:v>0.38579369294515797</c:v>
                </c:pt>
                <c:pt idx="4">
                  <c:v>0.38579369294515797</c:v>
                </c:pt>
                <c:pt idx="5">
                  <c:v>0.38579369294515797</c:v>
                </c:pt>
                <c:pt idx="6">
                  <c:v>0.38579369294515797</c:v>
                </c:pt>
                <c:pt idx="7">
                  <c:v>0.38579369294515797</c:v>
                </c:pt>
                <c:pt idx="8">
                  <c:v>0.38579369294515797</c:v>
                </c:pt>
                <c:pt idx="9">
                  <c:v>0.38579369294515797</c:v>
                </c:pt>
                <c:pt idx="10">
                  <c:v>0.38579369294515797</c:v>
                </c:pt>
                <c:pt idx="11">
                  <c:v>0.38579369294515797</c:v>
                </c:pt>
                <c:pt idx="12">
                  <c:v>0.38579369294515797</c:v>
                </c:pt>
                <c:pt idx="13">
                  <c:v>0.38579369294515797</c:v>
                </c:pt>
                <c:pt idx="14">
                  <c:v>0.38579369294515797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39968"/>
        <c:axId val="944929536"/>
      </c:lineChart>
      <c:catAx>
        <c:axId val="96673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4929536"/>
        <c:crosses val="autoZero"/>
        <c:auto val="1"/>
        <c:lblAlgn val="ctr"/>
        <c:lblOffset val="100"/>
        <c:noMultiLvlLbl val="0"/>
      </c:catAx>
      <c:valAx>
        <c:axId val="944929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673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6740480"/>
        <c:axId val="9453251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40480"/>
        <c:axId val="945325184"/>
      </c:lineChart>
      <c:catAx>
        <c:axId val="966740480"/>
        <c:scaling>
          <c:orientation val="minMax"/>
        </c:scaling>
        <c:delete val="0"/>
        <c:axPos val="b"/>
        <c:majorTickMark val="out"/>
        <c:minorTickMark val="none"/>
        <c:tickLblPos val="nextTo"/>
        <c:crossAx val="945325184"/>
        <c:crosses val="autoZero"/>
        <c:auto val="1"/>
        <c:lblAlgn val="ctr"/>
        <c:lblOffset val="100"/>
        <c:noMultiLvlLbl val="0"/>
      </c:catAx>
      <c:valAx>
        <c:axId val="9453251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67404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5862</c:v>
                </c:pt>
                <c:pt idx="3">
                  <c:v>2286</c:v>
                </c:pt>
                <c:pt idx="4">
                  <c:v>10628</c:v>
                </c:pt>
                <c:pt idx="5">
                  <c:v>4738</c:v>
                </c:pt>
                <c:pt idx="6">
                  <c:v>2261</c:v>
                </c:pt>
                <c:pt idx="7">
                  <c:v>0</c:v>
                </c:pt>
                <c:pt idx="10">
                  <c:v>2840</c:v>
                </c:pt>
                <c:pt idx="12">
                  <c:v>11244</c:v>
                </c:pt>
                <c:pt idx="13">
                  <c:v>5121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2">
                  <c:v>5870</c:v>
                </c:pt>
                <c:pt idx="3">
                  <c:v>2290</c:v>
                </c:pt>
                <c:pt idx="4">
                  <c:v>10630</c:v>
                </c:pt>
                <c:pt idx="5">
                  <c:v>4740</c:v>
                </c:pt>
                <c:pt idx="6">
                  <c:v>2270</c:v>
                </c:pt>
                <c:pt idx="7">
                  <c:v>2970</c:v>
                </c:pt>
                <c:pt idx="9">
                  <c:v>20640</c:v>
                </c:pt>
                <c:pt idx="10">
                  <c:v>2840</c:v>
                </c:pt>
                <c:pt idx="12">
                  <c:v>11250</c:v>
                </c:pt>
                <c:pt idx="13">
                  <c:v>5130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347712"/>
        <c:axId val="945328640"/>
      </c:lineChart>
      <c:catAx>
        <c:axId val="9673477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5328640"/>
        <c:crosses val="autoZero"/>
        <c:auto val="1"/>
        <c:lblAlgn val="ctr"/>
        <c:lblOffset val="100"/>
        <c:noMultiLvlLbl val="0"/>
      </c:catAx>
      <c:valAx>
        <c:axId val="9453286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7347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0% 100% 58% 100% 92% 58% 0% 0% 0% 58%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0.99863713798977849</c:v>
                </c:pt>
                <c:pt idx="3">
                  <c:v>0.58231441048034938</c:v>
                </c:pt>
                <c:pt idx="4">
                  <c:v>0.99981185324553157</c:v>
                </c:pt>
                <c:pt idx="5">
                  <c:v>0.91627988748241906</c:v>
                </c:pt>
                <c:pt idx="6">
                  <c:v>0.58102055800293695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0.99946666666666661</c:v>
                </c:pt>
                <c:pt idx="13">
                  <c:v>0.99824561403508771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0.44394063074907353</c:v>
                </c:pt>
                <c:pt idx="1">
                  <c:v>0.44394063074907353</c:v>
                </c:pt>
                <c:pt idx="2">
                  <c:v>0.44394063074907353</c:v>
                </c:pt>
                <c:pt idx="3">
                  <c:v>0.44394063074907353</c:v>
                </c:pt>
                <c:pt idx="4">
                  <c:v>0.44394063074907353</c:v>
                </c:pt>
                <c:pt idx="5">
                  <c:v>0.44394063074907353</c:v>
                </c:pt>
                <c:pt idx="6">
                  <c:v>0.44394063074907353</c:v>
                </c:pt>
                <c:pt idx="7">
                  <c:v>0.44394063074907353</c:v>
                </c:pt>
                <c:pt idx="8">
                  <c:v>0.44394063074907353</c:v>
                </c:pt>
                <c:pt idx="9">
                  <c:v>0.44394063074907353</c:v>
                </c:pt>
                <c:pt idx="10">
                  <c:v>0.44394063074907353</c:v>
                </c:pt>
                <c:pt idx="11">
                  <c:v>0.44394063074907353</c:v>
                </c:pt>
                <c:pt idx="12">
                  <c:v>0.44394063074907353</c:v>
                </c:pt>
                <c:pt idx="13">
                  <c:v>0.44394063074907353</c:v>
                </c:pt>
                <c:pt idx="14">
                  <c:v>0.44394063074907353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393792"/>
        <c:axId val="945330368"/>
      </c:lineChart>
      <c:catAx>
        <c:axId val="96739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5330368"/>
        <c:crosses val="autoZero"/>
        <c:auto val="1"/>
        <c:lblAlgn val="ctr"/>
        <c:lblOffset val="100"/>
        <c:noMultiLvlLbl val="0"/>
      </c:catAx>
      <c:valAx>
        <c:axId val="9453303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7393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5862</c:v>
                </c:pt>
                <c:pt idx="3">
                  <c:v>2286</c:v>
                </c:pt>
                <c:pt idx="4">
                  <c:v>10628</c:v>
                </c:pt>
                <c:pt idx="5">
                  <c:v>4738</c:v>
                </c:pt>
                <c:pt idx="6">
                  <c:v>2261</c:v>
                </c:pt>
                <c:pt idx="7">
                  <c:v>0</c:v>
                </c:pt>
                <c:pt idx="10">
                  <c:v>2840</c:v>
                </c:pt>
                <c:pt idx="12">
                  <c:v>11244</c:v>
                </c:pt>
                <c:pt idx="13">
                  <c:v>5121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2">
                  <c:v>5870</c:v>
                </c:pt>
                <c:pt idx="3">
                  <c:v>2290</c:v>
                </c:pt>
                <c:pt idx="4">
                  <c:v>10630</c:v>
                </c:pt>
                <c:pt idx="5">
                  <c:v>4740</c:v>
                </c:pt>
                <c:pt idx="6">
                  <c:v>2270</c:v>
                </c:pt>
                <c:pt idx="7">
                  <c:v>2970</c:v>
                </c:pt>
                <c:pt idx="9">
                  <c:v>20640</c:v>
                </c:pt>
                <c:pt idx="10">
                  <c:v>2840</c:v>
                </c:pt>
                <c:pt idx="12">
                  <c:v>11250</c:v>
                </c:pt>
                <c:pt idx="13">
                  <c:v>5130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394816"/>
        <c:axId val="945694976"/>
      </c:lineChart>
      <c:catAx>
        <c:axId val="9673948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5694976"/>
        <c:crosses val="autoZero"/>
        <c:auto val="1"/>
        <c:lblAlgn val="ctr"/>
        <c:lblOffset val="100"/>
        <c:noMultiLvlLbl val="0"/>
      </c:catAx>
      <c:valAx>
        <c:axId val="945694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7394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0% 100% 58% 100% 92% 58% 0% 0% 0% 58%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0.99863713798977849</c:v>
                </c:pt>
                <c:pt idx="3">
                  <c:v>0.58231441048034938</c:v>
                </c:pt>
                <c:pt idx="4">
                  <c:v>0.99981185324553157</c:v>
                </c:pt>
                <c:pt idx="5">
                  <c:v>0.91627988748241906</c:v>
                </c:pt>
                <c:pt idx="6">
                  <c:v>0.58102055800293695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0.99946666666666661</c:v>
                </c:pt>
                <c:pt idx="13">
                  <c:v>0.99824561403508771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0.44394063074907353</c:v>
                </c:pt>
                <c:pt idx="1">
                  <c:v>0.44394063074907353</c:v>
                </c:pt>
                <c:pt idx="2">
                  <c:v>0.44394063074907353</c:v>
                </c:pt>
                <c:pt idx="3">
                  <c:v>0.44394063074907353</c:v>
                </c:pt>
                <c:pt idx="4">
                  <c:v>0.44394063074907353</c:v>
                </c:pt>
                <c:pt idx="5">
                  <c:v>0.44394063074907353</c:v>
                </c:pt>
                <c:pt idx="6">
                  <c:v>0.44394063074907353</c:v>
                </c:pt>
                <c:pt idx="7">
                  <c:v>0.44394063074907353</c:v>
                </c:pt>
                <c:pt idx="8">
                  <c:v>0.44394063074907353</c:v>
                </c:pt>
                <c:pt idx="9">
                  <c:v>0.44394063074907353</c:v>
                </c:pt>
                <c:pt idx="10">
                  <c:v>0.44394063074907353</c:v>
                </c:pt>
                <c:pt idx="11">
                  <c:v>0.44394063074907353</c:v>
                </c:pt>
                <c:pt idx="12">
                  <c:v>0.44394063074907353</c:v>
                </c:pt>
                <c:pt idx="13">
                  <c:v>0.44394063074907353</c:v>
                </c:pt>
                <c:pt idx="14">
                  <c:v>0.44394063074907353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395328"/>
        <c:axId val="945696704"/>
      </c:lineChart>
      <c:catAx>
        <c:axId val="96739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5696704"/>
        <c:crosses val="autoZero"/>
        <c:auto val="1"/>
        <c:lblAlgn val="ctr"/>
        <c:lblOffset val="100"/>
        <c:noMultiLvlLbl val="0"/>
      </c:catAx>
      <c:valAx>
        <c:axId val="945696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7395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7395840"/>
        <c:axId val="9456995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395840"/>
        <c:axId val="945699584"/>
      </c:lineChart>
      <c:catAx>
        <c:axId val="96739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5699584"/>
        <c:crosses val="autoZero"/>
        <c:auto val="1"/>
        <c:lblAlgn val="ctr"/>
        <c:lblOffset val="100"/>
        <c:noMultiLvlLbl val="0"/>
      </c:catAx>
      <c:valAx>
        <c:axId val="945699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7395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5831</c:v>
                </c:pt>
                <c:pt idx="3">
                  <c:v>4071</c:v>
                </c:pt>
                <c:pt idx="4">
                  <c:v>892</c:v>
                </c:pt>
                <c:pt idx="5">
                  <c:v>3839</c:v>
                </c:pt>
                <c:pt idx="8">
                  <c:v>4000</c:v>
                </c:pt>
                <c:pt idx="11">
                  <c:v>1256</c:v>
                </c:pt>
                <c:pt idx="12">
                  <c:v>11170</c:v>
                </c:pt>
                <c:pt idx="13">
                  <c:v>630</c:v>
                </c:pt>
                <c:pt idx="14">
                  <c:v>3052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2">
                  <c:v>5840</c:v>
                </c:pt>
                <c:pt idx="3">
                  <c:v>4080</c:v>
                </c:pt>
                <c:pt idx="4">
                  <c:v>900</c:v>
                </c:pt>
                <c:pt idx="5">
                  <c:v>3840</c:v>
                </c:pt>
                <c:pt idx="6">
                  <c:v>2270</c:v>
                </c:pt>
                <c:pt idx="7">
                  <c:v>2970</c:v>
                </c:pt>
                <c:pt idx="8">
                  <c:v>4000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11170</c:v>
                </c:pt>
                <c:pt idx="13">
                  <c:v>630</c:v>
                </c:pt>
                <c:pt idx="14">
                  <c:v>3060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53952"/>
        <c:axId val="946948352"/>
      </c:lineChart>
      <c:catAx>
        <c:axId val="9714539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6948352"/>
        <c:crosses val="autoZero"/>
        <c:auto val="1"/>
        <c:lblAlgn val="ctr"/>
        <c:lblOffset val="100"/>
        <c:noMultiLvlLbl val="0"/>
      </c:catAx>
      <c:valAx>
        <c:axId val="946948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1453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0% 0% 100% 96% 17% 71% 0% 0% 92% 0% 0% 42% 100% 21% 66%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0.99845890410958904</c:v>
                </c:pt>
                <c:pt idx="3">
                  <c:v>0.95621936274509811</c:v>
                </c:pt>
                <c:pt idx="4">
                  <c:v>0.16518518518518518</c:v>
                </c:pt>
                <c:pt idx="5">
                  <c:v>0.70814887152777783</c:v>
                </c:pt>
                <c:pt idx="6">
                  <c:v>0</c:v>
                </c:pt>
                <c:pt idx="7">
                  <c:v>0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0.41534391534391535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0.66492374727668846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0.40221866574588361</c:v>
                </c:pt>
                <c:pt idx="1">
                  <c:v>0.40221866574588361</c:v>
                </c:pt>
                <c:pt idx="2">
                  <c:v>0.40221866574588361</c:v>
                </c:pt>
                <c:pt idx="3">
                  <c:v>0.40221866574588361</c:v>
                </c:pt>
                <c:pt idx="4">
                  <c:v>0.40221866574588361</c:v>
                </c:pt>
                <c:pt idx="5">
                  <c:v>0.40221866574588361</c:v>
                </c:pt>
                <c:pt idx="6">
                  <c:v>0.40221866574588361</c:v>
                </c:pt>
                <c:pt idx="7">
                  <c:v>0.40221866574588361</c:v>
                </c:pt>
                <c:pt idx="8">
                  <c:v>0.40221866574588361</c:v>
                </c:pt>
                <c:pt idx="9">
                  <c:v>0.40221866574588361</c:v>
                </c:pt>
                <c:pt idx="10">
                  <c:v>0.40221866574588361</c:v>
                </c:pt>
                <c:pt idx="11">
                  <c:v>0.40221866574588361</c:v>
                </c:pt>
                <c:pt idx="12">
                  <c:v>0.40221866574588361</c:v>
                </c:pt>
                <c:pt idx="13">
                  <c:v>0.40221866574588361</c:v>
                </c:pt>
                <c:pt idx="14">
                  <c:v>0.40221866574588361</c:v>
                </c:pt>
                <c:pt idx="15">
                  <c:v>0.40221866574588361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56000"/>
        <c:axId val="946951232"/>
      </c:lineChart>
      <c:catAx>
        <c:axId val="97145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6951232"/>
        <c:crosses val="autoZero"/>
        <c:auto val="1"/>
        <c:lblAlgn val="ctr"/>
        <c:lblOffset val="100"/>
        <c:noMultiLvlLbl val="0"/>
      </c:catAx>
      <c:valAx>
        <c:axId val="9469512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1456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5831</c:v>
                </c:pt>
                <c:pt idx="3">
                  <c:v>4071</c:v>
                </c:pt>
                <c:pt idx="4">
                  <c:v>892</c:v>
                </c:pt>
                <c:pt idx="5">
                  <c:v>3839</c:v>
                </c:pt>
                <c:pt idx="8">
                  <c:v>4000</c:v>
                </c:pt>
                <c:pt idx="11">
                  <c:v>1256</c:v>
                </c:pt>
                <c:pt idx="12">
                  <c:v>11170</c:v>
                </c:pt>
                <c:pt idx="13">
                  <c:v>630</c:v>
                </c:pt>
                <c:pt idx="14">
                  <c:v>3052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2">
                  <c:v>5840</c:v>
                </c:pt>
                <c:pt idx="3">
                  <c:v>4080</c:v>
                </c:pt>
                <c:pt idx="4">
                  <c:v>900</c:v>
                </c:pt>
                <c:pt idx="5">
                  <c:v>3840</c:v>
                </c:pt>
                <c:pt idx="6">
                  <c:v>2270</c:v>
                </c:pt>
                <c:pt idx="7">
                  <c:v>2970</c:v>
                </c:pt>
                <c:pt idx="8">
                  <c:v>4000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11170</c:v>
                </c:pt>
                <c:pt idx="13">
                  <c:v>630</c:v>
                </c:pt>
                <c:pt idx="14">
                  <c:v>3060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820480"/>
        <c:axId val="946953536"/>
      </c:lineChart>
      <c:catAx>
        <c:axId val="972820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6953536"/>
        <c:crosses val="autoZero"/>
        <c:auto val="1"/>
        <c:lblAlgn val="ctr"/>
        <c:lblOffset val="100"/>
        <c:noMultiLvlLbl val="0"/>
      </c:catAx>
      <c:valAx>
        <c:axId val="9469535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2820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0% 0% 100% 96% 17% 71% 0% 0% 92% 0% 0% 42% 100% 21% 66%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0.99845890410958904</c:v>
                </c:pt>
                <c:pt idx="3">
                  <c:v>0.95621936274509811</c:v>
                </c:pt>
                <c:pt idx="4">
                  <c:v>0.16518518518518518</c:v>
                </c:pt>
                <c:pt idx="5">
                  <c:v>0.70814887152777783</c:v>
                </c:pt>
                <c:pt idx="6">
                  <c:v>0</c:v>
                </c:pt>
                <c:pt idx="7">
                  <c:v>0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0.41534391534391535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0.66492374727668846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LEAD IN</c:v>
                </c:pt>
                <c:pt idx="7">
                  <c:v>ACTUATOR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BASE</c:v>
                </c:pt>
                <c:pt idx="14">
                  <c:v>HOLDER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0.40221866574588361</c:v>
                </c:pt>
                <c:pt idx="1">
                  <c:v>0.40221866574588361</c:v>
                </c:pt>
                <c:pt idx="2">
                  <c:v>0.40221866574588361</c:v>
                </c:pt>
                <c:pt idx="3">
                  <c:v>0.40221866574588361</c:v>
                </c:pt>
                <c:pt idx="4">
                  <c:v>0.40221866574588361</c:v>
                </c:pt>
                <c:pt idx="5">
                  <c:v>0.40221866574588361</c:v>
                </c:pt>
                <c:pt idx="6">
                  <c:v>0.40221866574588361</c:v>
                </c:pt>
                <c:pt idx="7">
                  <c:v>0.40221866574588361</c:v>
                </c:pt>
                <c:pt idx="8">
                  <c:v>0.40221866574588361</c:v>
                </c:pt>
                <c:pt idx="9">
                  <c:v>0.40221866574588361</c:v>
                </c:pt>
                <c:pt idx="10">
                  <c:v>0.40221866574588361</c:v>
                </c:pt>
                <c:pt idx="11">
                  <c:v>0.40221866574588361</c:v>
                </c:pt>
                <c:pt idx="12">
                  <c:v>0.40221866574588361</c:v>
                </c:pt>
                <c:pt idx="13">
                  <c:v>0.40221866574588361</c:v>
                </c:pt>
                <c:pt idx="14">
                  <c:v>0.40221866574588361</c:v>
                </c:pt>
                <c:pt idx="15">
                  <c:v>0.40221866574588361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822016"/>
        <c:axId val="947177152"/>
      </c:lineChart>
      <c:catAx>
        <c:axId val="97282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7177152"/>
        <c:crosses val="autoZero"/>
        <c:auto val="1"/>
        <c:lblAlgn val="ctr"/>
        <c:lblOffset val="100"/>
        <c:noMultiLvlLbl val="0"/>
      </c:catAx>
      <c:valAx>
        <c:axId val="947177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282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822528"/>
        <c:axId val="9471794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822528"/>
        <c:axId val="947179456"/>
      </c:lineChart>
      <c:catAx>
        <c:axId val="97282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947179456"/>
        <c:crosses val="autoZero"/>
        <c:auto val="1"/>
        <c:lblAlgn val="ctr"/>
        <c:lblOffset val="100"/>
        <c:noMultiLvlLbl val="0"/>
      </c:catAx>
      <c:valAx>
        <c:axId val="9471794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28225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2">
                  <c:v>5856</c:v>
                </c:pt>
                <c:pt idx="3">
                  <c:v>5237</c:v>
                </c:pt>
                <c:pt idx="4">
                  <c:v>8674</c:v>
                </c:pt>
                <c:pt idx="5">
                  <c:v>2928</c:v>
                </c:pt>
                <c:pt idx="7">
                  <c:v>2605</c:v>
                </c:pt>
                <c:pt idx="8">
                  <c:v>4176</c:v>
                </c:pt>
                <c:pt idx="12">
                  <c:v>2206</c:v>
                </c:pt>
                <c:pt idx="13">
                  <c:v>3855</c:v>
                </c:pt>
                <c:pt idx="14">
                  <c:v>5598</c:v>
                </c:pt>
                <c:pt idx="15">
                  <c:v>28820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2">
                  <c:v>5860</c:v>
                </c:pt>
                <c:pt idx="3">
                  <c:v>5240</c:v>
                </c:pt>
                <c:pt idx="4">
                  <c:v>8680</c:v>
                </c:pt>
                <c:pt idx="5">
                  <c:v>2930</c:v>
                </c:pt>
                <c:pt idx="6">
                  <c:v>2270</c:v>
                </c:pt>
                <c:pt idx="7">
                  <c:v>2610</c:v>
                </c:pt>
                <c:pt idx="8">
                  <c:v>4180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2210</c:v>
                </c:pt>
                <c:pt idx="13">
                  <c:v>3860</c:v>
                </c:pt>
                <c:pt idx="14">
                  <c:v>5600</c:v>
                </c:pt>
                <c:pt idx="15">
                  <c:v>28820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988160"/>
        <c:axId val="947806784"/>
      </c:lineChart>
      <c:catAx>
        <c:axId val="9769881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7806784"/>
        <c:crosses val="autoZero"/>
        <c:auto val="1"/>
        <c:lblAlgn val="ctr"/>
        <c:lblOffset val="100"/>
        <c:noMultiLvlLbl val="0"/>
      </c:catAx>
      <c:valAx>
        <c:axId val="9478067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6988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"/>
                <c:pt idx="0">
                  <c:v>0% 0% 100% 100% 92% 62% 0% 58% 100% 0% 0% 0% 17% 79% 100%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0.99931740614334474</c:v>
                </c:pt>
                <c:pt idx="3">
                  <c:v>0.99942748091603051</c:v>
                </c:pt>
                <c:pt idx="4">
                  <c:v>0.91603302611367132</c:v>
                </c:pt>
                <c:pt idx="5">
                  <c:v>0.62457337883959041</c:v>
                </c:pt>
                <c:pt idx="6">
                  <c:v>0</c:v>
                </c:pt>
                <c:pt idx="7">
                  <c:v>0.58221583652618136</c:v>
                </c:pt>
                <c:pt idx="8">
                  <c:v>0.99904306220095696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0.16636500754147812</c:v>
                </c:pt>
                <c:pt idx="13">
                  <c:v>0.79064119170984448</c:v>
                </c:pt>
                <c:pt idx="14">
                  <c:v>0.99964285714285717</c:v>
                </c:pt>
                <c:pt idx="15">
                  <c:v>0.58333333333333337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0.51070617203115254</c:v>
                </c:pt>
                <c:pt idx="1">
                  <c:v>0.51070617203115254</c:v>
                </c:pt>
                <c:pt idx="2">
                  <c:v>0.51070617203115254</c:v>
                </c:pt>
                <c:pt idx="3">
                  <c:v>0.51070617203115254</c:v>
                </c:pt>
                <c:pt idx="4">
                  <c:v>0.51070617203115254</c:v>
                </c:pt>
                <c:pt idx="5">
                  <c:v>0.51070617203115254</c:v>
                </c:pt>
                <c:pt idx="6">
                  <c:v>0.51070617203115254</c:v>
                </c:pt>
                <c:pt idx="7">
                  <c:v>0.51070617203115254</c:v>
                </c:pt>
                <c:pt idx="8">
                  <c:v>0.51070617203115254</c:v>
                </c:pt>
                <c:pt idx="9">
                  <c:v>0.51070617203115254</c:v>
                </c:pt>
                <c:pt idx="10">
                  <c:v>0.51070617203115254</c:v>
                </c:pt>
                <c:pt idx="11">
                  <c:v>0.51070617203115254</c:v>
                </c:pt>
                <c:pt idx="12">
                  <c:v>0.51070617203115254</c:v>
                </c:pt>
                <c:pt idx="13">
                  <c:v>0.51070617203115254</c:v>
                </c:pt>
                <c:pt idx="14">
                  <c:v>0.51070617203115254</c:v>
                </c:pt>
                <c:pt idx="15">
                  <c:v>0.51070617203115254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989696"/>
        <c:axId val="947808512"/>
      </c:lineChart>
      <c:catAx>
        <c:axId val="97698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7808512"/>
        <c:crosses val="autoZero"/>
        <c:auto val="1"/>
        <c:lblAlgn val="ctr"/>
        <c:lblOffset val="100"/>
        <c:noMultiLvlLbl val="0"/>
      </c:catAx>
      <c:valAx>
        <c:axId val="9478085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6989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2">
                  <c:v>5856</c:v>
                </c:pt>
                <c:pt idx="3">
                  <c:v>5237</c:v>
                </c:pt>
                <c:pt idx="4">
                  <c:v>8674</c:v>
                </c:pt>
                <c:pt idx="5">
                  <c:v>2928</c:v>
                </c:pt>
                <c:pt idx="7">
                  <c:v>2605</c:v>
                </c:pt>
                <c:pt idx="8">
                  <c:v>4176</c:v>
                </c:pt>
                <c:pt idx="12">
                  <c:v>2206</c:v>
                </c:pt>
                <c:pt idx="13">
                  <c:v>3855</c:v>
                </c:pt>
                <c:pt idx="14">
                  <c:v>5598</c:v>
                </c:pt>
                <c:pt idx="15">
                  <c:v>28820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2">
                  <c:v>5860</c:v>
                </c:pt>
                <c:pt idx="3">
                  <c:v>5240</c:v>
                </c:pt>
                <c:pt idx="4">
                  <c:v>8680</c:v>
                </c:pt>
                <c:pt idx="5">
                  <c:v>2930</c:v>
                </c:pt>
                <c:pt idx="6">
                  <c:v>2270</c:v>
                </c:pt>
                <c:pt idx="7">
                  <c:v>2610</c:v>
                </c:pt>
                <c:pt idx="8">
                  <c:v>4180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2210</c:v>
                </c:pt>
                <c:pt idx="13">
                  <c:v>3860</c:v>
                </c:pt>
                <c:pt idx="14">
                  <c:v>5600</c:v>
                </c:pt>
                <c:pt idx="15">
                  <c:v>28820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227776"/>
        <c:axId val="947810816"/>
      </c:lineChart>
      <c:catAx>
        <c:axId val="977227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7810816"/>
        <c:crosses val="autoZero"/>
        <c:auto val="1"/>
        <c:lblAlgn val="ctr"/>
        <c:lblOffset val="100"/>
        <c:noMultiLvlLbl val="0"/>
      </c:catAx>
      <c:valAx>
        <c:axId val="9478108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72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"/>
                <c:pt idx="0">
                  <c:v>0% 0% 100% 100% 92% 62% 0% 58% 100% 0% 0% 0% 17% 79% 100%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0.99931740614334474</c:v>
                </c:pt>
                <c:pt idx="3">
                  <c:v>0.99942748091603051</c:v>
                </c:pt>
                <c:pt idx="4">
                  <c:v>0.91603302611367132</c:v>
                </c:pt>
                <c:pt idx="5">
                  <c:v>0.62457337883959041</c:v>
                </c:pt>
                <c:pt idx="6">
                  <c:v>0</c:v>
                </c:pt>
                <c:pt idx="7">
                  <c:v>0.58221583652618136</c:v>
                </c:pt>
                <c:pt idx="8">
                  <c:v>0.99904306220095696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0.16636500754147812</c:v>
                </c:pt>
                <c:pt idx="13">
                  <c:v>0.79064119170984448</c:v>
                </c:pt>
                <c:pt idx="14">
                  <c:v>0.99964285714285717</c:v>
                </c:pt>
                <c:pt idx="15">
                  <c:v>0.58333333333333337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'19'!$D$6:$D$21</c:f>
              <c:strCache>
                <c:ptCount val="15"/>
                <c:pt idx="2">
                  <c:v>STOPPER</c:v>
                </c:pt>
                <c:pt idx="3">
                  <c:v>4LEAD</c:v>
                </c:pt>
                <c:pt idx="4">
                  <c:v>BASE</c:v>
                </c:pt>
                <c:pt idx="5">
                  <c:v>SLIDER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STOPPER</c:v>
                </c:pt>
                <c:pt idx="13">
                  <c:v>FLOAT</c:v>
                </c:pt>
                <c:pt idx="14">
                  <c:v>HOLDER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0.51070617203115254</c:v>
                </c:pt>
                <c:pt idx="1">
                  <c:v>0.51070617203115254</c:v>
                </c:pt>
                <c:pt idx="2">
                  <c:v>0.51070617203115254</c:v>
                </c:pt>
                <c:pt idx="3">
                  <c:v>0.51070617203115254</c:v>
                </c:pt>
                <c:pt idx="4">
                  <c:v>0.51070617203115254</c:v>
                </c:pt>
                <c:pt idx="5">
                  <c:v>0.51070617203115254</c:v>
                </c:pt>
                <c:pt idx="6">
                  <c:v>0.51070617203115254</c:v>
                </c:pt>
                <c:pt idx="7">
                  <c:v>0.51070617203115254</c:v>
                </c:pt>
                <c:pt idx="8">
                  <c:v>0.51070617203115254</c:v>
                </c:pt>
                <c:pt idx="9">
                  <c:v>0.51070617203115254</c:v>
                </c:pt>
                <c:pt idx="10">
                  <c:v>0.51070617203115254</c:v>
                </c:pt>
                <c:pt idx="11">
                  <c:v>0.51070617203115254</c:v>
                </c:pt>
                <c:pt idx="12">
                  <c:v>0.51070617203115254</c:v>
                </c:pt>
                <c:pt idx="13">
                  <c:v>0.51070617203115254</c:v>
                </c:pt>
                <c:pt idx="14">
                  <c:v>0.51070617203115254</c:v>
                </c:pt>
                <c:pt idx="15">
                  <c:v>0.51070617203115254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229312"/>
        <c:axId val="947813120"/>
      </c:lineChart>
      <c:catAx>
        <c:axId val="97722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7813120"/>
        <c:crosses val="autoZero"/>
        <c:auto val="1"/>
        <c:lblAlgn val="ctr"/>
        <c:lblOffset val="100"/>
        <c:noMultiLvlLbl val="0"/>
      </c:catAx>
      <c:valAx>
        <c:axId val="947813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7229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230848"/>
        <c:axId val="9483164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230848"/>
        <c:axId val="948316416"/>
      </c:lineChart>
      <c:catAx>
        <c:axId val="97723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948316416"/>
        <c:crosses val="autoZero"/>
        <c:auto val="1"/>
        <c:lblAlgn val="ctr"/>
        <c:lblOffset val="100"/>
        <c:noMultiLvlLbl val="0"/>
      </c:catAx>
      <c:valAx>
        <c:axId val="948316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72308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5246</c:v>
                </c:pt>
                <c:pt idx="3">
                  <c:v>1924</c:v>
                </c:pt>
                <c:pt idx="4">
                  <c:v>10398</c:v>
                </c:pt>
                <c:pt idx="5">
                  <c:v>5697</c:v>
                </c:pt>
                <c:pt idx="6">
                  <c:v>2223</c:v>
                </c:pt>
                <c:pt idx="7">
                  <c:v>5169</c:v>
                </c:pt>
                <c:pt idx="12">
                  <c:v>5605</c:v>
                </c:pt>
                <c:pt idx="13">
                  <c:v>919</c:v>
                </c:pt>
                <c:pt idx="14">
                  <c:v>65228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1930</c:v>
                </c:pt>
                <c:pt idx="4">
                  <c:v>10400</c:v>
                </c:pt>
                <c:pt idx="5">
                  <c:v>5700</c:v>
                </c:pt>
                <c:pt idx="6">
                  <c:v>2230</c:v>
                </c:pt>
                <c:pt idx="7">
                  <c:v>5170</c:v>
                </c:pt>
                <c:pt idx="8">
                  <c:v>4180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5610</c:v>
                </c:pt>
                <c:pt idx="13">
                  <c:v>920</c:v>
                </c:pt>
                <c:pt idx="14">
                  <c:v>65230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59840"/>
        <c:axId val="948319872"/>
      </c:lineChart>
      <c:catAx>
        <c:axId val="978659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8319872"/>
        <c:crosses val="autoZero"/>
        <c:auto val="1"/>
        <c:lblAlgn val="ctr"/>
        <c:lblOffset val="100"/>
        <c:noMultiLvlLbl val="0"/>
      </c:catAx>
      <c:valAx>
        <c:axId val="9483198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8659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0% 100% 42% 100% 100% 50% 87% 0% 0% 0% 0% 100%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0.99923809523809526</c:v>
                </c:pt>
                <c:pt idx="3">
                  <c:v>0.41537132987910191</c:v>
                </c:pt>
                <c:pt idx="4">
                  <c:v>0.99980769230769229</c:v>
                </c:pt>
                <c:pt idx="5">
                  <c:v>0.99947368421052629</c:v>
                </c:pt>
                <c:pt idx="6">
                  <c:v>0.49843049327354261</c:v>
                </c:pt>
                <c:pt idx="7">
                  <c:v>0.87483075435203095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0.99910873440285208</c:v>
                </c:pt>
                <c:pt idx="13">
                  <c:v>0.24972826086956521</c:v>
                </c:pt>
                <c:pt idx="14">
                  <c:v>0.99996933926107623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0.46906389225296558</c:v>
                </c:pt>
                <c:pt idx="1">
                  <c:v>0.46906389225296558</c:v>
                </c:pt>
                <c:pt idx="2">
                  <c:v>0.46906389225296558</c:v>
                </c:pt>
                <c:pt idx="3">
                  <c:v>0.46906389225296558</c:v>
                </c:pt>
                <c:pt idx="4">
                  <c:v>0.46906389225296558</c:v>
                </c:pt>
                <c:pt idx="5">
                  <c:v>0.46906389225296558</c:v>
                </c:pt>
                <c:pt idx="6">
                  <c:v>0.46906389225296558</c:v>
                </c:pt>
                <c:pt idx="7">
                  <c:v>0.46906389225296558</c:v>
                </c:pt>
                <c:pt idx="8">
                  <c:v>0.46906389225296558</c:v>
                </c:pt>
                <c:pt idx="9">
                  <c:v>0.46906389225296558</c:v>
                </c:pt>
                <c:pt idx="10">
                  <c:v>0.46906389225296558</c:v>
                </c:pt>
                <c:pt idx="11">
                  <c:v>0.46906389225296558</c:v>
                </c:pt>
                <c:pt idx="12">
                  <c:v>0.46906389225296558</c:v>
                </c:pt>
                <c:pt idx="13">
                  <c:v>0.46906389225296558</c:v>
                </c:pt>
                <c:pt idx="14">
                  <c:v>0.46906389225296558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65984"/>
        <c:axId val="948321600"/>
      </c:lineChart>
      <c:catAx>
        <c:axId val="97866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8321600"/>
        <c:crosses val="autoZero"/>
        <c:auto val="1"/>
        <c:lblAlgn val="ctr"/>
        <c:lblOffset val="100"/>
        <c:noMultiLvlLbl val="0"/>
      </c:catAx>
      <c:valAx>
        <c:axId val="9483216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8665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5246</c:v>
                </c:pt>
                <c:pt idx="3">
                  <c:v>1924</c:v>
                </c:pt>
                <c:pt idx="4">
                  <c:v>10398</c:v>
                </c:pt>
                <c:pt idx="5">
                  <c:v>5697</c:v>
                </c:pt>
                <c:pt idx="6">
                  <c:v>2223</c:v>
                </c:pt>
                <c:pt idx="7">
                  <c:v>5169</c:v>
                </c:pt>
                <c:pt idx="12">
                  <c:v>5605</c:v>
                </c:pt>
                <c:pt idx="13">
                  <c:v>919</c:v>
                </c:pt>
                <c:pt idx="14">
                  <c:v>65228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1930</c:v>
                </c:pt>
                <c:pt idx="4">
                  <c:v>10400</c:v>
                </c:pt>
                <c:pt idx="5">
                  <c:v>5700</c:v>
                </c:pt>
                <c:pt idx="6">
                  <c:v>2230</c:v>
                </c:pt>
                <c:pt idx="7">
                  <c:v>5170</c:v>
                </c:pt>
                <c:pt idx="8">
                  <c:v>4180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5610</c:v>
                </c:pt>
                <c:pt idx="13">
                  <c:v>920</c:v>
                </c:pt>
                <c:pt idx="14">
                  <c:v>65230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66496"/>
        <c:axId val="948578560"/>
      </c:lineChart>
      <c:catAx>
        <c:axId val="978666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8578560"/>
        <c:crosses val="autoZero"/>
        <c:auto val="1"/>
        <c:lblAlgn val="ctr"/>
        <c:lblOffset val="100"/>
        <c:noMultiLvlLbl val="0"/>
      </c:catAx>
      <c:valAx>
        <c:axId val="948578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8666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0% 100% 42% 100% 100% 50% 87% 0% 0% 0% 0% 100%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0.99923809523809526</c:v>
                </c:pt>
                <c:pt idx="3">
                  <c:v>0.41537132987910191</c:v>
                </c:pt>
                <c:pt idx="4">
                  <c:v>0.99980769230769229</c:v>
                </c:pt>
                <c:pt idx="5">
                  <c:v>0.99947368421052629</c:v>
                </c:pt>
                <c:pt idx="6">
                  <c:v>0.49843049327354261</c:v>
                </c:pt>
                <c:pt idx="7">
                  <c:v>0.87483075435203095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0.99910873440285208</c:v>
                </c:pt>
                <c:pt idx="13">
                  <c:v>0.24972826086956521</c:v>
                </c:pt>
                <c:pt idx="14">
                  <c:v>0.99996933926107623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SZ2831</c:v>
                </c:pt>
                <c:pt idx="10">
                  <c:v>LEAD GUIDE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0.46906389225296558</c:v>
                </c:pt>
                <c:pt idx="1">
                  <c:v>0.46906389225296558</c:v>
                </c:pt>
                <c:pt idx="2">
                  <c:v>0.46906389225296558</c:v>
                </c:pt>
                <c:pt idx="3">
                  <c:v>0.46906389225296558</c:v>
                </c:pt>
                <c:pt idx="4">
                  <c:v>0.46906389225296558</c:v>
                </c:pt>
                <c:pt idx="5">
                  <c:v>0.46906389225296558</c:v>
                </c:pt>
                <c:pt idx="6">
                  <c:v>0.46906389225296558</c:v>
                </c:pt>
                <c:pt idx="7">
                  <c:v>0.46906389225296558</c:v>
                </c:pt>
                <c:pt idx="8">
                  <c:v>0.46906389225296558</c:v>
                </c:pt>
                <c:pt idx="9">
                  <c:v>0.46906389225296558</c:v>
                </c:pt>
                <c:pt idx="10">
                  <c:v>0.46906389225296558</c:v>
                </c:pt>
                <c:pt idx="11">
                  <c:v>0.46906389225296558</c:v>
                </c:pt>
                <c:pt idx="12">
                  <c:v>0.46906389225296558</c:v>
                </c:pt>
                <c:pt idx="13">
                  <c:v>0.46906389225296558</c:v>
                </c:pt>
                <c:pt idx="14">
                  <c:v>0.46906389225296558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67520"/>
        <c:axId val="948580288"/>
      </c:lineChart>
      <c:catAx>
        <c:axId val="97866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8580288"/>
        <c:crosses val="autoZero"/>
        <c:auto val="1"/>
        <c:lblAlgn val="ctr"/>
        <c:lblOffset val="100"/>
        <c:noMultiLvlLbl val="0"/>
      </c:catAx>
      <c:valAx>
        <c:axId val="948580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8667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668032"/>
        <c:axId val="9496248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68032"/>
        <c:axId val="949624832"/>
      </c:lineChart>
      <c:catAx>
        <c:axId val="97866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949624832"/>
        <c:crosses val="autoZero"/>
        <c:auto val="1"/>
        <c:lblAlgn val="ctr"/>
        <c:lblOffset val="100"/>
        <c:noMultiLvlLbl val="0"/>
      </c:catAx>
      <c:valAx>
        <c:axId val="949624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86680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1626</c:v>
                </c:pt>
                <c:pt idx="4">
                  <c:v>4714</c:v>
                </c:pt>
                <c:pt idx="5">
                  <c:v>2831</c:v>
                </c:pt>
                <c:pt idx="6">
                  <c:v>2908</c:v>
                </c:pt>
                <c:pt idx="7">
                  <c:v>1533</c:v>
                </c:pt>
                <c:pt idx="8">
                  <c:v>278</c:v>
                </c:pt>
                <c:pt idx="12">
                  <c:v>549</c:v>
                </c:pt>
                <c:pt idx="13">
                  <c:v>1281</c:v>
                </c:pt>
                <c:pt idx="14">
                  <c:v>31484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1630</c:v>
                </c:pt>
                <c:pt idx="4">
                  <c:v>4720</c:v>
                </c:pt>
                <c:pt idx="5">
                  <c:v>2840</c:v>
                </c:pt>
                <c:pt idx="6">
                  <c:v>2910</c:v>
                </c:pt>
                <c:pt idx="7">
                  <c:v>1540</c:v>
                </c:pt>
                <c:pt idx="8">
                  <c:v>280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550</c:v>
                </c:pt>
                <c:pt idx="13">
                  <c:v>1290</c:v>
                </c:pt>
                <c:pt idx="14">
                  <c:v>31490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362496"/>
        <c:axId val="949627712"/>
      </c:lineChart>
      <c:catAx>
        <c:axId val="984362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9627712"/>
        <c:crosses val="autoZero"/>
        <c:auto val="1"/>
        <c:lblAlgn val="ctr"/>
        <c:lblOffset val="100"/>
        <c:noMultiLvlLbl val="0"/>
      </c:catAx>
      <c:valAx>
        <c:axId val="949627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8436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0% 0% 0% 33% 42% 42% 42% 41% 33% 0% 0% 0% 25% 37% 42%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0.33251533742331285</c:v>
                </c:pt>
                <c:pt idx="4">
                  <c:v>0.41613700564971756</c:v>
                </c:pt>
                <c:pt idx="5">
                  <c:v>0.41534624413145538</c:v>
                </c:pt>
                <c:pt idx="6">
                  <c:v>0.41638029782359681</c:v>
                </c:pt>
                <c:pt idx="7">
                  <c:v>0.41477272727272729</c:v>
                </c:pt>
                <c:pt idx="8">
                  <c:v>0.33095238095238094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0.24954545454545454</c:v>
                </c:pt>
                <c:pt idx="13">
                  <c:v>0.37238372093023253</c:v>
                </c:pt>
                <c:pt idx="14">
                  <c:v>0.41658727638403725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0.22430802967419436</c:v>
                </c:pt>
                <c:pt idx="1">
                  <c:v>0.22430802967419436</c:v>
                </c:pt>
                <c:pt idx="2">
                  <c:v>0.22430802967419436</c:v>
                </c:pt>
                <c:pt idx="3">
                  <c:v>0.22430802967419436</c:v>
                </c:pt>
                <c:pt idx="4">
                  <c:v>0.22430802967419436</c:v>
                </c:pt>
                <c:pt idx="5">
                  <c:v>0.22430802967419436</c:v>
                </c:pt>
                <c:pt idx="6">
                  <c:v>0.22430802967419436</c:v>
                </c:pt>
                <c:pt idx="7">
                  <c:v>0.22430802967419436</c:v>
                </c:pt>
                <c:pt idx="8">
                  <c:v>0.22430802967419436</c:v>
                </c:pt>
                <c:pt idx="9">
                  <c:v>0.22430802967419436</c:v>
                </c:pt>
                <c:pt idx="10">
                  <c:v>0.22430802967419436</c:v>
                </c:pt>
                <c:pt idx="11">
                  <c:v>0.22430802967419436</c:v>
                </c:pt>
                <c:pt idx="12">
                  <c:v>0.22430802967419436</c:v>
                </c:pt>
                <c:pt idx="13">
                  <c:v>0.22430802967419436</c:v>
                </c:pt>
                <c:pt idx="14">
                  <c:v>0.22430802967419436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070976"/>
        <c:axId val="950034432"/>
      </c:lineChart>
      <c:catAx>
        <c:axId val="98707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0034432"/>
        <c:crosses val="autoZero"/>
        <c:auto val="1"/>
        <c:lblAlgn val="ctr"/>
        <c:lblOffset val="100"/>
        <c:noMultiLvlLbl val="0"/>
      </c:catAx>
      <c:valAx>
        <c:axId val="950034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8707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1626</c:v>
                </c:pt>
                <c:pt idx="4">
                  <c:v>4714</c:v>
                </c:pt>
                <c:pt idx="5">
                  <c:v>2831</c:v>
                </c:pt>
                <c:pt idx="6">
                  <c:v>2908</c:v>
                </c:pt>
                <c:pt idx="7">
                  <c:v>1533</c:v>
                </c:pt>
                <c:pt idx="8">
                  <c:v>278</c:v>
                </c:pt>
                <c:pt idx="12">
                  <c:v>549</c:v>
                </c:pt>
                <c:pt idx="13">
                  <c:v>1281</c:v>
                </c:pt>
                <c:pt idx="14">
                  <c:v>31484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1630</c:v>
                </c:pt>
                <c:pt idx="4">
                  <c:v>4720</c:v>
                </c:pt>
                <c:pt idx="5">
                  <c:v>2840</c:v>
                </c:pt>
                <c:pt idx="6">
                  <c:v>2910</c:v>
                </c:pt>
                <c:pt idx="7">
                  <c:v>1540</c:v>
                </c:pt>
                <c:pt idx="8">
                  <c:v>280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550</c:v>
                </c:pt>
                <c:pt idx="13">
                  <c:v>1290</c:v>
                </c:pt>
                <c:pt idx="14">
                  <c:v>31490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072000"/>
        <c:axId val="950036736"/>
      </c:lineChart>
      <c:catAx>
        <c:axId val="9870720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0036736"/>
        <c:crosses val="autoZero"/>
        <c:auto val="1"/>
        <c:lblAlgn val="ctr"/>
        <c:lblOffset val="100"/>
        <c:noMultiLvlLbl val="0"/>
      </c:catAx>
      <c:valAx>
        <c:axId val="950036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8707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0% 0% 0% 33% 42% 42% 42% 41% 33% 0% 0% 0% 25% 37% 42%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0.33251533742331285</c:v>
                </c:pt>
                <c:pt idx="4">
                  <c:v>0.41613700564971756</c:v>
                </c:pt>
                <c:pt idx="5">
                  <c:v>0.41534624413145538</c:v>
                </c:pt>
                <c:pt idx="6">
                  <c:v>0.41638029782359681</c:v>
                </c:pt>
                <c:pt idx="7">
                  <c:v>0.41477272727272729</c:v>
                </c:pt>
                <c:pt idx="8">
                  <c:v>0.33095238095238094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0.24954545454545454</c:v>
                </c:pt>
                <c:pt idx="13">
                  <c:v>0.37238372093023253</c:v>
                </c:pt>
                <c:pt idx="14">
                  <c:v>0.41658727638403725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BASE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0.22430802967419436</c:v>
                </c:pt>
                <c:pt idx="1">
                  <c:v>0.22430802967419436</c:v>
                </c:pt>
                <c:pt idx="2">
                  <c:v>0.22430802967419436</c:v>
                </c:pt>
                <c:pt idx="3">
                  <c:v>0.22430802967419436</c:v>
                </c:pt>
                <c:pt idx="4">
                  <c:v>0.22430802967419436</c:v>
                </c:pt>
                <c:pt idx="5">
                  <c:v>0.22430802967419436</c:v>
                </c:pt>
                <c:pt idx="6">
                  <c:v>0.22430802967419436</c:v>
                </c:pt>
                <c:pt idx="7">
                  <c:v>0.22430802967419436</c:v>
                </c:pt>
                <c:pt idx="8">
                  <c:v>0.22430802967419436</c:v>
                </c:pt>
                <c:pt idx="9">
                  <c:v>0.22430802967419436</c:v>
                </c:pt>
                <c:pt idx="10">
                  <c:v>0.22430802967419436</c:v>
                </c:pt>
                <c:pt idx="11">
                  <c:v>0.22430802967419436</c:v>
                </c:pt>
                <c:pt idx="12">
                  <c:v>0.22430802967419436</c:v>
                </c:pt>
                <c:pt idx="13">
                  <c:v>0.22430802967419436</c:v>
                </c:pt>
                <c:pt idx="14">
                  <c:v>0.22430802967419436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072512"/>
        <c:axId val="950039040"/>
      </c:lineChart>
      <c:catAx>
        <c:axId val="9870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0039040"/>
        <c:crosses val="autoZero"/>
        <c:auto val="1"/>
        <c:lblAlgn val="ctr"/>
        <c:lblOffset val="100"/>
        <c:noMultiLvlLbl val="0"/>
      </c:catAx>
      <c:valAx>
        <c:axId val="9500390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8707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7073024"/>
        <c:axId val="9500413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073024"/>
        <c:axId val="950041344"/>
      </c:lineChart>
      <c:catAx>
        <c:axId val="98707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50041344"/>
        <c:crosses val="autoZero"/>
        <c:auto val="1"/>
        <c:lblAlgn val="ctr"/>
        <c:lblOffset val="100"/>
        <c:noMultiLvlLbl val="0"/>
      </c:catAx>
      <c:valAx>
        <c:axId val="950041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870730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2122</c:v>
                </c:pt>
                <c:pt idx="4">
                  <c:v>3697</c:v>
                </c:pt>
                <c:pt idx="5">
                  <c:v>4307</c:v>
                </c:pt>
                <c:pt idx="6">
                  <c:v>2004</c:v>
                </c:pt>
                <c:pt idx="7">
                  <c:v>5142</c:v>
                </c:pt>
                <c:pt idx="8">
                  <c:v>501</c:v>
                </c:pt>
                <c:pt idx="12">
                  <c:v>2049</c:v>
                </c:pt>
                <c:pt idx="14">
                  <c:v>54604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2130</c:v>
                </c:pt>
                <c:pt idx="4">
                  <c:v>3700</c:v>
                </c:pt>
                <c:pt idx="5">
                  <c:v>4310</c:v>
                </c:pt>
                <c:pt idx="6">
                  <c:v>2010</c:v>
                </c:pt>
                <c:pt idx="7">
                  <c:v>5150</c:v>
                </c:pt>
                <c:pt idx="8">
                  <c:v>501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2050</c:v>
                </c:pt>
                <c:pt idx="13">
                  <c:v>1290</c:v>
                </c:pt>
                <c:pt idx="14">
                  <c:v>54610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18976"/>
        <c:axId val="950676288"/>
      </c:lineChart>
      <c:catAx>
        <c:axId val="9987189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0676288"/>
        <c:crosses val="autoZero"/>
        <c:auto val="1"/>
        <c:lblAlgn val="ctr"/>
        <c:lblOffset val="100"/>
        <c:noMultiLvlLbl val="0"/>
      </c:catAx>
      <c:valAx>
        <c:axId val="9506762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98718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0% 0% 54% 79% 87% 25% 54% 33% 0% 0% 0% 50%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0.53963223787167447</c:v>
                </c:pt>
                <c:pt idx="4">
                  <c:v>0.79102477477477473</c:v>
                </c:pt>
                <c:pt idx="5">
                  <c:v>0.87439095127610211</c:v>
                </c:pt>
                <c:pt idx="6">
                  <c:v>0.24925373134328357</c:v>
                </c:pt>
                <c:pt idx="7">
                  <c:v>0.54082524271844656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0.49975609756097561</c:v>
                </c:pt>
                <c:pt idx="13">
                  <c:v>0</c:v>
                </c:pt>
                <c:pt idx="14">
                  <c:v>0.99989013001281812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0.32187376659276057</c:v>
                </c:pt>
                <c:pt idx="1">
                  <c:v>0.32187376659276057</c:v>
                </c:pt>
                <c:pt idx="2">
                  <c:v>0.32187376659276057</c:v>
                </c:pt>
                <c:pt idx="3">
                  <c:v>0.32187376659276057</c:v>
                </c:pt>
                <c:pt idx="4">
                  <c:v>0.32187376659276057</c:v>
                </c:pt>
                <c:pt idx="5">
                  <c:v>0.32187376659276057</c:v>
                </c:pt>
                <c:pt idx="6">
                  <c:v>0.32187376659276057</c:v>
                </c:pt>
                <c:pt idx="7">
                  <c:v>0.32187376659276057</c:v>
                </c:pt>
                <c:pt idx="8">
                  <c:v>0.32187376659276057</c:v>
                </c:pt>
                <c:pt idx="9">
                  <c:v>0.32187376659276057</c:v>
                </c:pt>
                <c:pt idx="10">
                  <c:v>0.32187376659276057</c:v>
                </c:pt>
                <c:pt idx="11">
                  <c:v>0.32187376659276057</c:v>
                </c:pt>
                <c:pt idx="12">
                  <c:v>0.32187376659276057</c:v>
                </c:pt>
                <c:pt idx="13">
                  <c:v>0.32187376659276057</c:v>
                </c:pt>
                <c:pt idx="14">
                  <c:v>0.32187376659276057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059968"/>
        <c:axId val="950678016"/>
      </c:lineChart>
      <c:catAx>
        <c:axId val="9990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0678016"/>
        <c:crosses val="autoZero"/>
        <c:auto val="1"/>
        <c:lblAlgn val="ctr"/>
        <c:lblOffset val="100"/>
        <c:noMultiLvlLbl val="0"/>
      </c:catAx>
      <c:valAx>
        <c:axId val="950678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9905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2122</c:v>
                </c:pt>
                <c:pt idx="4">
                  <c:v>3697</c:v>
                </c:pt>
                <c:pt idx="5">
                  <c:v>4307</c:v>
                </c:pt>
                <c:pt idx="6">
                  <c:v>2004</c:v>
                </c:pt>
                <c:pt idx="7">
                  <c:v>5142</c:v>
                </c:pt>
                <c:pt idx="8">
                  <c:v>501</c:v>
                </c:pt>
                <c:pt idx="12">
                  <c:v>2049</c:v>
                </c:pt>
                <c:pt idx="14">
                  <c:v>54604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2">
                  <c:v>5250</c:v>
                </c:pt>
                <c:pt idx="3">
                  <c:v>2130</c:v>
                </c:pt>
                <c:pt idx="4">
                  <c:v>3700</c:v>
                </c:pt>
                <c:pt idx="5">
                  <c:v>4310</c:v>
                </c:pt>
                <c:pt idx="6">
                  <c:v>2010</c:v>
                </c:pt>
                <c:pt idx="7">
                  <c:v>5150</c:v>
                </c:pt>
                <c:pt idx="8">
                  <c:v>501</c:v>
                </c:pt>
                <c:pt idx="9">
                  <c:v>20640</c:v>
                </c:pt>
                <c:pt idx="10">
                  <c:v>2840</c:v>
                </c:pt>
                <c:pt idx="11">
                  <c:v>1260</c:v>
                </c:pt>
                <c:pt idx="12">
                  <c:v>2050</c:v>
                </c:pt>
                <c:pt idx="13">
                  <c:v>1290</c:v>
                </c:pt>
                <c:pt idx="14">
                  <c:v>54610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060992"/>
        <c:axId val="950680896"/>
      </c:lineChart>
      <c:catAx>
        <c:axId val="999060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0680896"/>
        <c:crosses val="autoZero"/>
        <c:auto val="1"/>
        <c:lblAlgn val="ctr"/>
        <c:lblOffset val="100"/>
        <c:noMultiLvlLbl val="0"/>
      </c:catAx>
      <c:valAx>
        <c:axId val="9506808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9906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0% 0% 54% 79% 87% 25% 54% 33% 0% 0% 0% 50%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0.53963223787167447</c:v>
                </c:pt>
                <c:pt idx="4">
                  <c:v>0.79102477477477473</c:v>
                </c:pt>
                <c:pt idx="5">
                  <c:v>0.87439095127610211</c:v>
                </c:pt>
                <c:pt idx="6">
                  <c:v>0.24925373134328357</c:v>
                </c:pt>
                <c:pt idx="7">
                  <c:v>0.54082524271844656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0.49975609756097561</c:v>
                </c:pt>
                <c:pt idx="13">
                  <c:v>0</c:v>
                </c:pt>
                <c:pt idx="14">
                  <c:v>0.99989013001281812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LEAD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0.32187376659276057</c:v>
                </c:pt>
                <c:pt idx="1">
                  <c:v>0.32187376659276057</c:v>
                </c:pt>
                <c:pt idx="2">
                  <c:v>0.32187376659276057</c:v>
                </c:pt>
                <c:pt idx="3">
                  <c:v>0.32187376659276057</c:v>
                </c:pt>
                <c:pt idx="4">
                  <c:v>0.32187376659276057</c:v>
                </c:pt>
                <c:pt idx="5">
                  <c:v>0.32187376659276057</c:v>
                </c:pt>
                <c:pt idx="6">
                  <c:v>0.32187376659276057</c:v>
                </c:pt>
                <c:pt idx="7">
                  <c:v>0.32187376659276057</c:v>
                </c:pt>
                <c:pt idx="8">
                  <c:v>0.32187376659276057</c:v>
                </c:pt>
                <c:pt idx="9">
                  <c:v>0.32187376659276057</c:v>
                </c:pt>
                <c:pt idx="10">
                  <c:v>0.32187376659276057</c:v>
                </c:pt>
                <c:pt idx="11">
                  <c:v>0.32187376659276057</c:v>
                </c:pt>
                <c:pt idx="12">
                  <c:v>0.32187376659276057</c:v>
                </c:pt>
                <c:pt idx="13">
                  <c:v>0.32187376659276057</c:v>
                </c:pt>
                <c:pt idx="14">
                  <c:v>0.32187376659276057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061504"/>
        <c:axId val="950879360"/>
      </c:lineChart>
      <c:catAx>
        <c:axId val="9990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0879360"/>
        <c:crosses val="autoZero"/>
        <c:auto val="1"/>
        <c:lblAlgn val="ctr"/>
        <c:lblOffset val="100"/>
        <c:noMultiLvlLbl val="0"/>
      </c:catAx>
      <c:valAx>
        <c:axId val="9508793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9906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062016"/>
        <c:axId val="9508833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062016"/>
        <c:axId val="950883392"/>
      </c:lineChart>
      <c:catAx>
        <c:axId val="99906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950883392"/>
        <c:crosses val="autoZero"/>
        <c:auto val="1"/>
        <c:lblAlgn val="ctr"/>
        <c:lblOffset val="100"/>
        <c:noMultiLvlLbl val="0"/>
      </c:catAx>
      <c:valAx>
        <c:axId val="950883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99062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5675</c:v>
                </c:pt>
                <c:pt idx="3">
                  <c:v>918</c:v>
                </c:pt>
                <c:pt idx="4">
                  <c:v>5889</c:v>
                </c:pt>
                <c:pt idx="5">
                  <c:v>4460</c:v>
                </c:pt>
                <c:pt idx="6">
                  <c:v>4089</c:v>
                </c:pt>
                <c:pt idx="7">
                  <c:v>11568</c:v>
                </c:pt>
                <c:pt idx="10">
                  <c:v>2401</c:v>
                </c:pt>
                <c:pt idx="12">
                  <c:v>2834</c:v>
                </c:pt>
                <c:pt idx="13">
                  <c:v>7330</c:v>
                </c:pt>
                <c:pt idx="14">
                  <c:v>68244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2">
                  <c:v>5680</c:v>
                </c:pt>
                <c:pt idx="3">
                  <c:v>920</c:v>
                </c:pt>
                <c:pt idx="4">
                  <c:v>5890</c:v>
                </c:pt>
                <c:pt idx="5">
                  <c:v>4460</c:v>
                </c:pt>
                <c:pt idx="6">
                  <c:v>4090</c:v>
                </c:pt>
                <c:pt idx="7">
                  <c:v>11570</c:v>
                </c:pt>
                <c:pt idx="8">
                  <c:v>501</c:v>
                </c:pt>
                <c:pt idx="9">
                  <c:v>20640</c:v>
                </c:pt>
                <c:pt idx="10">
                  <c:v>2410</c:v>
                </c:pt>
                <c:pt idx="11">
                  <c:v>1260</c:v>
                </c:pt>
                <c:pt idx="12">
                  <c:v>2840</c:v>
                </c:pt>
                <c:pt idx="13">
                  <c:v>7330</c:v>
                </c:pt>
                <c:pt idx="14">
                  <c:v>68250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30048"/>
        <c:axId val="951246848"/>
      </c:lineChart>
      <c:catAx>
        <c:axId val="10097300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1246848"/>
        <c:crosses val="autoZero"/>
        <c:auto val="1"/>
        <c:lblAlgn val="ctr"/>
        <c:lblOffset val="100"/>
        <c:noMultiLvlLbl val="0"/>
      </c:catAx>
      <c:valAx>
        <c:axId val="951246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00973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0% 96% 21% 100% 83% 96% 100% 0% 0% 58% 0% 75%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0.95748973004694837</c:v>
                </c:pt>
                <c:pt idx="3">
                  <c:v>0.2078804347826087</c:v>
                </c:pt>
                <c:pt idx="4">
                  <c:v>0.99983022071307304</c:v>
                </c:pt>
                <c:pt idx="5">
                  <c:v>0.83333333333333337</c:v>
                </c:pt>
                <c:pt idx="6">
                  <c:v>0.95809902200489006</c:v>
                </c:pt>
                <c:pt idx="7">
                  <c:v>0.99982713915298183</c:v>
                </c:pt>
                <c:pt idx="8">
                  <c:v>0</c:v>
                </c:pt>
                <c:pt idx="9">
                  <c:v>0</c:v>
                </c:pt>
                <c:pt idx="10">
                  <c:v>0.58115491009681886</c:v>
                </c:pt>
                <c:pt idx="11">
                  <c:v>0</c:v>
                </c:pt>
                <c:pt idx="12">
                  <c:v>0.74841549295774645</c:v>
                </c:pt>
                <c:pt idx="13">
                  <c:v>0.83333333333333337</c:v>
                </c:pt>
                <c:pt idx="14">
                  <c:v>0.99991208791208797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0.5412850469555881</c:v>
                </c:pt>
                <c:pt idx="1">
                  <c:v>0.5412850469555881</c:v>
                </c:pt>
                <c:pt idx="2">
                  <c:v>0.5412850469555881</c:v>
                </c:pt>
                <c:pt idx="3">
                  <c:v>0.5412850469555881</c:v>
                </c:pt>
                <c:pt idx="4">
                  <c:v>0.5412850469555881</c:v>
                </c:pt>
                <c:pt idx="5">
                  <c:v>0.5412850469555881</c:v>
                </c:pt>
                <c:pt idx="6">
                  <c:v>0.5412850469555881</c:v>
                </c:pt>
                <c:pt idx="7">
                  <c:v>0.5412850469555881</c:v>
                </c:pt>
                <c:pt idx="8">
                  <c:v>0.5412850469555881</c:v>
                </c:pt>
                <c:pt idx="9">
                  <c:v>0.5412850469555881</c:v>
                </c:pt>
                <c:pt idx="10">
                  <c:v>0.5412850469555881</c:v>
                </c:pt>
                <c:pt idx="11">
                  <c:v>0.5412850469555881</c:v>
                </c:pt>
                <c:pt idx="12">
                  <c:v>0.5412850469555881</c:v>
                </c:pt>
                <c:pt idx="13">
                  <c:v>0.5412850469555881</c:v>
                </c:pt>
                <c:pt idx="14">
                  <c:v>0.5412850469555881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31072"/>
        <c:axId val="951249152"/>
      </c:lineChart>
      <c:catAx>
        <c:axId val="100973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1249152"/>
        <c:crosses val="autoZero"/>
        <c:auto val="1"/>
        <c:lblAlgn val="ctr"/>
        <c:lblOffset val="100"/>
        <c:noMultiLvlLbl val="0"/>
      </c:catAx>
      <c:valAx>
        <c:axId val="951249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009731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5675</c:v>
                </c:pt>
                <c:pt idx="3">
                  <c:v>918</c:v>
                </c:pt>
                <c:pt idx="4">
                  <c:v>5889</c:v>
                </c:pt>
                <c:pt idx="5">
                  <c:v>4460</c:v>
                </c:pt>
                <c:pt idx="6">
                  <c:v>4089</c:v>
                </c:pt>
                <c:pt idx="7">
                  <c:v>11568</c:v>
                </c:pt>
                <c:pt idx="10">
                  <c:v>2401</c:v>
                </c:pt>
                <c:pt idx="12">
                  <c:v>2834</c:v>
                </c:pt>
                <c:pt idx="13">
                  <c:v>7330</c:v>
                </c:pt>
                <c:pt idx="14">
                  <c:v>68244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2">
                  <c:v>5680</c:v>
                </c:pt>
                <c:pt idx="3">
                  <c:v>920</c:v>
                </c:pt>
                <c:pt idx="4">
                  <c:v>5890</c:v>
                </c:pt>
                <c:pt idx="5">
                  <c:v>4460</c:v>
                </c:pt>
                <c:pt idx="6">
                  <c:v>4090</c:v>
                </c:pt>
                <c:pt idx="7">
                  <c:v>11570</c:v>
                </c:pt>
                <c:pt idx="8">
                  <c:v>501</c:v>
                </c:pt>
                <c:pt idx="9">
                  <c:v>20640</c:v>
                </c:pt>
                <c:pt idx="10">
                  <c:v>2410</c:v>
                </c:pt>
                <c:pt idx="11">
                  <c:v>1260</c:v>
                </c:pt>
                <c:pt idx="12">
                  <c:v>2840</c:v>
                </c:pt>
                <c:pt idx="13">
                  <c:v>7330</c:v>
                </c:pt>
                <c:pt idx="14">
                  <c:v>68250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31584"/>
        <c:axId val="951252032"/>
      </c:lineChart>
      <c:catAx>
        <c:axId val="10097315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1252032"/>
        <c:crosses val="autoZero"/>
        <c:auto val="1"/>
        <c:lblAlgn val="ctr"/>
        <c:lblOffset val="100"/>
        <c:noMultiLvlLbl val="0"/>
      </c:catAx>
      <c:valAx>
        <c:axId val="951252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009731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0% 96% 21% 100% 83% 96% 100% 0% 0% 58% 0% 75%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0.95748973004694837</c:v>
                </c:pt>
                <c:pt idx="3">
                  <c:v>0.2078804347826087</c:v>
                </c:pt>
                <c:pt idx="4">
                  <c:v>0.99983022071307304</c:v>
                </c:pt>
                <c:pt idx="5">
                  <c:v>0.83333333333333337</c:v>
                </c:pt>
                <c:pt idx="6">
                  <c:v>0.95809902200489006</c:v>
                </c:pt>
                <c:pt idx="7">
                  <c:v>0.99982713915298183</c:v>
                </c:pt>
                <c:pt idx="8">
                  <c:v>0</c:v>
                </c:pt>
                <c:pt idx="9">
                  <c:v>0</c:v>
                </c:pt>
                <c:pt idx="10">
                  <c:v>0.58115491009681886</c:v>
                </c:pt>
                <c:pt idx="11">
                  <c:v>0</c:v>
                </c:pt>
                <c:pt idx="12">
                  <c:v>0.74841549295774645</c:v>
                </c:pt>
                <c:pt idx="13">
                  <c:v>0.83333333333333337</c:v>
                </c:pt>
                <c:pt idx="14">
                  <c:v>0.99991208791208797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2">
                  <c:v>COVER</c:v>
                </c:pt>
                <c:pt idx="3">
                  <c:v>BODY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SZ2831</c:v>
                </c:pt>
                <c:pt idx="10">
                  <c:v>BODY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0.5412850469555881</c:v>
                </c:pt>
                <c:pt idx="1">
                  <c:v>0.5412850469555881</c:v>
                </c:pt>
                <c:pt idx="2">
                  <c:v>0.5412850469555881</c:v>
                </c:pt>
                <c:pt idx="3">
                  <c:v>0.5412850469555881</c:v>
                </c:pt>
                <c:pt idx="4">
                  <c:v>0.5412850469555881</c:v>
                </c:pt>
                <c:pt idx="5">
                  <c:v>0.5412850469555881</c:v>
                </c:pt>
                <c:pt idx="6">
                  <c:v>0.5412850469555881</c:v>
                </c:pt>
                <c:pt idx="7">
                  <c:v>0.5412850469555881</c:v>
                </c:pt>
                <c:pt idx="8">
                  <c:v>0.5412850469555881</c:v>
                </c:pt>
                <c:pt idx="9">
                  <c:v>0.5412850469555881</c:v>
                </c:pt>
                <c:pt idx="10">
                  <c:v>0.5412850469555881</c:v>
                </c:pt>
                <c:pt idx="11">
                  <c:v>0.5412850469555881</c:v>
                </c:pt>
                <c:pt idx="12">
                  <c:v>0.5412850469555881</c:v>
                </c:pt>
                <c:pt idx="13">
                  <c:v>0.5412850469555881</c:v>
                </c:pt>
                <c:pt idx="14">
                  <c:v>0.5412850469555881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364480"/>
        <c:axId val="952320000"/>
      </c:lineChart>
      <c:catAx>
        <c:axId val="95336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2320000"/>
        <c:crosses val="autoZero"/>
        <c:auto val="1"/>
        <c:lblAlgn val="ctr"/>
        <c:lblOffset val="100"/>
        <c:noMultiLvlLbl val="0"/>
      </c:catAx>
      <c:valAx>
        <c:axId val="9523200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5336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364992"/>
        <c:axId val="9523223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364992"/>
        <c:axId val="952322304"/>
      </c:lineChart>
      <c:catAx>
        <c:axId val="9533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952322304"/>
        <c:crosses val="autoZero"/>
        <c:auto val="1"/>
        <c:lblAlgn val="ctr"/>
        <c:lblOffset val="100"/>
        <c:noMultiLvlLbl val="0"/>
      </c:catAx>
      <c:valAx>
        <c:axId val="9523223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33649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351</c:v>
                </c:pt>
                <c:pt idx="3">
                  <c:v>10226</c:v>
                </c:pt>
                <c:pt idx="4">
                  <c:v>4241</c:v>
                </c:pt>
                <c:pt idx="5">
                  <c:v>400</c:v>
                </c:pt>
                <c:pt idx="6">
                  <c:v>4135</c:v>
                </c:pt>
                <c:pt idx="7">
                  <c:v>11844</c:v>
                </c:pt>
                <c:pt idx="9">
                  <c:v>17036</c:v>
                </c:pt>
                <c:pt idx="10">
                  <c:v>4876</c:v>
                </c:pt>
                <c:pt idx="11">
                  <c:v>6834</c:v>
                </c:pt>
                <c:pt idx="12">
                  <c:v>3530</c:v>
                </c:pt>
                <c:pt idx="13">
                  <c:v>866</c:v>
                </c:pt>
                <c:pt idx="14">
                  <c:v>65068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2">
                  <c:v>360</c:v>
                </c:pt>
                <c:pt idx="3">
                  <c:v>10230</c:v>
                </c:pt>
                <c:pt idx="4">
                  <c:v>4250</c:v>
                </c:pt>
                <c:pt idx="5">
                  <c:v>400</c:v>
                </c:pt>
                <c:pt idx="6">
                  <c:v>4140</c:v>
                </c:pt>
                <c:pt idx="7">
                  <c:v>11850</c:v>
                </c:pt>
                <c:pt idx="8">
                  <c:v>501</c:v>
                </c:pt>
                <c:pt idx="9">
                  <c:v>17040</c:v>
                </c:pt>
                <c:pt idx="10">
                  <c:v>4880</c:v>
                </c:pt>
                <c:pt idx="11">
                  <c:v>6840</c:v>
                </c:pt>
                <c:pt idx="12">
                  <c:v>3530</c:v>
                </c:pt>
                <c:pt idx="13">
                  <c:v>870</c:v>
                </c:pt>
                <c:pt idx="14">
                  <c:v>65070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640192"/>
        <c:axId val="952326336"/>
      </c:lineChart>
      <c:catAx>
        <c:axId val="957640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2326336"/>
        <c:crosses val="autoZero"/>
        <c:auto val="1"/>
        <c:lblAlgn val="ctr"/>
        <c:lblOffset val="100"/>
        <c:noMultiLvlLbl val="0"/>
      </c:catAx>
      <c:valAx>
        <c:axId val="952326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5764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0% 16% 100% 87% 17% 100% 100% 0% 87% 100% 62% 83%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0.16249999999999998</c:v>
                </c:pt>
                <c:pt idx="3">
                  <c:v>0.99960899315738028</c:v>
                </c:pt>
                <c:pt idx="4">
                  <c:v>0.87314705882352939</c:v>
                </c:pt>
                <c:pt idx="5">
                  <c:v>0.16666666666666666</c:v>
                </c:pt>
                <c:pt idx="6">
                  <c:v>0.99879227053140096</c:v>
                </c:pt>
                <c:pt idx="7">
                  <c:v>0.99949367088607599</c:v>
                </c:pt>
                <c:pt idx="8">
                  <c:v>0</c:v>
                </c:pt>
                <c:pt idx="9">
                  <c:v>0.8747946009389671</c:v>
                </c:pt>
                <c:pt idx="10">
                  <c:v>0.99918032786885247</c:v>
                </c:pt>
                <c:pt idx="11">
                  <c:v>0.6244517543859649</c:v>
                </c:pt>
                <c:pt idx="12">
                  <c:v>0.83333333333333337</c:v>
                </c:pt>
                <c:pt idx="13">
                  <c:v>0.24885057471264369</c:v>
                </c:pt>
                <c:pt idx="14">
                  <c:v>0.99996926386967877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0.58538590101163301</c:v>
                </c:pt>
                <c:pt idx="1">
                  <c:v>0.58538590101163301</c:v>
                </c:pt>
                <c:pt idx="2">
                  <c:v>0.58538590101163301</c:v>
                </c:pt>
                <c:pt idx="3">
                  <c:v>0.58538590101163301</c:v>
                </c:pt>
                <c:pt idx="4">
                  <c:v>0.58538590101163301</c:v>
                </c:pt>
                <c:pt idx="5">
                  <c:v>0.58538590101163301</c:v>
                </c:pt>
                <c:pt idx="6">
                  <c:v>0.58538590101163301</c:v>
                </c:pt>
                <c:pt idx="7">
                  <c:v>0.58538590101163301</c:v>
                </c:pt>
                <c:pt idx="8">
                  <c:v>0.58538590101163301</c:v>
                </c:pt>
                <c:pt idx="9">
                  <c:v>0.58538590101163301</c:v>
                </c:pt>
                <c:pt idx="10">
                  <c:v>0.58538590101163301</c:v>
                </c:pt>
                <c:pt idx="11">
                  <c:v>0.58538590101163301</c:v>
                </c:pt>
                <c:pt idx="12">
                  <c:v>0.58538590101163301</c:v>
                </c:pt>
                <c:pt idx="13">
                  <c:v>0.58538590101163301</c:v>
                </c:pt>
                <c:pt idx="14">
                  <c:v>0.58538590101163301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650432"/>
        <c:axId val="952697408"/>
      </c:lineChart>
      <c:catAx>
        <c:axId val="95765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2697408"/>
        <c:crosses val="autoZero"/>
        <c:auto val="1"/>
        <c:lblAlgn val="ctr"/>
        <c:lblOffset val="100"/>
        <c:noMultiLvlLbl val="0"/>
      </c:catAx>
      <c:valAx>
        <c:axId val="952697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57650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351</c:v>
                </c:pt>
                <c:pt idx="3">
                  <c:v>10226</c:v>
                </c:pt>
                <c:pt idx="4">
                  <c:v>4241</c:v>
                </c:pt>
                <c:pt idx="5">
                  <c:v>400</c:v>
                </c:pt>
                <c:pt idx="6">
                  <c:v>4135</c:v>
                </c:pt>
                <c:pt idx="7">
                  <c:v>11844</c:v>
                </c:pt>
                <c:pt idx="9">
                  <c:v>17036</c:v>
                </c:pt>
                <c:pt idx="10">
                  <c:v>4876</c:v>
                </c:pt>
                <c:pt idx="11">
                  <c:v>6834</c:v>
                </c:pt>
                <c:pt idx="12">
                  <c:v>3530</c:v>
                </c:pt>
                <c:pt idx="13">
                  <c:v>866</c:v>
                </c:pt>
                <c:pt idx="14">
                  <c:v>65068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2">
                  <c:v>360</c:v>
                </c:pt>
                <c:pt idx="3">
                  <c:v>10230</c:v>
                </c:pt>
                <c:pt idx="4">
                  <c:v>4250</c:v>
                </c:pt>
                <c:pt idx="5">
                  <c:v>400</c:v>
                </c:pt>
                <c:pt idx="6">
                  <c:v>4140</c:v>
                </c:pt>
                <c:pt idx="7">
                  <c:v>11850</c:v>
                </c:pt>
                <c:pt idx="8">
                  <c:v>501</c:v>
                </c:pt>
                <c:pt idx="9">
                  <c:v>17040</c:v>
                </c:pt>
                <c:pt idx="10">
                  <c:v>4880</c:v>
                </c:pt>
                <c:pt idx="11">
                  <c:v>6840</c:v>
                </c:pt>
                <c:pt idx="12">
                  <c:v>3530</c:v>
                </c:pt>
                <c:pt idx="13">
                  <c:v>870</c:v>
                </c:pt>
                <c:pt idx="14">
                  <c:v>65070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650944"/>
        <c:axId val="952700864"/>
      </c:lineChart>
      <c:catAx>
        <c:axId val="957650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2700864"/>
        <c:crosses val="autoZero"/>
        <c:auto val="1"/>
        <c:lblAlgn val="ctr"/>
        <c:lblOffset val="100"/>
        <c:noMultiLvlLbl val="0"/>
      </c:catAx>
      <c:valAx>
        <c:axId val="952700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5765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0% 16% 100% 87% 17% 100% 100% 0% 87% 100% 62% 83%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0.16249999999999998</c:v>
                </c:pt>
                <c:pt idx="3">
                  <c:v>0.99960899315738028</c:v>
                </c:pt>
                <c:pt idx="4">
                  <c:v>0.87314705882352939</c:v>
                </c:pt>
                <c:pt idx="5">
                  <c:v>0.16666666666666666</c:v>
                </c:pt>
                <c:pt idx="6">
                  <c:v>0.99879227053140096</c:v>
                </c:pt>
                <c:pt idx="7">
                  <c:v>0.99949367088607599</c:v>
                </c:pt>
                <c:pt idx="8">
                  <c:v>0</c:v>
                </c:pt>
                <c:pt idx="9">
                  <c:v>0.8747946009389671</c:v>
                </c:pt>
                <c:pt idx="10">
                  <c:v>0.99918032786885247</c:v>
                </c:pt>
                <c:pt idx="11">
                  <c:v>0.6244517543859649</c:v>
                </c:pt>
                <c:pt idx="12">
                  <c:v>0.83333333333333337</c:v>
                </c:pt>
                <c:pt idx="13">
                  <c:v>0.24885057471264369</c:v>
                </c:pt>
                <c:pt idx="14">
                  <c:v>0.99996926386967877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BASE</c:v>
                </c:pt>
                <c:pt idx="13">
                  <c:v>BODY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0.58538590101163301</c:v>
                </c:pt>
                <c:pt idx="1">
                  <c:v>0.58538590101163301</c:v>
                </c:pt>
                <c:pt idx="2">
                  <c:v>0.58538590101163301</c:v>
                </c:pt>
                <c:pt idx="3">
                  <c:v>0.58538590101163301</c:v>
                </c:pt>
                <c:pt idx="4">
                  <c:v>0.58538590101163301</c:v>
                </c:pt>
                <c:pt idx="5">
                  <c:v>0.58538590101163301</c:v>
                </c:pt>
                <c:pt idx="6">
                  <c:v>0.58538590101163301</c:v>
                </c:pt>
                <c:pt idx="7">
                  <c:v>0.58538590101163301</c:v>
                </c:pt>
                <c:pt idx="8">
                  <c:v>0.58538590101163301</c:v>
                </c:pt>
                <c:pt idx="9">
                  <c:v>0.58538590101163301</c:v>
                </c:pt>
                <c:pt idx="10">
                  <c:v>0.58538590101163301</c:v>
                </c:pt>
                <c:pt idx="11">
                  <c:v>0.58538590101163301</c:v>
                </c:pt>
                <c:pt idx="12">
                  <c:v>0.58538590101163301</c:v>
                </c:pt>
                <c:pt idx="13">
                  <c:v>0.58538590101163301</c:v>
                </c:pt>
                <c:pt idx="14">
                  <c:v>0.58538590101163301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651968"/>
        <c:axId val="952702592"/>
      </c:lineChart>
      <c:catAx>
        <c:axId val="95765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2702592"/>
        <c:crosses val="autoZero"/>
        <c:auto val="1"/>
        <c:lblAlgn val="ctr"/>
        <c:lblOffset val="100"/>
        <c:noMultiLvlLbl val="0"/>
      </c:catAx>
      <c:valAx>
        <c:axId val="952702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5765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649920"/>
        <c:axId val="953328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649920"/>
        <c:axId val="953328192"/>
      </c:lineChart>
      <c:catAx>
        <c:axId val="95764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953328192"/>
        <c:crosses val="autoZero"/>
        <c:auto val="1"/>
        <c:lblAlgn val="ctr"/>
        <c:lblOffset val="100"/>
        <c:noMultiLvlLbl val="0"/>
      </c:catAx>
      <c:valAx>
        <c:axId val="953328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7649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3524</c:v>
                </c:pt>
                <c:pt idx="3">
                  <c:v>7364</c:v>
                </c:pt>
                <c:pt idx="4">
                  <c:v>5564</c:v>
                </c:pt>
                <c:pt idx="5">
                  <c:v>4783</c:v>
                </c:pt>
                <c:pt idx="7">
                  <c:v>1120</c:v>
                </c:pt>
                <c:pt idx="9">
                  <c:v>15880</c:v>
                </c:pt>
                <c:pt idx="10">
                  <c:v>4853</c:v>
                </c:pt>
                <c:pt idx="11">
                  <c:v>11518</c:v>
                </c:pt>
                <c:pt idx="12">
                  <c:v>2232</c:v>
                </c:pt>
                <c:pt idx="13">
                  <c:v>4457</c:v>
                </c:pt>
                <c:pt idx="14">
                  <c:v>68920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2">
                  <c:v>3530</c:v>
                </c:pt>
                <c:pt idx="3">
                  <c:v>7370</c:v>
                </c:pt>
                <c:pt idx="4">
                  <c:v>5570</c:v>
                </c:pt>
                <c:pt idx="5">
                  <c:v>4790</c:v>
                </c:pt>
                <c:pt idx="6">
                  <c:v>4140</c:v>
                </c:pt>
                <c:pt idx="7">
                  <c:v>1120</c:v>
                </c:pt>
                <c:pt idx="8">
                  <c:v>501</c:v>
                </c:pt>
                <c:pt idx="9">
                  <c:v>15880</c:v>
                </c:pt>
                <c:pt idx="10">
                  <c:v>4860</c:v>
                </c:pt>
                <c:pt idx="11">
                  <c:v>11520</c:v>
                </c:pt>
                <c:pt idx="12">
                  <c:v>2240</c:v>
                </c:pt>
                <c:pt idx="13">
                  <c:v>4460</c:v>
                </c:pt>
                <c:pt idx="14">
                  <c:v>68920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54688"/>
        <c:axId val="953332800"/>
      </c:lineChart>
      <c:catAx>
        <c:axId val="962354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3332800"/>
        <c:crosses val="autoZero"/>
        <c:auto val="1"/>
        <c:lblAlgn val="ctr"/>
        <c:lblOffset val="100"/>
        <c:noMultiLvlLbl val="0"/>
      </c:catAx>
      <c:valAx>
        <c:axId val="9533328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2354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79% 83% 100% 100% 0% 33% 0% 92% 100% 100% 58% 96%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0.79032105760151083</c:v>
                </c:pt>
                <c:pt idx="3">
                  <c:v>0.83265490728177294</c:v>
                </c:pt>
                <c:pt idx="4">
                  <c:v>0.99892280071813289</c:v>
                </c:pt>
                <c:pt idx="5">
                  <c:v>0.99853862212943634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0.91666666666666663</c:v>
                </c:pt>
                <c:pt idx="10">
                  <c:v>0.99855967078189301</c:v>
                </c:pt>
                <c:pt idx="11">
                  <c:v>0.99982638888888886</c:v>
                </c:pt>
                <c:pt idx="12">
                  <c:v>0.58125000000000004</c:v>
                </c:pt>
                <c:pt idx="13">
                  <c:v>0.95768871449925264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0.62718414412672585</c:v>
                </c:pt>
                <c:pt idx="1">
                  <c:v>0.62718414412672585</c:v>
                </c:pt>
                <c:pt idx="2">
                  <c:v>0.62718414412672585</c:v>
                </c:pt>
                <c:pt idx="3">
                  <c:v>0.62718414412672585</c:v>
                </c:pt>
                <c:pt idx="4">
                  <c:v>0.62718414412672585</c:v>
                </c:pt>
                <c:pt idx="5">
                  <c:v>0.62718414412672585</c:v>
                </c:pt>
                <c:pt idx="6">
                  <c:v>0.62718414412672585</c:v>
                </c:pt>
                <c:pt idx="7">
                  <c:v>0.62718414412672585</c:v>
                </c:pt>
                <c:pt idx="8">
                  <c:v>0.62718414412672585</c:v>
                </c:pt>
                <c:pt idx="9">
                  <c:v>0.62718414412672585</c:v>
                </c:pt>
                <c:pt idx="10">
                  <c:v>0.62718414412672585</c:v>
                </c:pt>
                <c:pt idx="11">
                  <c:v>0.62718414412672585</c:v>
                </c:pt>
                <c:pt idx="12">
                  <c:v>0.62718414412672585</c:v>
                </c:pt>
                <c:pt idx="13">
                  <c:v>0.62718414412672585</c:v>
                </c:pt>
                <c:pt idx="14">
                  <c:v>0.62718414412672585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72096"/>
        <c:axId val="953334528"/>
      </c:lineChart>
      <c:catAx>
        <c:axId val="96237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3334528"/>
        <c:crosses val="autoZero"/>
        <c:auto val="1"/>
        <c:lblAlgn val="ctr"/>
        <c:lblOffset val="100"/>
        <c:noMultiLvlLbl val="0"/>
      </c:catAx>
      <c:valAx>
        <c:axId val="953334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237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3524</c:v>
                </c:pt>
                <c:pt idx="3">
                  <c:v>7364</c:v>
                </c:pt>
                <c:pt idx="4">
                  <c:v>5564</c:v>
                </c:pt>
                <c:pt idx="5">
                  <c:v>4783</c:v>
                </c:pt>
                <c:pt idx="7">
                  <c:v>1120</c:v>
                </c:pt>
                <c:pt idx="9">
                  <c:v>15880</c:v>
                </c:pt>
                <c:pt idx="10">
                  <c:v>4853</c:v>
                </c:pt>
                <c:pt idx="11">
                  <c:v>11518</c:v>
                </c:pt>
                <c:pt idx="12">
                  <c:v>2232</c:v>
                </c:pt>
                <c:pt idx="13">
                  <c:v>4457</c:v>
                </c:pt>
                <c:pt idx="14">
                  <c:v>68920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2">
                  <c:v>3530</c:v>
                </c:pt>
                <c:pt idx="3">
                  <c:v>7370</c:v>
                </c:pt>
                <c:pt idx="4">
                  <c:v>5570</c:v>
                </c:pt>
                <c:pt idx="5">
                  <c:v>4790</c:v>
                </c:pt>
                <c:pt idx="6">
                  <c:v>4140</c:v>
                </c:pt>
                <c:pt idx="7">
                  <c:v>1120</c:v>
                </c:pt>
                <c:pt idx="8">
                  <c:v>501</c:v>
                </c:pt>
                <c:pt idx="9">
                  <c:v>15880</c:v>
                </c:pt>
                <c:pt idx="10">
                  <c:v>4860</c:v>
                </c:pt>
                <c:pt idx="11">
                  <c:v>11520</c:v>
                </c:pt>
                <c:pt idx="12">
                  <c:v>2240</c:v>
                </c:pt>
                <c:pt idx="13">
                  <c:v>4460</c:v>
                </c:pt>
                <c:pt idx="14">
                  <c:v>68920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73120"/>
        <c:axId val="954075968"/>
      </c:lineChart>
      <c:catAx>
        <c:axId val="962373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54075968"/>
        <c:crosses val="autoZero"/>
        <c:auto val="1"/>
        <c:lblAlgn val="ctr"/>
        <c:lblOffset val="100"/>
        <c:noMultiLvlLbl val="0"/>
      </c:catAx>
      <c:valAx>
        <c:axId val="9540759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2373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79% 83% 100% 100% 0% 33% 0% 92% 100% 100% 58% 96%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0.79032105760151083</c:v>
                </c:pt>
                <c:pt idx="3">
                  <c:v>0.83265490728177294</c:v>
                </c:pt>
                <c:pt idx="4">
                  <c:v>0.99892280071813289</c:v>
                </c:pt>
                <c:pt idx="5">
                  <c:v>0.99853862212943634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0.91666666666666663</c:v>
                </c:pt>
                <c:pt idx="10">
                  <c:v>0.99855967078189301</c:v>
                </c:pt>
                <c:pt idx="11">
                  <c:v>0.99982638888888886</c:v>
                </c:pt>
                <c:pt idx="12">
                  <c:v>0.58125000000000004</c:v>
                </c:pt>
                <c:pt idx="13">
                  <c:v>0.95768871449925264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0.62718414412672585</c:v>
                </c:pt>
                <c:pt idx="1">
                  <c:v>0.62718414412672585</c:v>
                </c:pt>
                <c:pt idx="2">
                  <c:v>0.62718414412672585</c:v>
                </c:pt>
                <c:pt idx="3">
                  <c:v>0.62718414412672585</c:v>
                </c:pt>
                <c:pt idx="4">
                  <c:v>0.62718414412672585</c:v>
                </c:pt>
                <c:pt idx="5">
                  <c:v>0.62718414412672585</c:v>
                </c:pt>
                <c:pt idx="6">
                  <c:v>0.62718414412672585</c:v>
                </c:pt>
                <c:pt idx="7">
                  <c:v>0.62718414412672585</c:v>
                </c:pt>
                <c:pt idx="8">
                  <c:v>0.62718414412672585</c:v>
                </c:pt>
                <c:pt idx="9">
                  <c:v>0.62718414412672585</c:v>
                </c:pt>
                <c:pt idx="10">
                  <c:v>0.62718414412672585</c:v>
                </c:pt>
                <c:pt idx="11">
                  <c:v>0.62718414412672585</c:v>
                </c:pt>
                <c:pt idx="12">
                  <c:v>0.62718414412672585</c:v>
                </c:pt>
                <c:pt idx="13">
                  <c:v>0.62718414412672585</c:v>
                </c:pt>
                <c:pt idx="14">
                  <c:v>0.62718414412672585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73632"/>
        <c:axId val="954078272"/>
      </c:lineChart>
      <c:catAx>
        <c:axId val="9623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54078272"/>
        <c:crosses val="autoZero"/>
        <c:auto val="1"/>
        <c:lblAlgn val="ctr"/>
        <c:lblOffset val="100"/>
        <c:noMultiLvlLbl val="0"/>
      </c:catAx>
      <c:valAx>
        <c:axId val="9540782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237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374144"/>
        <c:axId val="9540805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74144"/>
        <c:axId val="954080576"/>
      </c:lineChart>
      <c:catAx>
        <c:axId val="96237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954080576"/>
        <c:crosses val="autoZero"/>
        <c:auto val="1"/>
        <c:lblAlgn val="ctr"/>
        <c:lblOffset val="100"/>
        <c:noMultiLvlLbl val="0"/>
      </c:catAx>
      <c:valAx>
        <c:axId val="954080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23741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6467</c:v>
                </c:pt>
                <c:pt idx="3">
                  <c:v>3758</c:v>
                </c:pt>
                <c:pt idx="4">
                  <c:v>2489</c:v>
                </c:pt>
                <c:pt idx="5">
                  <c:v>2325</c:v>
                </c:pt>
                <c:pt idx="6">
                  <c:v>5066</c:v>
                </c:pt>
                <c:pt idx="7">
                  <c:v>3062</c:v>
                </c:pt>
                <c:pt idx="8">
                  <c:v>1579</c:v>
                </c:pt>
                <c:pt idx="11">
                  <c:v>4860</c:v>
                </c:pt>
                <c:pt idx="12">
                  <c:v>11724</c:v>
                </c:pt>
                <c:pt idx="13">
                  <c:v>4609</c:v>
                </c:pt>
                <c:pt idx="14">
                  <c:v>5150</c:v>
                </c:pt>
                <c:pt idx="15">
                  <c:v>32864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2">
                  <c:v>6470</c:v>
                </c:pt>
                <c:pt idx="3">
                  <c:v>3760</c:v>
                </c:pt>
                <c:pt idx="4">
                  <c:v>2490</c:v>
                </c:pt>
                <c:pt idx="5">
                  <c:v>2330</c:v>
                </c:pt>
                <c:pt idx="6">
                  <c:v>5070</c:v>
                </c:pt>
                <c:pt idx="7">
                  <c:v>3070</c:v>
                </c:pt>
                <c:pt idx="8">
                  <c:v>1580</c:v>
                </c:pt>
                <c:pt idx="9">
                  <c:v>501</c:v>
                </c:pt>
                <c:pt idx="10">
                  <c:v>15880</c:v>
                </c:pt>
                <c:pt idx="11">
                  <c:v>4860</c:v>
                </c:pt>
                <c:pt idx="12">
                  <c:v>11730</c:v>
                </c:pt>
                <c:pt idx="13">
                  <c:v>4610</c:v>
                </c:pt>
                <c:pt idx="14">
                  <c:v>5150</c:v>
                </c:pt>
                <c:pt idx="15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10400"/>
        <c:axId val="962766528"/>
      </c:lineChart>
      <c:catAx>
        <c:axId val="9631104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62766528"/>
        <c:crosses val="autoZero"/>
        <c:auto val="1"/>
        <c:lblAlgn val="ctr"/>
        <c:lblOffset val="100"/>
        <c:noMultiLvlLbl val="0"/>
      </c:catAx>
      <c:valAx>
        <c:axId val="9627665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3110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0% 0% 100% 42% 46% 50% 100% 87% 42% 0% 0% 100% 100% 96% 100%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0.99953632148377125</c:v>
                </c:pt>
                <c:pt idx="3">
                  <c:v>0.41644503546099293</c:v>
                </c:pt>
                <c:pt idx="4">
                  <c:v>0.45814926372155285</c:v>
                </c:pt>
                <c:pt idx="5">
                  <c:v>0.49892703862660942</c:v>
                </c:pt>
                <c:pt idx="6">
                  <c:v>0.99921104536489147</c:v>
                </c:pt>
                <c:pt idx="7">
                  <c:v>0.87271986970684046</c:v>
                </c:pt>
                <c:pt idx="8">
                  <c:v>0.41640295358649793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0.99948849104859339</c:v>
                </c:pt>
                <c:pt idx="13">
                  <c:v>0.95812545191612442</c:v>
                </c:pt>
                <c:pt idx="14">
                  <c:v>1</c:v>
                </c:pt>
                <c:pt idx="15">
                  <c:v>0.49990873136598724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0.60792761348545754</c:v>
                </c:pt>
                <c:pt idx="1">
                  <c:v>0.60792761348545754</c:v>
                </c:pt>
                <c:pt idx="2">
                  <c:v>0.60792761348545754</c:v>
                </c:pt>
                <c:pt idx="3">
                  <c:v>0.60792761348545754</c:v>
                </c:pt>
                <c:pt idx="4">
                  <c:v>0.60792761348545754</c:v>
                </c:pt>
                <c:pt idx="5">
                  <c:v>0.60792761348545754</c:v>
                </c:pt>
                <c:pt idx="6">
                  <c:v>0.60792761348545754</c:v>
                </c:pt>
                <c:pt idx="7">
                  <c:v>0.60792761348545754</c:v>
                </c:pt>
                <c:pt idx="8">
                  <c:v>0.60792761348545754</c:v>
                </c:pt>
                <c:pt idx="9">
                  <c:v>0.60792761348545754</c:v>
                </c:pt>
                <c:pt idx="10">
                  <c:v>0.60792761348545754</c:v>
                </c:pt>
                <c:pt idx="11">
                  <c:v>0.60792761348545754</c:v>
                </c:pt>
                <c:pt idx="12">
                  <c:v>0.60792761348545754</c:v>
                </c:pt>
                <c:pt idx="13">
                  <c:v>0.60792761348545754</c:v>
                </c:pt>
                <c:pt idx="14">
                  <c:v>0.60792761348545754</c:v>
                </c:pt>
                <c:pt idx="15">
                  <c:v>0.60792761348545754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12448"/>
        <c:axId val="962768256"/>
      </c:lineChart>
      <c:catAx>
        <c:axId val="96311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62768256"/>
        <c:crosses val="autoZero"/>
        <c:auto val="1"/>
        <c:lblAlgn val="ctr"/>
        <c:lblOffset val="100"/>
        <c:noMultiLvlLbl val="0"/>
      </c:catAx>
      <c:valAx>
        <c:axId val="962768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311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6467</c:v>
                </c:pt>
                <c:pt idx="3">
                  <c:v>3758</c:v>
                </c:pt>
                <c:pt idx="4">
                  <c:v>2489</c:v>
                </c:pt>
                <c:pt idx="5">
                  <c:v>2325</c:v>
                </c:pt>
                <c:pt idx="6">
                  <c:v>5066</c:v>
                </c:pt>
                <c:pt idx="7">
                  <c:v>3062</c:v>
                </c:pt>
                <c:pt idx="8">
                  <c:v>1579</c:v>
                </c:pt>
                <c:pt idx="11">
                  <c:v>4860</c:v>
                </c:pt>
                <c:pt idx="12">
                  <c:v>11724</c:v>
                </c:pt>
                <c:pt idx="13">
                  <c:v>4609</c:v>
                </c:pt>
                <c:pt idx="14">
                  <c:v>5150</c:v>
                </c:pt>
                <c:pt idx="15">
                  <c:v>32864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2">
                  <c:v>6470</c:v>
                </c:pt>
                <c:pt idx="3">
                  <c:v>3760</c:v>
                </c:pt>
                <c:pt idx="4">
                  <c:v>2490</c:v>
                </c:pt>
                <c:pt idx="5">
                  <c:v>2330</c:v>
                </c:pt>
                <c:pt idx="6">
                  <c:v>5070</c:v>
                </c:pt>
                <c:pt idx="7">
                  <c:v>3070</c:v>
                </c:pt>
                <c:pt idx="8">
                  <c:v>1580</c:v>
                </c:pt>
                <c:pt idx="9">
                  <c:v>501</c:v>
                </c:pt>
                <c:pt idx="10">
                  <c:v>15880</c:v>
                </c:pt>
                <c:pt idx="11">
                  <c:v>4860</c:v>
                </c:pt>
                <c:pt idx="12">
                  <c:v>11730</c:v>
                </c:pt>
                <c:pt idx="13">
                  <c:v>4610</c:v>
                </c:pt>
                <c:pt idx="14">
                  <c:v>5150</c:v>
                </c:pt>
                <c:pt idx="15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35200"/>
        <c:axId val="962770560"/>
      </c:lineChart>
      <c:catAx>
        <c:axId val="9700352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62770560"/>
        <c:crosses val="autoZero"/>
        <c:auto val="1"/>
        <c:lblAlgn val="ctr"/>
        <c:lblOffset val="100"/>
        <c:noMultiLvlLbl val="0"/>
      </c:catAx>
      <c:valAx>
        <c:axId val="962770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003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0% 0% 100% 42% 46% 50% 100% 87% 42% 0% 0% 100% 100% 96% 100%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0.99953632148377125</c:v>
                </c:pt>
                <c:pt idx="3">
                  <c:v>0.41644503546099293</c:v>
                </c:pt>
                <c:pt idx="4">
                  <c:v>0.45814926372155285</c:v>
                </c:pt>
                <c:pt idx="5">
                  <c:v>0.49892703862660942</c:v>
                </c:pt>
                <c:pt idx="6">
                  <c:v>0.99921104536489147</c:v>
                </c:pt>
                <c:pt idx="7">
                  <c:v>0.87271986970684046</c:v>
                </c:pt>
                <c:pt idx="8">
                  <c:v>0.41640295358649793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0.99948849104859339</c:v>
                </c:pt>
                <c:pt idx="13">
                  <c:v>0.95812545191612442</c:v>
                </c:pt>
                <c:pt idx="14">
                  <c:v>1</c:v>
                </c:pt>
                <c:pt idx="15">
                  <c:v>0.49990873136598724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2">
                  <c:v>LEAD GUIDE</c:v>
                </c:pt>
                <c:pt idx="3">
                  <c:v>STOPPER</c:v>
                </c:pt>
                <c:pt idx="4">
                  <c:v>SLIDER</c:v>
                </c:pt>
                <c:pt idx="5">
                  <c:v>SLIDER</c:v>
                </c:pt>
                <c:pt idx="6">
                  <c:v>SLIDER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BODY</c:v>
                </c:pt>
                <c:pt idx="12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0.60792761348545754</c:v>
                </c:pt>
                <c:pt idx="1">
                  <c:v>0.60792761348545754</c:v>
                </c:pt>
                <c:pt idx="2">
                  <c:v>0.60792761348545754</c:v>
                </c:pt>
                <c:pt idx="3">
                  <c:v>0.60792761348545754</c:v>
                </c:pt>
                <c:pt idx="4">
                  <c:v>0.60792761348545754</c:v>
                </c:pt>
                <c:pt idx="5">
                  <c:v>0.60792761348545754</c:v>
                </c:pt>
                <c:pt idx="6">
                  <c:v>0.60792761348545754</c:v>
                </c:pt>
                <c:pt idx="7">
                  <c:v>0.60792761348545754</c:v>
                </c:pt>
                <c:pt idx="8">
                  <c:v>0.60792761348545754</c:v>
                </c:pt>
                <c:pt idx="9">
                  <c:v>0.60792761348545754</c:v>
                </c:pt>
                <c:pt idx="10">
                  <c:v>0.60792761348545754</c:v>
                </c:pt>
                <c:pt idx="11">
                  <c:v>0.60792761348545754</c:v>
                </c:pt>
                <c:pt idx="12">
                  <c:v>0.60792761348545754</c:v>
                </c:pt>
                <c:pt idx="13">
                  <c:v>0.60792761348545754</c:v>
                </c:pt>
                <c:pt idx="14">
                  <c:v>0.60792761348545754</c:v>
                </c:pt>
                <c:pt idx="15">
                  <c:v>0.60792761348545754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36736"/>
        <c:axId val="962772288"/>
      </c:lineChart>
      <c:catAx>
        <c:axId val="97003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62772288"/>
        <c:crosses val="autoZero"/>
        <c:auto val="1"/>
        <c:lblAlgn val="ctr"/>
        <c:lblOffset val="100"/>
        <c:noMultiLvlLbl val="0"/>
      </c:catAx>
      <c:valAx>
        <c:axId val="962772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0036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038272"/>
        <c:axId val="971269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38272"/>
        <c:axId val="971269824"/>
      </c:lineChart>
      <c:catAx>
        <c:axId val="9700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971269824"/>
        <c:crosses val="autoZero"/>
        <c:auto val="1"/>
        <c:lblAlgn val="ctr"/>
        <c:lblOffset val="100"/>
        <c:noMultiLvlLbl val="0"/>
      </c:catAx>
      <c:valAx>
        <c:axId val="971269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00382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6237</c:v>
                </c:pt>
                <c:pt idx="3">
                  <c:v>5289</c:v>
                </c:pt>
                <c:pt idx="4">
                  <c:v>1191</c:v>
                </c:pt>
                <c:pt idx="5">
                  <c:v>4344</c:v>
                </c:pt>
                <c:pt idx="6">
                  <c:v>3955</c:v>
                </c:pt>
                <c:pt idx="7">
                  <c:v>2946</c:v>
                </c:pt>
                <c:pt idx="8">
                  <c:v>47</c:v>
                </c:pt>
                <c:pt idx="10">
                  <c:v>4517</c:v>
                </c:pt>
                <c:pt idx="11">
                  <c:v>11704</c:v>
                </c:pt>
                <c:pt idx="12">
                  <c:v>1982</c:v>
                </c:pt>
                <c:pt idx="13">
                  <c:v>5194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2">
                  <c:v>6240</c:v>
                </c:pt>
                <c:pt idx="3">
                  <c:v>5290</c:v>
                </c:pt>
                <c:pt idx="4">
                  <c:v>1200</c:v>
                </c:pt>
                <c:pt idx="5">
                  <c:v>4350</c:v>
                </c:pt>
                <c:pt idx="6">
                  <c:v>3960</c:v>
                </c:pt>
                <c:pt idx="7">
                  <c:v>2950</c:v>
                </c:pt>
                <c:pt idx="8">
                  <c:v>50</c:v>
                </c:pt>
                <c:pt idx="9">
                  <c:v>15880</c:v>
                </c:pt>
                <c:pt idx="10">
                  <c:v>4520</c:v>
                </c:pt>
                <c:pt idx="11">
                  <c:v>11710</c:v>
                </c:pt>
                <c:pt idx="12">
                  <c:v>1982</c:v>
                </c:pt>
                <c:pt idx="13">
                  <c:v>5195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75008"/>
        <c:axId val="971272704"/>
      </c:lineChart>
      <c:catAx>
        <c:axId val="9720750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1272704"/>
        <c:crosses val="autoZero"/>
        <c:auto val="1"/>
        <c:lblAlgn val="ctr"/>
        <c:lblOffset val="100"/>
        <c:noMultiLvlLbl val="0"/>
      </c:catAx>
      <c:valAx>
        <c:axId val="9712727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207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100% 100% 33% 83% 100% 71% 16% 0% 100% 100% 42%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0.99951923076923077</c:v>
                </c:pt>
                <c:pt idx="3">
                  <c:v>0.99981096408317582</c:v>
                </c:pt>
                <c:pt idx="4">
                  <c:v>0.33083333333333331</c:v>
                </c:pt>
                <c:pt idx="5">
                  <c:v>0.83218390804597697</c:v>
                </c:pt>
                <c:pt idx="6">
                  <c:v>0.9987373737373737</c:v>
                </c:pt>
                <c:pt idx="7">
                  <c:v>0.70737288135593224</c:v>
                </c:pt>
                <c:pt idx="8">
                  <c:v>0.15666666666666665</c:v>
                </c:pt>
                <c:pt idx="9">
                  <c:v>0</c:v>
                </c:pt>
                <c:pt idx="10">
                  <c:v>0.99933628318584067</c:v>
                </c:pt>
                <c:pt idx="11">
                  <c:v>0.99948761742100767</c:v>
                </c:pt>
                <c:pt idx="12">
                  <c:v>0.41666666666666669</c:v>
                </c:pt>
                <c:pt idx="13">
                  <c:v>0.99980750721847933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0.56269482883224564</c:v>
                </c:pt>
                <c:pt idx="1">
                  <c:v>0.56269482883224564</c:v>
                </c:pt>
                <c:pt idx="2">
                  <c:v>0.56269482883224564</c:v>
                </c:pt>
                <c:pt idx="3">
                  <c:v>0.56269482883224564</c:v>
                </c:pt>
                <c:pt idx="4">
                  <c:v>0.56269482883224564</c:v>
                </c:pt>
                <c:pt idx="5">
                  <c:v>0.56269482883224564</c:v>
                </c:pt>
                <c:pt idx="6">
                  <c:v>0.56269482883224564</c:v>
                </c:pt>
                <c:pt idx="7">
                  <c:v>0.56269482883224564</c:v>
                </c:pt>
                <c:pt idx="8">
                  <c:v>0.56269482883224564</c:v>
                </c:pt>
                <c:pt idx="9">
                  <c:v>0.56269482883224564</c:v>
                </c:pt>
                <c:pt idx="10">
                  <c:v>0.56269482883224564</c:v>
                </c:pt>
                <c:pt idx="11">
                  <c:v>0.56269482883224564</c:v>
                </c:pt>
                <c:pt idx="12">
                  <c:v>0.56269482883224564</c:v>
                </c:pt>
                <c:pt idx="13">
                  <c:v>0.56269482883224564</c:v>
                </c:pt>
                <c:pt idx="14">
                  <c:v>0.56269482883224564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76544"/>
        <c:axId val="971274432"/>
      </c:lineChart>
      <c:catAx>
        <c:axId val="97207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1274432"/>
        <c:crosses val="autoZero"/>
        <c:auto val="1"/>
        <c:lblAlgn val="ctr"/>
        <c:lblOffset val="100"/>
        <c:noMultiLvlLbl val="0"/>
      </c:catAx>
      <c:valAx>
        <c:axId val="971274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207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6237</c:v>
                </c:pt>
                <c:pt idx="3">
                  <c:v>5289</c:v>
                </c:pt>
                <c:pt idx="4">
                  <c:v>1191</c:v>
                </c:pt>
                <c:pt idx="5">
                  <c:v>4344</c:v>
                </c:pt>
                <c:pt idx="6">
                  <c:v>3955</c:v>
                </c:pt>
                <c:pt idx="7">
                  <c:v>2946</c:v>
                </c:pt>
                <c:pt idx="8">
                  <c:v>47</c:v>
                </c:pt>
                <c:pt idx="10">
                  <c:v>4517</c:v>
                </c:pt>
                <c:pt idx="11">
                  <c:v>11704</c:v>
                </c:pt>
                <c:pt idx="12">
                  <c:v>1982</c:v>
                </c:pt>
                <c:pt idx="13">
                  <c:v>5194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2">
                  <c:v>6240</c:v>
                </c:pt>
                <c:pt idx="3">
                  <c:v>5290</c:v>
                </c:pt>
                <c:pt idx="4">
                  <c:v>1200</c:v>
                </c:pt>
                <c:pt idx="5">
                  <c:v>4350</c:v>
                </c:pt>
                <c:pt idx="6">
                  <c:v>3960</c:v>
                </c:pt>
                <c:pt idx="7">
                  <c:v>2950</c:v>
                </c:pt>
                <c:pt idx="8">
                  <c:v>50</c:v>
                </c:pt>
                <c:pt idx="9">
                  <c:v>15880</c:v>
                </c:pt>
                <c:pt idx="10">
                  <c:v>4520</c:v>
                </c:pt>
                <c:pt idx="11">
                  <c:v>11710</c:v>
                </c:pt>
                <c:pt idx="12">
                  <c:v>1982</c:v>
                </c:pt>
                <c:pt idx="13">
                  <c:v>5195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77056"/>
        <c:axId val="972538432"/>
      </c:lineChart>
      <c:catAx>
        <c:axId val="972077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2538432"/>
        <c:crosses val="autoZero"/>
        <c:auto val="1"/>
        <c:lblAlgn val="ctr"/>
        <c:lblOffset val="100"/>
        <c:noMultiLvlLbl val="0"/>
      </c:catAx>
      <c:valAx>
        <c:axId val="972538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207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100% 100% 33% 83% 100% 71% 16% 0% 100% 100% 42%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0.99951923076923077</c:v>
                </c:pt>
                <c:pt idx="3">
                  <c:v>0.99981096408317582</c:v>
                </c:pt>
                <c:pt idx="4">
                  <c:v>0.33083333333333331</c:v>
                </c:pt>
                <c:pt idx="5">
                  <c:v>0.83218390804597697</c:v>
                </c:pt>
                <c:pt idx="6">
                  <c:v>0.9987373737373737</c:v>
                </c:pt>
                <c:pt idx="7">
                  <c:v>0.70737288135593224</c:v>
                </c:pt>
                <c:pt idx="8">
                  <c:v>0.15666666666666665</c:v>
                </c:pt>
                <c:pt idx="9">
                  <c:v>0</c:v>
                </c:pt>
                <c:pt idx="10">
                  <c:v>0.99933628318584067</c:v>
                </c:pt>
                <c:pt idx="11">
                  <c:v>0.99948761742100767</c:v>
                </c:pt>
                <c:pt idx="12">
                  <c:v>0.41666666666666669</c:v>
                </c:pt>
                <c:pt idx="13">
                  <c:v>0.99980750721847933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0.56269482883224564</c:v>
                </c:pt>
                <c:pt idx="1">
                  <c:v>0.56269482883224564</c:v>
                </c:pt>
                <c:pt idx="2">
                  <c:v>0.56269482883224564</c:v>
                </c:pt>
                <c:pt idx="3">
                  <c:v>0.56269482883224564</c:v>
                </c:pt>
                <c:pt idx="4">
                  <c:v>0.56269482883224564</c:v>
                </c:pt>
                <c:pt idx="5">
                  <c:v>0.56269482883224564</c:v>
                </c:pt>
                <c:pt idx="6">
                  <c:v>0.56269482883224564</c:v>
                </c:pt>
                <c:pt idx="7">
                  <c:v>0.56269482883224564</c:v>
                </c:pt>
                <c:pt idx="8">
                  <c:v>0.56269482883224564</c:v>
                </c:pt>
                <c:pt idx="9">
                  <c:v>0.56269482883224564</c:v>
                </c:pt>
                <c:pt idx="10">
                  <c:v>0.56269482883224564</c:v>
                </c:pt>
                <c:pt idx="11">
                  <c:v>0.56269482883224564</c:v>
                </c:pt>
                <c:pt idx="12">
                  <c:v>0.56269482883224564</c:v>
                </c:pt>
                <c:pt idx="13">
                  <c:v>0.56269482883224564</c:v>
                </c:pt>
                <c:pt idx="14">
                  <c:v>0.56269482883224564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78080"/>
        <c:axId val="972540160"/>
      </c:lineChart>
      <c:catAx>
        <c:axId val="97207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2540160"/>
        <c:crosses val="autoZero"/>
        <c:auto val="1"/>
        <c:lblAlgn val="ctr"/>
        <c:lblOffset val="100"/>
        <c:noMultiLvlLbl val="0"/>
      </c:catAx>
      <c:valAx>
        <c:axId val="972540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2078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036224"/>
        <c:axId val="9725424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36224"/>
        <c:axId val="972542464"/>
      </c:lineChart>
      <c:catAx>
        <c:axId val="97003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972542464"/>
        <c:crosses val="autoZero"/>
        <c:auto val="1"/>
        <c:lblAlgn val="ctr"/>
        <c:lblOffset val="100"/>
        <c:noMultiLvlLbl val="0"/>
      </c:catAx>
      <c:valAx>
        <c:axId val="972542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00362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2356</c:v>
                </c:pt>
                <c:pt idx="3">
                  <c:v>2506</c:v>
                </c:pt>
                <c:pt idx="4">
                  <c:v>1007</c:v>
                </c:pt>
                <c:pt idx="5">
                  <c:v>871</c:v>
                </c:pt>
                <c:pt idx="6">
                  <c:v>2262</c:v>
                </c:pt>
                <c:pt idx="7">
                  <c:v>2628</c:v>
                </c:pt>
                <c:pt idx="8">
                  <c:v>150</c:v>
                </c:pt>
                <c:pt idx="10">
                  <c:v>2135</c:v>
                </c:pt>
                <c:pt idx="12">
                  <c:v>1137</c:v>
                </c:pt>
                <c:pt idx="13">
                  <c:v>2223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2">
                  <c:v>2360</c:v>
                </c:pt>
                <c:pt idx="3">
                  <c:v>2510</c:v>
                </c:pt>
                <c:pt idx="4">
                  <c:v>1010</c:v>
                </c:pt>
                <c:pt idx="5">
                  <c:v>871</c:v>
                </c:pt>
                <c:pt idx="6">
                  <c:v>2270</c:v>
                </c:pt>
                <c:pt idx="7">
                  <c:v>2630</c:v>
                </c:pt>
                <c:pt idx="8">
                  <c:v>150</c:v>
                </c:pt>
                <c:pt idx="9">
                  <c:v>15880</c:v>
                </c:pt>
                <c:pt idx="10">
                  <c:v>2140</c:v>
                </c:pt>
                <c:pt idx="11">
                  <c:v>11710</c:v>
                </c:pt>
                <c:pt idx="12">
                  <c:v>1140</c:v>
                </c:pt>
                <c:pt idx="13">
                  <c:v>2230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396928"/>
        <c:axId val="972545344"/>
      </c:lineChart>
      <c:catAx>
        <c:axId val="9743969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2545344"/>
        <c:crosses val="autoZero"/>
        <c:auto val="1"/>
        <c:lblAlgn val="ctr"/>
        <c:lblOffset val="100"/>
        <c:noMultiLvlLbl val="0"/>
      </c:catAx>
      <c:valAx>
        <c:axId val="972545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4396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0% 42% 42% 29% 25% 42% 42% 21% 0% 42% 0% 25%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0.41596045197740117</c:v>
                </c:pt>
                <c:pt idx="3">
                  <c:v>0.4160026560424967</c:v>
                </c:pt>
                <c:pt idx="4">
                  <c:v>0.29080033003300332</c:v>
                </c:pt>
                <c:pt idx="5">
                  <c:v>0.25</c:v>
                </c:pt>
                <c:pt idx="6">
                  <c:v>0.41519823788546256</c:v>
                </c:pt>
                <c:pt idx="7">
                  <c:v>0.41634980988593157</c:v>
                </c:pt>
                <c:pt idx="8">
                  <c:v>0.20833333333333334</c:v>
                </c:pt>
                <c:pt idx="9">
                  <c:v>0</c:v>
                </c:pt>
                <c:pt idx="10">
                  <c:v>0.41569314641744548</c:v>
                </c:pt>
                <c:pt idx="11">
                  <c:v>0</c:v>
                </c:pt>
                <c:pt idx="12">
                  <c:v>0.24934210526315789</c:v>
                </c:pt>
                <c:pt idx="13">
                  <c:v>0.41535874439461884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0.23286925434885672</c:v>
                </c:pt>
                <c:pt idx="1">
                  <c:v>0.23286925434885672</c:v>
                </c:pt>
                <c:pt idx="2">
                  <c:v>0.23286925434885672</c:v>
                </c:pt>
                <c:pt idx="3">
                  <c:v>0.23286925434885672</c:v>
                </c:pt>
                <c:pt idx="4">
                  <c:v>0.23286925434885672</c:v>
                </c:pt>
                <c:pt idx="5">
                  <c:v>0.23286925434885672</c:v>
                </c:pt>
                <c:pt idx="6">
                  <c:v>0.23286925434885672</c:v>
                </c:pt>
                <c:pt idx="7">
                  <c:v>0.23286925434885672</c:v>
                </c:pt>
                <c:pt idx="8">
                  <c:v>0.23286925434885672</c:v>
                </c:pt>
                <c:pt idx="9">
                  <c:v>0.23286925434885672</c:v>
                </c:pt>
                <c:pt idx="10">
                  <c:v>0.23286925434885672</c:v>
                </c:pt>
                <c:pt idx="11">
                  <c:v>0.23286925434885672</c:v>
                </c:pt>
                <c:pt idx="12">
                  <c:v>0.23286925434885672</c:v>
                </c:pt>
                <c:pt idx="13">
                  <c:v>0.23286925434885672</c:v>
                </c:pt>
                <c:pt idx="14">
                  <c:v>0.23286925434885672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03072"/>
        <c:axId val="949970048"/>
      </c:lineChart>
      <c:catAx>
        <c:axId val="97440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9970048"/>
        <c:crosses val="autoZero"/>
        <c:auto val="1"/>
        <c:lblAlgn val="ctr"/>
        <c:lblOffset val="100"/>
        <c:noMultiLvlLbl val="0"/>
      </c:catAx>
      <c:valAx>
        <c:axId val="949970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4403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2356</c:v>
                </c:pt>
                <c:pt idx="3">
                  <c:v>2506</c:v>
                </c:pt>
                <c:pt idx="4">
                  <c:v>1007</c:v>
                </c:pt>
                <c:pt idx="5">
                  <c:v>871</c:v>
                </c:pt>
                <c:pt idx="6">
                  <c:v>2262</c:v>
                </c:pt>
                <c:pt idx="7">
                  <c:v>2628</c:v>
                </c:pt>
                <c:pt idx="8">
                  <c:v>150</c:v>
                </c:pt>
                <c:pt idx="10">
                  <c:v>2135</c:v>
                </c:pt>
                <c:pt idx="12">
                  <c:v>1137</c:v>
                </c:pt>
                <c:pt idx="13">
                  <c:v>2223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2">
                  <c:v>2360</c:v>
                </c:pt>
                <c:pt idx="3">
                  <c:v>2510</c:v>
                </c:pt>
                <c:pt idx="4">
                  <c:v>1010</c:v>
                </c:pt>
                <c:pt idx="5">
                  <c:v>871</c:v>
                </c:pt>
                <c:pt idx="6">
                  <c:v>2270</c:v>
                </c:pt>
                <c:pt idx="7">
                  <c:v>2630</c:v>
                </c:pt>
                <c:pt idx="8">
                  <c:v>150</c:v>
                </c:pt>
                <c:pt idx="9">
                  <c:v>15880</c:v>
                </c:pt>
                <c:pt idx="10">
                  <c:v>2140</c:v>
                </c:pt>
                <c:pt idx="11">
                  <c:v>11710</c:v>
                </c:pt>
                <c:pt idx="12">
                  <c:v>1140</c:v>
                </c:pt>
                <c:pt idx="13">
                  <c:v>2230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03584"/>
        <c:axId val="949972352"/>
      </c:lineChart>
      <c:catAx>
        <c:axId val="9744035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49972352"/>
        <c:crosses val="autoZero"/>
        <c:auto val="1"/>
        <c:lblAlgn val="ctr"/>
        <c:lblOffset val="100"/>
        <c:noMultiLvlLbl val="0"/>
      </c:catAx>
      <c:valAx>
        <c:axId val="949972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4403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0% 42% 42% 29% 25% 42% 42% 21% 0% 42% 0% 25%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0.41596045197740117</c:v>
                </c:pt>
                <c:pt idx="3">
                  <c:v>0.4160026560424967</c:v>
                </c:pt>
                <c:pt idx="4">
                  <c:v>0.29080033003300332</c:v>
                </c:pt>
                <c:pt idx="5">
                  <c:v>0.25</c:v>
                </c:pt>
                <c:pt idx="6">
                  <c:v>0.41519823788546256</c:v>
                </c:pt>
                <c:pt idx="7">
                  <c:v>0.41634980988593157</c:v>
                </c:pt>
                <c:pt idx="8">
                  <c:v>0.20833333333333334</c:v>
                </c:pt>
                <c:pt idx="9">
                  <c:v>0</c:v>
                </c:pt>
                <c:pt idx="10">
                  <c:v>0.41569314641744548</c:v>
                </c:pt>
                <c:pt idx="11">
                  <c:v>0</c:v>
                </c:pt>
                <c:pt idx="12">
                  <c:v>0.24934210526315789</c:v>
                </c:pt>
                <c:pt idx="13">
                  <c:v>0.41535874439461884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BODY</c:v>
                </c:pt>
                <c:pt idx="11">
                  <c:v>SLIDER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0.23286925434885672</c:v>
                </c:pt>
                <c:pt idx="1">
                  <c:v>0.23286925434885672</c:v>
                </c:pt>
                <c:pt idx="2">
                  <c:v>0.23286925434885672</c:v>
                </c:pt>
                <c:pt idx="3">
                  <c:v>0.23286925434885672</c:v>
                </c:pt>
                <c:pt idx="4">
                  <c:v>0.23286925434885672</c:v>
                </c:pt>
                <c:pt idx="5">
                  <c:v>0.23286925434885672</c:v>
                </c:pt>
                <c:pt idx="6">
                  <c:v>0.23286925434885672</c:v>
                </c:pt>
                <c:pt idx="7">
                  <c:v>0.23286925434885672</c:v>
                </c:pt>
                <c:pt idx="8">
                  <c:v>0.23286925434885672</c:v>
                </c:pt>
                <c:pt idx="9">
                  <c:v>0.23286925434885672</c:v>
                </c:pt>
                <c:pt idx="10">
                  <c:v>0.23286925434885672</c:v>
                </c:pt>
                <c:pt idx="11">
                  <c:v>0.23286925434885672</c:v>
                </c:pt>
                <c:pt idx="12">
                  <c:v>0.23286925434885672</c:v>
                </c:pt>
                <c:pt idx="13">
                  <c:v>0.23286925434885672</c:v>
                </c:pt>
                <c:pt idx="14">
                  <c:v>0.23286925434885672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04608"/>
        <c:axId val="949974080"/>
      </c:lineChart>
      <c:catAx>
        <c:axId val="97440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49974080"/>
        <c:crosses val="autoZero"/>
        <c:auto val="1"/>
        <c:lblAlgn val="ctr"/>
        <c:lblOffset val="100"/>
        <c:noMultiLvlLbl val="0"/>
      </c:catAx>
      <c:valAx>
        <c:axId val="949974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4404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402560"/>
        <c:axId val="9499763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02560"/>
        <c:axId val="949976384"/>
      </c:lineChart>
      <c:catAx>
        <c:axId val="97440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949976384"/>
        <c:crosses val="autoZero"/>
        <c:auto val="1"/>
        <c:lblAlgn val="ctr"/>
        <c:lblOffset val="100"/>
        <c:noMultiLvlLbl val="0"/>
      </c:catAx>
      <c:valAx>
        <c:axId val="9499763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44025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1">
                  <c:v>2022</c:v>
                </c:pt>
                <c:pt idx="2">
                  <c:v>452</c:v>
                </c:pt>
                <c:pt idx="3">
                  <c:v>1800</c:v>
                </c:pt>
                <c:pt idx="4">
                  <c:v>2660</c:v>
                </c:pt>
                <c:pt idx="5">
                  <c:v>5147</c:v>
                </c:pt>
                <c:pt idx="6">
                  <c:v>2322</c:v>
                </c:pt>
                <c:pt idx="7">
                  <c:v>4171</c:v>
                </c:pt>
                <c:pt idx="8">
                  <c:v>1746</c:v>
                </c:pt>
                <c:pt idx="9">
                  <c:v>2472</c:v>
                </c:pt>
                <c:pt idx="11">
                  <c:v>1842</c:v>
                </c:pt>
                <c:pt idx="12">
                  <c:v>3024</c:v>
                </c:pt>
                <c:pt idx="13">
                  <c:v>3270</c:v>
                </c:pt>
                <c:pt idx="14">
                  <c:v>4847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1">
                  <c:v>2030</c:v>
                </c:pt>
                <c:pt idx="2">
                  <c:v>460</c:v>
                </c:pt>
                <c:pt idx="3">
                  <c:v>1800</c:v>
                </c:pt>
                <c:pt idx="4">
                  <c:v>2660</c:v>
                </c:pt>
                <c:pt idx="5">
                  <c:v>5150</c:v>
                </c:pt>
                <c:pt idx="6">
                  <c:v>2322</c:v>
                </c:pt>
                <c:pt idx="7">
                  <c:v>4180</c:v>
                </c:pt>
                <c:pt idx="8">
                  <c:v>1750</c:v>
                </c:pt>
                <c:pt idx="9">
                  <c:v>2480</c:v>
                </c:pt>
                <c:pt idx="10">
                  <c:v>15880</c:v>
                </c:pt>
                <c:pt idx="11">
                  <c:v>1850</c:v>
                </c:pt>
                <c:pt idx="12">
                  <c:v>3030</c:v>
                </c:pt>
                <c:pt idx="13">
                  <c:v>3270</c:v>
                </c:pt>
                <c:pt idx="14">
                  <c:v>4850</c:v>
                </c:pt>
                <c:pt idx="15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879552"/>
        <c:axId val="974563584"/>
      </c:lineChart>
      <c:catAx>
        <c:axId val="9698795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4563584"/>
        <c:crosses val="autoZero"/>
        <c:auto val="1"/>
        <c:lblAlgn val="ctr"/>
        <c:lblOffset val="100"/>
        <c:noMultiLvlLbl val="0"/>
      </c:catAx>
      <c:valAx>
        <c:axId val="9745635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987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50% 16% 33% 42% 100% 50% 100% 42% 54% 0% 46% 58% 79%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0.49802955665024629</c:v>
                </c:pt>
                <c:pt idx="2">
                  <c:v>0.16376811594202897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0.99941747572815531</c:v>
                </c:pt>
                <c:pt idx="6">
                  <c:v>0.5</c:v>
                </c:pt>
                <c:pt idx="7">
                  <c:v>0.99784688995215309</c:v>
                </c:pt>
                <c:pt idx="8">
                  <c:v>0.4157142857142857</c:v>
                </c:pt>
                <c:pt idx="9">
                  <c:v>0.53991935483870968</c:v>
                </c:pt>
                <c:pt idx="10">
                  <c:v>0</c:v>
                </c:pt>
                <c:pt idx="11">
                  <c:v>0.45635135135135135</c:v>
                </c:pt>
                <c:pt idx="12">
                  <c:v>0.58217821782178225</c:v>
                </c:pt>
                <c:pt idx="13">
                  <c:v>0.79166666666666663</c:v>
                </c:pt>
                <c:pt idx="14">
                  <c:v>0.99938144329896905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0.5129515571976232</c:v>
                </c:pt>
                <c:pt idx="1">
                  <c:v>0.5129515571976232</c:v>
                </c:pt>
                <c:pt idx="2">
                  <c:v>0.5129515571976232</c:v>
                </c:pt>
                <c:pt idx="3">
                  <c:v>0.5129515571976232</c:v>
                </c:pt>
                <c:pt idx="4">
                  <c:v>0.5129515571976232</c:v>
                </c:pt>
                <c:pt idx="5">
                  <c:v>0.5129515571976232</c:v>
                </c:pt>
                <c:pt idx="6">
                  <c:v>0.5129515571976232</c:v>
                </c:pt>
                <c:pt idx="7">
                  <c:v>0.5129515571976232</c:v>
                </c:pt>
                <c:pt idx="8">
                  <c:v>0.5129515571976232</c:v>
                </c:pt>
                <c:pt idx="9">
                  <c:v>0.5129515571976232</c:v>
                </c:pt>
                <c:pt idx="10">
                  <c:v>0.5129515571976232</c:v>
                </c:pt>
                <c:pt idx="11">
                  <c:v>0.5129515571976232</c:v>
                </c:pt>
                <c:pt idx="12">
                  <c:v>0.5129515571976232</c:v>
                </c:pt>
                <c:pt idx="13">
                  <c:v>0.5129515571976232</c:v>
                </c:pt>
                <c:pt idx="14">
                  <c:v>0.5129515571976232</c:v>
                </c:pt>
                <c:pt idx="15">
                  <c:v>0.5129515571976232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880576"/>
        <c:axId val="974565312"/>
      </c:lineChart>
      <c:catAx>
        <c:axId val="96988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4565312"/>
        <c:crosses val="autoZero"/>
        <c:auto val="1"/>
        <c:lblAlgn val="ctr"/>
        <c:lblOffset val="100"/>
        <c:noMultiLvlLbl val="0"/>
      </c:catAx>
      <c:valAx>
        <c:axId val="9745653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9880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1">
                  <c:v>2022</c:v>
                </c:pt>
                <c:pt idx="2">
                  <c:v>452</c:v>
                </c:pt>
                <c:pt idx="3">
                  <c:v>1800</c:v>
                </c:pt>
                <c:pt idx="4">
                  <c:v>2660</c:v>
                </c:pt>
                <c:pt idx="5">
                  <c:v>5147</c:v>
                </c:pt>
                <c:pt idx="6">
                  <c:v>2322</c:v>
                </c:pt>
                <c:pt idx="7">
                  <c:v>4171</c:v>
                </c:pt>
                <c:pt idx="8">
                  <c:v>1746</c:v>
                </c:pt>
                <c:pt idx="9">
                  <c:v>2472</c:v>
                </c:pt>
                <c:pt idx="11">
                  <c:v>1842</c:v>
                </c:pt>
                <c:pt idx="12">
                  <c:v>3024</c:v>
                </c:pt>
                <c:pt idx="13">
                  <c:v>3270</c:v>
                </c:pt>
                <c:pt idx="14">
                  <c:v>4847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1">
                  <c:v>2030</c:v>
                </c:pt>
                <c:pt idx="2">
                  <c:v>460</c:v>
                </c:pt>
                <c:pt idx="3">
                  <c:v>1800</c:v>
                </c:pt>
                <c:pt idx="4">
                  <c:v>2660</c:v>
                </c:pt>
                <c:pt idx="5">
                  <c:v>5150</c:v>
                </c:pt>
                <c:pt idx="6">
                  <c:v>2322</c:v>
                </c:pt>
                <c:pt idx="7">
                  <c:v>4180</c:v>
                </c:pt>
                <c:pt idx="8">
                  <c:v>1750</c:v>
                </c:pt>
                <c:pt idx="9">
                  <c:v>2480</c:v>
                </c:pt>
                <c:pt idx="10">
                  <c:v>15880</c:v>
                </c:pt>
                <c:pt idx="11">
                  <c:v>1850</c:v>
                </c:pt>
                <c:pt idx="12">
                  <c:v>3030</c:v>
                </c:pt>
                <c:pt idx="13">
                  <c:v>3270</c:v>
                </c:pt>
                <c:pt idx="14">
                  <c:v>4850</c:v>
                </c:pt>
                <c:pt idx="15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881088"/>
        <c:axId val="974567616"/>
      </c:lineChart>
      <c:catAx>
        <c:axId val="9698810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4567616"/>
        <c:crosses val="autoZero"/>
        <c:auto val="1"/>
        <c:lblAlgn val="ctr"/>
        <c:lblOffset val="100"/>
        <c:noMultiLvlLbl val="0"/>
      </c:catAx>
      <c:valAx>
        <c:axId val="974567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69881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50% 16% 33% 42% 100% 50% 100% 42% 54% 0% 46% 58% 79%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0.49802955665024629</c:v>
                </c:pt>
                <c:pt idx="2">
                  <c:v>0.16376811594202897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0.99941747572815531</c:v>
                </c:pt>
                <c:pt idx="6">
                  <c:v>0.5</c:v>
                </c:pt>
                <c:pt idx="7">
                  <c:v>0.99784688995215309</c:v>
                </c:pt>
                <c:pt idx="8">
                  <c:v>0.4157142857142857</c:v>
                </c:pt>
                <c:pt idx="9">
                  <c:v>0.53991935483870968</c:v>
                </c:pt>
                <c:pt idx="10">
                  <c:v>0</c:v>
                </c:pt>
                <c:pt idx="11">
                  <c:v>0.45635135135135135</c:v>
                </c:pt>
                <c:pt idx="12">
                  <c:v>0.58217821782178225</c:v>
                </c:pt>
                <c:pt idx="13">
                  <c:v>0.79166666666666663</c:v>
                </c:pt>
                <c:pt idx="14">
                  <c:v>0.99938144329896905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SLIDER</c:v>
                </c:pt>
                <c:pt idx="6">
                  <c:v>BOTTOM</c:v>
                </c:pt>
                <c:pt idx="7">
                  <c:v>BASE</c:v>
                </c:pt>
                <c:pt idx="8">
                  <c:v>ACTUATOR</c:v>
                </c:pt>
                <c:pt idx="9">
                  <c:v>COVER</c:v>
                </c:pt>
                <c:pt idx="10">
                  <c:v>BOTTOM</c:v>
                </c:pt>
                <c:pt idx="11">
                  <c:v>BODY</c:v>
                </c:pt>
                <c:pt idx="12">
                  <c:v>TOP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0.5129515571976232</c:v>
                </c:pt>
                <c:pt idx="1">
                  <c:v>0.5129515571976232</c:v>
                </c:pt>
                <c:pt idx="2">
                  <c:v>0.5129515571976232</c:v>
                </c:pt>
                <c:pt idx="3">
                  <c:v>0.5129515571976232</c:v>
                </c:pt>
                <c:pt idx="4">
                  <c:v>0.5129515571976232</c:v>
                </c:pt>
                <c:pt idx="5">
                  <c:v>0.5129515571976232</c:v>
                </c:pt>
                <c:pt idx="6">
                  <c:v>0.5129515571976232</c:v>
                </c:pt>
                <c:pt idx="7">
                  <c:v>0.5129515571976232</c:v>
                </c:pt>
                <c:pt idx="8">
                  <c:v>0.5129515571976232</c:v>
                </c:pt>
                <c:pt idx="9">
                  <c:v>0.5129515571976232</c:v>
                </c:pt>
                <c:pt idx="10">
                  <c:v>0.5129515571976232</c:v>
                </c:pt>
                <c:pt idx="11">
                  <c:v>0.5129515571976232</c:v>
                </c:pt>
                <c:pt idx="12">
                  <c:v>0.5129515571976232</c:v>
                </c:pt>
                <c:pt idx="13">
                  <c:v>0.5129515571976232</c:v>
                </c:pt>
                <c:pt idx="14">
                  <c:v>0.5129515571976232</c:v>
                </c:pt>
                <c:pt idx="15">
                  <c:v>0.5129515571976232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881600"/>
        <c:axId val="976027648"/>
      </c:lineChart>
      <c:catAx>
        <c:axId val="96988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6027648"/>
        <c:crosses val="autoZero"/>
        <c:auto val="1"/>
        <c:lblAlgn val="ctr"/>
        <c:lblOffset val="100"/>
        <c:noMultiLvlLbl val="0"/>
      </c:catAx>
      <c:valAx>
        <c:axId val="9760276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69881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9882112"/>
        <c:axId val="9760299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882112"/>
        <c:axId val="976029952"/>
      </c:lineChart>
      <c:catAx>
        <c:axId val="96988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976029952"/>
        <c:crosses val="autoZero"/>
        <c:auto val="1"/>
        <c:lblAlgn val="ctr"/>
        <c:lblOffset val="100"/>
        <c:noMultiLvlLbl val="0"/>
      </c:catAx>
      <c:valAx>
        <c:axId val="976029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698821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1">
                  <c:v>1159</c:v>
                </c:pt>
                <c:pt idx="2">
                  <c:v>3795</c:v>
                </c:pt>
                <c:pt idx="3">
                  <c:v>5083</c:v>
                </c:pt>
                <c:pt idx="4">
                  <c:v>3591</c:v>
                </c:pt>
                <c:pt idx="5">
                  <c:v>1351</c:v>
                </c:pt>
                <c:pt idx="6">
                  <c:v>4492</c:v>
                </c:pt>
                <c:pt idx="8">
                  <c:v>645</c:v>
                </c:pt>
                <c:pt idx="10">
                  <c:v>689</c:v>
                </c:pt>
                <c:pt idx="11">
                  <c:v>652</c:v>
                </c:pt>
                <c:pt idx="12">
                  <c:v>2188</c:v>
                </c:pt>
                <c:pt idx="13">
                  <c:v>5149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1">
                  <c:v>1160</c:v>
                </c:pt>
                <c:pt idx="2">
                  <c:v>3800</c:v>
                </c:pt>
                <c:pt idx="3">
                  <c:v>5100</c:v>
                </c:pt>
                <c:pt idx="4">
                  <c:v>3600</c:v>
                </c:pt>
                <c:pt idx="5">
                  <c:v>1360</c:v>
                </c:pt>
                <c:pt idx="6">
                  <c:v>4500</c:v>
                </c:pt>
                <c:pt idx="7">
                  <c:v>1750</c:v>
                </c:pt>
                <c:pt idx="8">
                  <c:v>2480</c:v>
                </c:pt>
                <c:pt idx="9">
                  <c:v>15880</c:v>
                </c:pt>
                <c:pt idx="10">
                  <c:v>690</c:v>
                </c:pt>
                <c:pt idx="11">
                  <c:v>660</c:v>
                </c:pt>
                <c:pt idx="12">
                  <c:v>2190</c:v>
                </c:pt>
                <c:pt idx="13">
                  <c:v>5150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393728"/>
        <c:axId val="976032832"/>
      </c:lineChart>
      <c:catAx>
        <c:axId val="9763937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6032832"/>
        <c:crosses val="autoZero"/>
        <c:auto val="1"/>
        <c:lblAlgn val="ctr"/>
        <c:lblOffset val="100"/>
        <c:noMultiLvlLbl val="0"/>
      </c:catAx>
      <c:valAx>
        <c:axId val="976032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6393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37% 87% 100% 75% 25% 100% 0% 4% 0% 25% 16% 54%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0.37467672413793107</c:v>
                </c:pt>
                <c:pt idx="2">
                  <c:v>0.87384868421052642</c:v>
                </c:pt>
                <c:pt idx="3">
                  <c:v>0.9966666666666667</c:v>
                </c:pt>
                <c:pt idx="4">
                  <c:v>0.74812500000000004</c:v>
                </c:pt>
                <c:pt idx="5">
                  <c:v>0.24834558823529412</c:v>
                </c:pt>
                <c:pt idx="6">
                  <c:v>0.99822222222222223</c:v>
                </c:pt>
                <c:pt idx="7">
                  <c:v>0</c:v>
                </c:pt>
                <c:pt idx="8">
                  <c:v>4.3346774193548383E-2</c:v>
                </c:pt>
                <c:pt idx="9">
                  <c:v>0</c:v>
                </c:pt>
                <c:pt idx="10">
                  <c:v>0.24963768115942028</c:v>
                </c:pt>
                <c:pt idx="11">
                  <c:v>0.16464646464646465</c:v>
                </c:pt>
                <c:pt idx="12">
                  <c:v>0.54117199391171988</c:v>
                </c:pt>
                <c:pt idx="13">
                  <c:v>0.99980582524271844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0.41589957497510083</c:v>
                </c:pt>
                <c:pt idx="1">
                  <c:v>0.41589957497510083</c:v>
                </c:pt>
                <c:pt idx="2">
                  <c:v>0.41589957497510083</c:v>
                </c:pt>
                <c:pt idx="3">
                  <c:v>0.41589957497510083</c:v>
                </c:pt>
                <c:pt idx="4">
                  <c:v>0.41589957497510083</c:v>
                </c:pt>
                <c:pt idx="5">
                  <c:v>0.41589957497510083</c:v>
                </c:pt>
                <c:pt idx="6">
                  <c:v>0.41589957497510083</c:v>
                </c:pt>
                <c:pt idx="7">
                  <c:v>0.41589957497510083</c:v>
                </c:pt>
                <c:pt idx="8">
                  <c:v>0.41589957497510083</c:v>
                </c:pt>
                <c:pt idx="9">
                  <c:v>0.41589957497510083</c:v>
                </c:pt>
                <c:pt idx="10">
                  <c:v>0.41589957497510083</c:v>
                </c:pt>
                <c:pt idx="11">
                  <c:v>0.41589957497510083</c:v>
                </c:pt>
                <c:pt idx="12">
                  <c:v>0.41589957497510083</c:v>
                </c:pt>
                <c:pt idx="13">
                  <c:v>0.41589957497510083</c:v>
                </c:pt>
                <c:pt idx="14">
                  <c:v>0.41589957497510083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395776"/>
        <c:axId val="976034560"/>
      </c:lineChart>
      <c:catAx>
        <c:axId val="97639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6034560"/>
        <c:crosses val="autoZero"/>
        <c:auto val="1"/>
        <c:lblAlgn val="ctr"/>
        <c:lblOffset val="100"/>
        <c:noMultiLvlLbl val="0"/>
      </c:catAx>
      <c:valAx>
        <c:axId val="976034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6395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1">
                  <c:v>1159</c:v>
                </c:pt>
                <c:pt idx="2">
                  <c:v>3795</c:v>
                </c:pt>
                <c:pt idx="3">
                  <c:v>5083</c:v>
                </c:pt>
                <c:pt idx="4">
                  <c:v>3591</c:v>
                </c:pt>
                <c:pt idx="5">
                  <c:v>1351</c:v>
                </c:pt>
                <c:pt idx="6">
                  <c:v>4492</c:v>
                </c:pt>
                <c:pt idx="8">
                  <c:v>645</c:v>
                </c:pt>
                <c:pt idx="10">
                  <c:v>689</c:v>
                </c:pt>
                <c:pt idx="11">
                  <c:v>652</c:v>
                </c:pt>
                <c:pt idx="12">
                  <c:v>2188</c:v>
                </c:pt>
                <c:pt idx="13">
                  <c:v>5149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1">
                  <c:v>1160</c:v>
                </c:pt>
                <c:pt idx="2">
                  <c:v>3800</c:v>
                </c:pt>
                <c:pt idx="3">
                  <c:v>5100</c:v>
                </c:pt>
                <c:pt idx="4">
                  <c:v>3600</c:v>
                </c:pt>
                <c:pt idx="5">
                  <c:v>1360</c:v>
                </c:pt>
                <c:pt idx="6">
                  <c:v>4500</c:v>
                </c:pt>
                <c:pt idx="7">
                  <c:v>1750</c:v>
                </c:pt>
                <c:pt idx="8">
                  <c:v>2480</c:v>
                </c:pt>
                <c:pt idx="9">
                  <c:v>15880</c:v>
                </c:pt>
                <c:pt idx="10">
                  <c:v>690</c:v>
                </c:pt>
                <c:pt idx="11">
                  <c:v>660</c:v>
                </c:pt>
                <c:pt idx="12">
                  <c:v>2190</c:v>
                </c:pt>
                <c:pt idx="13">
                  <c:v>5150</c:v>
                </c:pt>
                <c:pt idx="14">
                  <c:v>32870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515072"/>
        <c:axId val="976323712"/>
      </c:lineChart>
      <c:catAx>
        <c:axId val="976515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76323712"/>
        <c:crosses val="autoZero"/>
        <c:auto val="1"/>
        <c:lblAlgn val="ctr"/>
        <c:lblOffset val="100"/>
        <c:noMultiLvlLbl val="0"/>
      </c:catAx>
      <c:valAx>
        <c:axId val="976323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97651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37% 87% 100% 75% 25% 100% 0% 4% 0% 25% 16% 54%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0.37467672413793107</c:v>
                </c:pt>
                <c:pt idx="2">
                  <c:v>0.87384868421052642</c:v>
                </c:pt>
                <c:pt idx="3">
                  <c:v>0.9966666666666667</c:v>
                </c:pt>
                <c:pt idx="4">
                  <c:v>0.74812500000000004</c:v>
                </c:pt>
                <c:pt idx="5">
                  <c:v>0.24834558823529412</c:v>
                </c:pt>
                <c:pt idx="6">
                  <c:v>0.99822222222222223</c:v>
                </c:pt>
                <c:pt idx="7">
                  <c:v>0</c:v>
                </c:pt>
                <c:pt idx="8">
                  <c:v>4.3346774193548383E-2</c:v>
                </c:pt>
                <c:pt idx="9">
                  <c:v>0</c:v>
                </c:pt>
                <c:pt idx="10">
                  <c:v>0.24963768115942028</c:v>
                </c:pt>
                <c:pt idx="11">
                  <c:v>0.16464646464646465</c:v>
                </c:pt>
                <c:pt idx="12">
                  <c:v>0.54117199391171988</c:v>
                </c:pt>
                <c:pt idx="13">
                  <c:v>0.99980582524271844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1">
                  <c:v>BASE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BOTTOM</c:v>
                </c:pt>
                <c:pt idx="6">
                  <c:v>BASE</c:v>
                </c:pt>
                <c:pt idx="7">
                  <c:v>ACTUATOR</c:v>
                </c:pt>
                <c:pt idx="8">
                  <c:v>COVER</c:v>
                </c:pt>
                <c:pt idx="9">
                  <c:v>BOTTOM</c:v>
                </c:pt>
                <c:pt idx="10">
                  <c:v>BODY</c:v>
                </c:pt>
                <c:pt idx="11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0.41589957497510083</c:v>
                </c:pt>
                <c:pt idx="1">
                  <c:v>0.41589957497510083</c:v>
                </c:pt>
                <c:pt idx="2">
                  <c:v>0.41589957497510083</c:v>
                </c:pt>
                <c:pt idx="3">
                  <c:v>0.41589957497510083</c:v>
                </c:pt>
                <c:pt idx="4">
                  <c:v>0.41589957497510083</c:v>
                </c:pt>
                <c:pt idx="5">
                  <c:v>0.41589957497510083</c:v>
                </c:pt>
                <c:pt idx="6">
                  <c:v>0.41589957497510083</c:v>
                </c:pt>
                <c:pt idx="7">
                  <c:v>0.41589957497510083</c:v>
                </c:pt>
                <c:pt idx="8">
                  <c:v>0.41589957497510083</c:v>
                </c:pt>
                <c:pt idx="9">
                  <c:v>0.41589957497510083</c:v>
                </c:pt>
                <c:pt idx="10">
                  <c:v>0.41589957497510083</c:v>
                </c:pt>
                <c:pt idx="11">
                  <c:v>0.41589957497510083</c:v>
                </c:pt>
                <c:pt idx="12">
                  <c:v>0.41589957497510083</c:v>
                </c:pt>
                <c:pt idx="13">
                  <c:v>0.41589957497510083</c:v>
                </c:pt>
                <c:pt idx="14">
                  <c:v>0.41589957497510083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516608"/>
        <c:axId val="976325440"/>
      </c:lineChart>
      <c:catAx>
        <c:axId val="97651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76325440"/>
        <c:crosses val="autoZero"/>
        <c:auto val="1"/>
        <c:lblAlgn val="ctr"/>
        <c:lblOffset val="100"/>
        <c:noMultiLvlLbl val="0"/>
      </c:catAx>
      <c:valAx>
        <c:axId val="976325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976516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0.37888305179256121</c:v>
                </c:pt>
                <c:pt idx="8">
                  <c:v>0.45776214287231148</c:v>
                </c:pt>
                <c:pt idx="9">
                  <c:v>0.42179504231423137</c:v>
                </c:pt>
                <c:pt idx="10">
                  <c:v>0.39100891481581856</c:v>
                </c:pt>
                <c:pt idx="11">
                  <c:v>0.40793971605079354</c:v>
                </c:pt>
                <c:pt idx="12">
                  <c:v>0.56074522009281347</c:v>
                </c:pt>
                <c:pt idx="15">
                  <c:v>0.38579369294515797</c:v>
                </c:pt>
                <c:pt idx="16">
                  <c:v>0.44394063074907353</c:v>
                </c:pt>
                <c:pt idx="17">
                  <c:v>0.40221866574588361</c:v>
                </c:pt>
                <c:pt idx="18">
                  <c:v>0.51070617203115254</c:v>
                </c:pt>
                <c:pt idx="19">
                  <c:v>0.46906389225296558</c:v>
                </c:pt>
                <c:pt idx="20">
                  <c:v>0.22430802967419436</c:v>
                </c:pt>
                <c:pt idx="22">
                  <c:v>0.32187376659276057</c:v>
                </c:pt>
                <c:pt idx="23">
                  <c:v>0.5412850469555881</c:v>
                </c:pt>
                <c:pt idx="24">
                  <c:v>0.58538590101163301</c:v>
                </c:pt>
                <c:pt idx="25">
                  <c:v>0.62718414412672585</c:v>
                </c:pt>
                <c:pt idx="26">
                  <c:v>0.60792761348545754</c:v>
                </c:pt>
                <c:pt idx="27">
                  <c:v>0.56269482883224564</c:v>
                </c:pt>
                <c:pt idx="28">
                  <c:v>0.23286925434885672</c:v>
                </c:pt>
                <c:pt idx="29">
                  <c:v>0.5129515571976232</c:v>
                </c:pt>
                <c:pt idx="30">
                  <c:v>0.41589957497510083</c:v>
                </c:pt>
                <c:pt idx="31">
                  <c:v>0.30523344706009509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517120"/>
        <c:axId val="9763277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517120"/>
        <c:axId val="976327744"/>
      </c:lineChart>
      <c:catAx>
        <c:axId val="97651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976327744"/>
        <c:crosses val="autoZero"/>
        <c:auto val="1"/>
        <c:lblAlgn val="ctr"/>
        <c:lblOffset val="100"/>
        <c:noMultiLvlLbl val="0"/>
      </c:catAx>
      <c:valAx>
        <c:axId val="976327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65171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44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H8" sqref="AH8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42" t="s">
        <v>186</v>
      </c>
      <c r="B1" s="342"/>
      <c r="C1" s="342"/>
      <c r="D1" s="342"/>
      <c r="E1" s="342"/>
      <c r="F1" s="342"/>
      <c r="G1" s="342"/>
      <c r="H1" s="342"/>
    </row>
    <row r="2" spans="1:33" ht="21.75" customHeight="1" thickBot="1">
      <c r="A2" s="96" t="s">
        <v>61</v>
      </c>
      <c r="B2" s="98" t="s">
        <v>76</v>
      </c>
      <c r="C2" s="99" t="s">
        <v>77</v>
      </c>
      <c r="D2" s="99" t="s">
        <v>78</v>
      </c>
      <c r="E2" s="99" t="s">
        <v>79</v>
      </c>
      <c r="F2" s="99" t="s">
        <v>80</v>
      </c>
      <c r="G2" s="99" t="s">
        <v>81</v>
      </c>
      <c r="H2" s="99" t="s">
        <v>82</v>
      </c>
      <c r="I2" s="99" t="s">
        <v>83</v>
      </c>
      <c r="J2" s="99" t="s">
        <v>84</v>
      </c>
      <c r="K2" s="99" t="s">
        <v>85</v>
      </c>
      <c r="L2" s="99" t="s">
        <v>86</v>
      </c>
      <c r="M2" s="99" t="s">
        <v>87</v>
      </c>
      <c r="N2" s="99" t="s">
        <v>88</v>
      </c>
      <c r="O2" s="99" t="s">
        <v>89</v>
      </c>
      <c r="P2" s="99" t="s">
        <v>90</v>
      </c>
      <c r="Q2" s="99" t="s">
        <v>91</v>
      </c>
      <c r="R2" s="99" t="s">
        <v>92</v>
      </c>
      <c r="S2" s="99" t="s">
        <v>93</v>
      </c>
      <c r="T2" s="99" t="s">
        <v>94</v>
      </c>
      <c r="U2" s="99" t="s">
        <v>95</v>
      </c>
      <c r="V2" s="99" t="s">
        <v>96</v>
      </c>
      <c r="W2" s="99" t="s">
        <v>97</v>
      </c>
      <c r="X2" s="99" t="s">
        <v>98</v>
      </c>
      <c r="Y2" s="99" t="s">
        <v>99</v>
      </c>
      <c r="Z2" s="99" t="s">
        <v>100</v>
      </c>
      <c r="AA2" s="99" t="s">
        <v>101</v>
      </c>
      <c r="AB2" s="99" t="s">
        <v>102</v>
      </c>
      <c r="AC2" s="99" t="s">
        <v>103</v>
      </c>
      <c r="AD2" s="99" t="s">
        <v>104</v>
      </c>
      <c r="AE2" s="99" t="s">
        <v>105</v>
      </c>
      <c r="AF2" s="100" t="s">
        <v>106</v>
      </c>
      <c r="AG2" s="96" t="s">
        <v>108</v>
      </c>
    </row>
    <row r="3" spans="1:33" ht="21.75" customHeight="1">
      <c r="A3" s="116" t="s">
        <v>62</v>
      </c>
      <c r="B3" s="111">
        <f>'01'!AD6</f>
        <v>0</v>
      </c>
      <c r="C3" s="111"/>
      <c r="D3" s="104"/>
      <c r="E3" s="104"/>
      <c r="F3" s="104"/>
      <c r="G3" s="104"/>
      <c r="H3" s="104"/>
      <c r="I3" s="104"/>
      <c r="J3" s="104">
        <f>'09'!AD6</f>
        <v>0</v>
      </c>
      <c r="K3" s="104">
        <f>'10'!AD6</f>
        <v>0</v>
      </c>
      <c r="L3" s="104">
        <f>'11'!AD6</f>
        <v>0</v>
      </c>
      <c r="M3" s="104">
        <f>'12'!AD6</f>
        <v>0</v>
      </c>
      <c r="N3" s="122">
        <f>'13'!AD6</f>
        <v>0</v>
      </c>
      <c r="O3" s="104"/>
      <c r="P3" s="104"/>
      <c r="Q3" s="104">
        <f>'16'!AD6</f>
        <v>0</v>
      </c>
      <c r="R3" s="104">
        <f>'17'!AD6</f>
        <v>0</v>
      </c>
      <c r="S3" s="104">
        <f>'18'!AD6</f>
        <v>0</v>
      </c>
      <c r="T3" s="104">
        <f>'19'!AD6</f>
        <v>0</v>
      </c>
      <c r="U3" s="104">
        <f>'20'!AD6</f>
        <v>0</v>
      </c>
      <c r="V3" s="104">
        <f>'21'!AD6</f>
        <v>0</v>
      </c>
      <c r="W3" s="122"/>
      <c r="X3" s="104">
        <f>'23'!AD6</f>
        <v>0</v>
      </c>
      <c r="Y3" s="104">
        <f>'24'!AD6</f>
        <v>0</v>
      </c>
      <c r="Z3" s="104">
        <f>'25'!AD6</f>
        <v>0</v>
      </c>
      <c r="AA3" s="104">
        <f>'26'!AD6</f>
        <v>0</v>
      </c>
      <c r="AB3" s="104">
        <f>'27'!AD6</f>
        <v>0</v>
      </c>
      <c r="AC3" s="104">
        <f>'28'!AD6</f>
        <v>0</v>
      </c>
      <c r="AD3" s="104">
        <f>'29'!AD6</f>
        <v>0</v>
      </c>
      <c r="AE3" s="104">
        <f>'30'!AD6</f>
        <v>0</v>
      </c>
      <c r="AF3" s="105">
        <f>'31'!AD6</f>
        <v>0</v>
      </c>
      <c r="AG3" s="107">
        <f>SUM(B3:AF3)/31</f>
        <v>0</v>
      </c>
    </row>
    <row r="4" spans="1:33" ht="21.75" customHeight="1">
      <c r="A4" s="117" t="s">
        <v>63</v>
      </c>
      <c r="B4" s="112">
        <f>'01'!AD7</f>
        <v>0</v>
      </c>
      <c r="C4" s="112"/>
      <c r="D4" s="81"/>
      <c r="E4" s="81"/>
      <c r="F4" s="81"/>
      <c r="G4" s="81"/>
      <c r="H4" s="81"/>
      <c r="I4" s="81"/>
      <c r="J4" s="81">
        <f>'09'!AD7</f>
        <v>0.83333333333333337</v>
      </c>
      <c r="K4" s="81">
        <f>'10'!AD7</f>
        <v>0.24991277041172366</v>
      </c>
      <c r="L4" s="81">
        <f>'11'!AD7</f>
        <v>0</v>
      </c>
      <c r="M4" s="81">
        <f>'12'!AD7</f>
        <v>0</v>
      </c>
      <c r="N4" s="81">
        <f>'13'!AD7</f>
        <v>0</v>
      </c>
      <c r="O4" s="81"/>
      <c r="P4" s="81"/>
      <c r="Q4" s="81">
        <f>'16'!AD7</f>
        <v>0</v>
      </c>
      <c r="R4" s="81">
        <f>'17'!AD7</f>
        <v>0</v>
      </c>
      <c r="S4" s="81">
        <f>'18'!AD7</f>
        <v>0</v>
      </c>
      <c r="T4" s="81">
        <f>'19'!AD7</f>
        <v>0</v>
      </c>
      <c r="U4" s="81">
        <f>'20'!AD7</f>
        <v>0</v>
      </c>
      <c r="V4" s="81">
        <f>'21'!AD7</f>
        <v>0</v>
      </c>
      <c r="W4" s="81"/>
      <c r="X4" s="81">
        <f>'23'!AD7</f>
        <v>0</v>
      </c>
      <c r="Y4" s="81">
        <f>'24'!AD7</f>
        <v>0</v>
      </c>
      <c r="Z4" s="81">
        <f>'25'!AD7</f>
        <v>0</v>
      </c>
      <c r="AA4" s="81">
        <f>'26'!AD7</f>
        <v>0</v>
      </c>
      <c r="AB4" s="81">
        <f>'27'!AD7</f>
        <v>0</v>
      </c>
      <c r="AC4" s="81">
        <f>'28'!AD7</f>
        <v>0</v>
      </c>
      <c r="AD4" s="81">
        <f>'29'!AD7</f>
        <v>0</v>
      </c>
      <c r="AE4" s="81">
        <f>'30'!AD7</f>
        <v>0.49802955665024629</v>
      </c>
      <c r="AF4" s="82">
        <f>'31'!AD7</f>
        <v>0.37467672413793107</v>
      </c>
      <c r="AG4" s="83">
        <f t="shared" ref="AG4:AG18" si="0">SUM(B4:AF4)/31</f>
        <v>6.3095238210749485E-2</v>
      </c>
    </row>
    <row r="5" spans="1:33" ht="21.75" customHeight="1">
      <c r="A5" s="118" t="s">
        <v>64</v>
      </c>
      <c r="B5" s="113">
        <f>'01'!AD8</f>
        <v>0</v>
      </c>
      <c r="C5" s="113"/>
      <c r="D5" s="84"/>
      <c r="E5" s="84"/>
      <c r="F5" s="84"/>
      <c r="G5" s="84"/>
      <c r="H5" s="84"/>
      <c r="I5" s="84"/>
      <c r="J5" s="84">
        <f>'09'!AD8</f>
        <v>0</v>
      </c>
      <c r="K5" s="84">
        <f>'10'!AD8</f>
        <v>0</v>
      </c>
      <c r="L5" s="84">
        <f>'11'!AD8</f>
        <v>0</v>
      </c>
      <c r="M5" s="84">
        <f>'12'!AD8</f>
        <v>0.79119261477045899</v>
      </c>
      <c r="N5" s="84">
        <f>'13'!AD8</f>
        <v>0.99963031423290205</v>
      </c>
      <c r="O5" s="84"/>
      <c r="P5" s="84"/>
      <c r="Q5" s="84">
        <f>'16'!AD8</f>
        <v>0.7906082887700534</v>
      </c>
      <c r="R5" s="84">
        <f>'17'!AD8</f>
        <v>0.99863713798977849</v>
      </c>
      <c r="S5" s="84">
        <f>'18'!AD8</f>
        <v>0.99845890410958904</v>
      </c>
      <c r="T5" s="84">
        <f>'19'!AD8</f>
        <v>0.99931740614334474</v>
      </c>
      <c r="U5" s="84">
        <f>'20'!AD8</f>
        <v>0.99923809523809526</v>
      </c>
      <c r="V5" s="84">
        <f>'21'!AD8</f>
        <v>0</v>
      </c>
      <c r="W5" s="123"/>
      <c r="X5" s="84">
        <f>'23'!AD8</f>
        <v>0</v>
      </c>
      <c r="Y5" s="84">
        <f>'24'!AD8</f>
        <v>0.95748973004694837</v>
      </c>
      <c r="Z5" s="84">
        <f>'25'!AD8</f>
        <v>0.16249999999999998</v>
      </c>
      <c r="AA5" s="84">
        <f>'26'!AD8</f>
        <v>0.79032105760151083</v>
      </c>
      <c r="AB5" s="84">
        <f>'27'!AD8</f>
        <v>0.99953632148377125</v>
      </c>
      <c r="AC5" s="84">
        <f>'28'!AD8</f>
        <v>0.99951923076923077</v>
      </c>
      <c r="AD5" s="84">
        <f>'29'!AD8</f>
        <v>0.41596045197740117</v>
      </c>
      <c r="AE5" s="84">
        <f>'30'!AD8</f>
        <v>0.16376811594202897</v>
      </c>
      <c r="AF5" s="85">
        <f>'31'!AD8</f>
        <v>0.87384868421052642</v>
      </c>
      <c r="AG5" s="86">
        <f t="shared" si="0"/>
        <v>0.38516214042856906</v>
      </c>
    </row>
    <row r="6" spans="1:33" ht="21.75" customHeight="1">
      <c r="A6" s="119" t="s">
        <v>65</v>
      </c>
      <c r="B6" s="114">
        <f>'01'!AD9</f>
        <v>0.87446754563894524</v>
      </c>
      <c r="C6" s="114"/>
      <c r="D6" s="87"/>
      <c r="E6" s="87"/>
      <c r="F6" s="87"/>
      <c r="G6" s="87"/>
      <c r="H6" s="87"/>
      <c r="I6" s="87"/>
      <c r="J6" s="87">
        <f>'09'!AD9</f>
        <v>0.99864864864864866</v>
      </c>
      <c r="K6" s="87">
        <f>'10'!AD9</f>
        <v>0.99866156787762905</v>
      </c>
      <c r="L6" s="87">
        <f>'11'!AD9</f>
        <v>0.74562499999999998</v>
      </c>
      <c r="M6" s="87">
        <f>'12'!AD9</f>
        <v>0.99964788732394361</v>
      </c>
      <c r="N6" s="87">
        <f>'13'!AD9</f>
        <v>0.99922480620155041</v>
      </c>
      <c r="O6" s="87"/>
      <c r="P6" s="87"/>
      <c r="Q6" s="87">
        <f>'16'!AD9</f>
        <v>0</v>
      </c>
      <c r="R6" s="87">
        <f>'17'!AD9</f>
        <v>0.58231441048034938</v>
      </c>
      <c r="S6" s="87">
        <f>'18'!AD9</f>
        <v>0.95621936274509811</v>
      </c>
      <c r="T6" s="87">
        <f>'19'!AD9</f>
        <v>0.99942748091603051</v>
      </c>
      <c r="U6" s="87">
        <f>'20'!AD9</f>
        <v>0.41537132987910191</v>
      </c>
      <c r="V6" s="87">
        <f>'21'!AD9</f>
        <v>0.33251533742331285</v>
      </c>
      <c r="W6" s="87"/>
      <c r="X6" s="87">
        <f>'23'!AD9</f>
        <v>0.53963223787167447</v>
      </c>
      <c r="Y6" s="87">
        <f>'24'!AD9</f>
        <v>0.2078804347826087</v>
      </c>
      <c r="Z6" s="87">
        <f>'25'!AD9</f>
        <v>0.99960899315738028</v>
      </c>
      <c r="AA6" s="87">
        <f>'26'!AD9</f>
        <v>0.83265490728177294</v>
      </c>
      <c r="AB6" s="87">
        <f>'27'!AD9+'27'!AD10</f>
        <v>0.87459429918254572</v>
      </c>
      <c r="AC6" s="87">
        <f>'28'!AD9</f>
        <v>0.99981096408317582</v>
      </c>
      <c r="AD6" s="87">
        <f>'29'!AD9</f>
        <v>0.4160026560424967</v>
      </c>
      <c r="AE6" s="87">
        <f>'30'!AD9+'30'!AD10</f>
        <v>0.75</v>
      </c>
      <c r="AF6" s="88">
        <f>'31'!AD9</f>
        <v>0.9966666666666667</v>
      </c>
      <c r="AG6" s="89">
        <f t="shared" si="0"/>
        <v>0.50061208181299788</v>
      </c>
    </row>
    <row r="7" spans="1:33" ht="21.75" customHeight="1">
      <c r="A7" s="119" t="s">
        <v>66</v>
      </c>
      <c r="B7" s="114">
        <f>'01'!AD10</f>
        <v>0.52355072463768126</v>
      </c>
      <c r="C7" s="114"/>
      <c r="D7" s="87"/>
      <c r="E7" s="87"/>
      <c r="F7" s="87"/>
      <c r="G7" s="87"/>
      <c r="H7" s="87"/>
      <c r="I7" s="87"/>
      <c r="J7" s="87">
        <f>'09'!AD10</f>
        <v>0.54030112044817924</v>
      </c>
      <c r="K7" s="87">
        <f>'10'!AD10</f>
        <v>0.58293241695303555</v>
      </c>
      <c r="L7" s="87">
        <f>'11'!AD10</f>
        <v>0.58314785373608902</v>
      </c>
      <c r="M7" s="87">
        <f>'12'!AD10</f>
        <v>0.79166666666666663</v>
      </c>
      <c r="N7" s="87">
        <f>'13'!AD10</f>
        <v>0.875</v>
      </c>
      <c r="O7" s="87"/>
      <c r="P7" s="87"/>
      <c r="Q7" s="87">
        <f>'16'!AD10</f>
        <v>0.91603375527426156</v>
      </c>
      <c r="R7" s="87">
        <f>'17'!AD10</f>
        <v>0.99981185324553157</v>
      </c>
      <c r="S7" s="87">
        <f>'18'!AD10</f>
        <v>0.16518518518518518</v>
      </c>
      <c r="T7" s="87">
        <f>'19'!AD10</f>
        <v>0.91603302611367132</v>
      </c>
      <c r="U7" s="87">
        <f>'20'!AD10</f>
        <v>0.99980769230769229</v>
      </c>
      <c r="V7" s="87">
        <f>'21'!AD10</f>
        <v>0.41613700564971756</v>
      </c>
      <c r="W7" s="87"/>
      <c r="X7" s="87">
        <f>'23'!AD10</f>
        <v>0.79102477477477473</v>
      </c>
      <c r="Y7" s="87">
        <f>'24'!AD10</f>
        <v>0.99983022071307304</v>
      </c>
      <c r="Z7" s="87">
        <f>'25'!AD10</f>
        <v>0.87314705882352939</v>
      </c>
      <c r="AA7" s="87">
        <f>'26'!AD10</f>
        <v>0.99892280071813289</v>
      </c>
      <c r="AB7" s="87">
        <f>'27'!AD11</f>
        <v>0.49892703862660942</v>
      </c>
      <c r="AC7" s="87">
        <f>'28'!AD10</f>
        <v>0.33083333333333331</v>
      </c>
      <c r="AD7" s="87">
        <f>'29'!AD10</f>
        <v>0.29080033003300332</v>
      </c>
      <c r="AE7" s="87">
        <f>'30'!AD11</f>
        <v>0.99941747572815531</v>
      </c>
      <c r="AF7" s="88">
        <f>'31'!AD10</f>
        <v>0.74812500000000004</v>
      </c>
      <c r="AG7" s="89">
        <f t="shared" si="0"/>
        <v>0.47873017203123613</v>
      </c>
    </row>
    <row r="8" spans="1:33" ht="21.75" customHeight="1">
      <c r="A8" s="119" t="s">
        <v>67</v>
      </c>
      <c r="B8" s="114">
        <f>'01'!AD11</f>
        <v>0.12453703703703704</v>
      </c>
      <c r="C8" s="114"/>
      <c r="D8" s="87"/>
      <c r="E8" s="87"/>
      <c r="F8" s="87"/>
      <c r="G8" s="87"/>
      <c r="H8" s="87"/>
      <c r="I8" s="87"/>
      <c r="J8" s="87">
        <f>'09'!AD11</f>
        <v>0.87443426724137929</v>
      </c>
      <c r="K8" s="87">
        <f>'10'!AD11</f>
        <v>0.99923076923076926</v>
      </c>
      <c r="L8" s="87">
        <f>'11'!AD11</f>
        <v>0.99839999999999995</v>
      </c>
      <c r="M8" s="87">
        <f>'12'!AD11</f>
        <v>0.58167344173441737</v>
      </c>
      <c r="N8" s="87">
        <f>'13'!AD11</f>
        <v>0.9983082706766917</v>
      </c>
      <c r="O8" s="87"/>
      <c r="P8" s="87"/>
      <c r="Q8" s="87">
        <f>'16'!AD11</f>
        <v>0</v>
      </c>
      <c r="R8" s="87">
        <f>'17'!AD11</f>
        <v>0.91627988748241906</v>
      </c>
      <c r="S8" s="87">
        <f>'18'!AD11</f>
        <v>0.70814887152777783</v>
      </c>
      <c r="T8" s="87">
        <f>'19'!AD11</f>
        <v>0.62457337883959041</v>
      </c>
      <c r="U8" s="87">
        <f>'20'!AD11</f>
        <v>0.99947368421052629</v>
      </c>
      <c r="V8" s="87">
        <f>'21'!AD11</f>
        <v>0.41534624413145538</v>
      </c>
      <c r="W8" s="87"/>
      <c r="X8" s="87">
        <f>'23'!AD11</f>
        <v>0.87439095127610211</v>
      </c>
      <c r="Y8" s="87">
        <f>'24'!AD11</f>
        <v>0.83333333333333337</v>
      </c>
      <c r="Z8" s="87">
        <f>'25'!AD11</f>
        <v>0.16666666666666666</v>
      </c>
      <c r="AA8" s="87">
        <f>'26'!AD11</f>
        <v>0.99853862212943634</v>
      </c>
      <c r="AB8" s="87">
        <f>'27'!AD12</f>
        <v>0.99921104536489147</v>
      </c>
      <c r="AC8" s="87">
        <f>'28'!AD11</f>
        <v>0.83218390804597697</v>
      </c>
      <c r="AD8" s="87">
        <f>'29'!AD11</f>
        <v>0.25</v>
      </c>
      <c r="AE8" s="87">
        <f>'30'!AD12</f>
        <v>0.5</v>
      </c>
      <c r="AF8" s="88">
        <f>'31'!AD11</f>
        <v>0.24834558823529412</v>
      </c>
      <c r="AG8" s="89">
        <f t="shared" si="0"/>
        <v>0.44977664410205687</v>
      </c>
    </row>
    <row r="9" spans="1:33" ht="21.75" customHeight="1">
      <c r="A9" s="119" t="s">
        <v>68</v>
      </c>
      <c r="B9" s="114">
        <f>'01'!AD12</f>
        <v>0.41446078431372552</v>
      </c>
      <c r="C9" s="114"/>
      <c r="D9" s="87"/>
      <c r="E9" s="87"/>
      <c r="F9" s="87"/>
      <c r="G9" s="87"/>
      <c r="H9" s="87"/>
      <c r="I9" s="87"/>
      <c r="J9" s="87">
        <f>'09'!AD12</f>
        <v>0</v>
      </c>
      <c r="K9" s="87">
        <f>'10'!AD12</f>
        <v>0</v>
      </c>
      <c r="L9" s="87">
        <f>'11'!AD12</f>
        <v>0</v>
      </c>
      <c r="M9" s="87">
        <f>'12'!AD12</f>
        <v>0</v>
      </c>
      <c r="N9" s="87">
        <f>'13'!AD12</f>
        <v>0.58280780780780783</v>
      </c>
      <c r="O9" s="87"/>
      <c r="P9" s="87"/>
      <c r="Q9" s="87">
        <f>'16'!AD12</f>
        <v>0</v>
      </c>
      <c r="R9" s="87">
        <f>'17'!AD12</f>
        <v>0.58102055800293695</v>
      </c>
      <c r="S9" s="87">
        <f>'18'!AD12</f>
        <v>0</v>
      </c>
      <c r="T9" s="87">
        <f>'19'!AD12</f>
        <v>0</v>
      </c>
      <c r="U9" s="87">
        <f>'20'!AD12</f>
        <v>0.49843049327354261</v>
      </c>
      <c r="V9" s="87">
        <f>'21'!AD12</f>
        <v>0.41638029782359681</v>
      </c>
      <c r="W9" s="87"/>
      <c r="X9" s="87">
        <f>'23'!AD12</f>
        <v>0.24925373134328357</v>
      </c>
      <c r="Y9" s="87">
        <f>'24'!AD12</f>
        <v>0.95809902200489006</v>
      </c>
      <c r="Z9" s="87">
        <f>'25'!AD12</f>
        <v>0.99879227053140096</v>
      </c>
      <c r="AA9" s="87">
        <f>'26'!AD12</f>
        <v>0</v>
      </c>
      <c r="AB9" s="87">
        <f>'27'!AD13</f>
        <v>0.87271986970684046</v>
      </c>
      <c r="AC9" s="87">
        <f>'28'!AD12</f>
        <v>0.9987373737373737</v>
      </c>
      <c r="AD9" s="87">
        <f>'29'!AD12</f>
        <v>0.41519823788546256</v>
      </c>
      <c r="AE9" s="87">
        <f>'30'!AD13</f>
        <v>0.99784688995215309</v>
      </c>
      <c r="AF9" s="88">
        <f>'31'!AD12</f>
        <v>0.99822222222222223</v>
      </c>
      <c r="AG9" s="89">
        <f t="shared" si="0"/>
        <v>0.28974095350339474</v>
      </c>
    </row>
    <row r="10" spans="1:33" ht="21.75" customHeight="1">
      <c r="A10" s="119" t="s">
        <v>69</v>
      </c>
      <c r="B10" s="114">
        <f>'01'!AD13</f>
        <v>0.99923547400611623</v>
      </c>
      <c r="C10" s="114"/>
      <c r="D10" s="87"/>
      <c r="E10" s="87"/>
      <c r="F10" s="87"/>
      <c r="G10" s="87"/>
      <c r="H10" s="87"/>
      <c r="I10" s="87"/>
      <c r="J10" s="87">
        <f>'09'!AD13</f>
        <v>0.99893048128342243</v>
      </c>
      <c r="K10" s="87">
        <f>'10'!AD13</f>
        <v>0.99967373572593798</v>
      </c>
      <c r="L10" s="87">
        <f>'11'!AD13</f>
        <v>0.87370233050847457</v>
      </c>
      <c r="M10" s="87">
        <f>'12'!AD13</f>
        <v>0.99983713355048864</v>
      </c>
      <c r="N10" s="87">
        <f>'13'!AD13</f>
        <v>0.99965928449744468</v>
      </c>
      <c r="O10" s="87"/>
      <c r="P10" s="87"/>
      <c r="Q10" s="87">
        <f>'16'!AD13</f>
        <v>0.74924242424242427</v>
      </c>
      <c r="R10" s="87">
        <f>'17'!AD13</f>
        <v>0</v>
      </c>
      <c r="S10" s="87">
        <f>'18'!AD13</f>
        <v>0</v>
      </c>
      <c r="T10" s="87">
        <f>'19'!AD13</f>
        <v>0.58221583652618136</v>
      </c>
      <c r="U10" s="87">
        <f>'20'!AD13</f>
        <v>0.87483075435203095</v>
      </c>
      <c r="V10" s="87">
        <f>'21'!AD13</f>
        <v>0.41477272727272729</v>
      </c>
      <c r="W10" s="87"/>
      <c r="X10" s="87">
        <f>'23'!AD13</f>
        <v>0.54082524271844656</v>
      </c>
      <c r="Y10" s="87">
        <f>'24'!AD13</f>
        <v>0.99982713915298183</v>
      </c>
      <c r="Z10" s="87">
        <f>'25'!AD13</f>
        <v>0.99949367088607599</v>
      </c>
      <c r="AA10" s="87">
        <f>'26'!AD13</f>
        <v>0.33333333333333331</v>
      </c>
      <c r="AB10" s="87">
        <f>'27'!AD14</f>
        <v>0.41640295358649793</v>
      </c>
      <c r="AC10" s="87">
        <f>'28'!AD13</f>
        <v>0.70737288135593224</v>
      </c>
      <c r="AD10" s="87">
        <f>'29'!AD13</f>
        <v>0.41634980988593157</v>
      </c>
      <c r="AE10" s="87">
        <f>'30'!AD14</f>
        <v>0.4157142857142857</v>
      </c>
      <c r="AF10" s="88">
        <f>'31'!AD13</f>
        <v>0</v>
      </c>
      <c r="AG10" s="89">
        <f t="shared" si="0"/>
        <v>0.42972320963221716</v>
      </c>
    </row>
    <row r="11" spans="1:33" ht="21.75" customHeight="1">
      <c r="A11" s="118" t="s">
        <v>70</v>
      </c>
      <c r="B11" s="113">
        <f>'01'!AD14</f>
        <v>0</v>
      </c>
      <c r="C11" s="113"/>
      <c r="D11" s="84"/>
      <c r="E11" s="84"/>
      <c r="F11" s="84"/>
      <c r="G11" s="84"/>
      <c r="H11" s="84"/>
      <c r="I11" s="84"/>
      <c r="J11" s="84">
        <f>'09'!AD14</f>
        <v>0.33333333333333331</v>
      </c>
      <c r="K11" s="84">
        <f>'10'!AD14</f>
        <v>0</v>
      </c>
      <c r="L11" s="84">
        <f>'11'!AD14</f>
        <v>0.25</v>
      </c>
      <c r="M11" s="84">
        <f>'12'!AD14</f>
        <v>0</v>
      </c>
      <c r="N11" s="84">
        <f>'13'!AD14</f>
        <v>0</v>
      </c>
      <c r="O11" s="84"/>
      <c r="P11" s="84"/>
      <c r="Q11" s="84">
        <f>'16'!AD14</f>
        <v>0</v>
      </c>
      <c r="R11" s="84">
        <f>'17'!AD14</f>
        <v>0</v>
      </c>
      <c r="S11" s="84">
        <f>'18'!AD14</f>
        <v>0.91666666666666663</v>
      </c>
      <c r="T11" s="84">
        <f>'19'!AD14</f>
        <v>0.99904306220095696</v>
      </c>
      <c r="U11" s="84">
        <f>'20'!AD14</f>
        <v>0</v>
      </c>
      <c r="V11" s="84">
        <f>'21'!AD14</f>
        <v>0.33095238095238094</v>
      </c>
      <c r="W11" s="84"/>
      <c r="X11" s="84">
        <f>'23'!AD14</f>
        <v>0.33333333333333331</v>
      </c>
      <c r="Y11" s="84">
        <f>'24'!AD14</f>
        <v>0</v>
      </c>
      <c r="Z11" s="84">
        <f>'25'!AD14</f>
        <v>0</v>
      </c>
      <c r="AA11" s="84">
        <f>'26'!AD14</f>
        <v>0</v>
      </c>
      <c r="AB11" s="84">
        <f>'27'!AD15</f>
        <v>0</v>
      </c>
      <c r="AC11" s="84">
        <f>'28'!AD14</f>
        <v>0.15666666666666665</v>
      </c>
      <c r="AD11" s="84">
        <f>'29'!AD14</f>
        <v>0.20833333333333334</v>
      </c>
      <c r="AE11" s="84">
        <f>'30'!AD15</f>
        <v>0.53991935483870968</v>
      </c>
      <c r="AF11" s="85">
        <f>'31'!AD14</f>
        <v>4.3346774193548383E-2</v>
      </c>
      <c r="AG11" s="86">
        <f t="shared" si="0"/>
        <v>0.13263209372641707</v>
      </c>
    </row>
    <row r="12" spans="1:33" ht="21.75" customHeight="1">
      <c r="A12" s="118" t="s">
        <v>71</v>
      </c>
      <c r="B12" s="113">
        <f>'01'!AD15</f>
        <v>0</v>
      </c>
      <c r="C12" s="113"/>
      <c r="D12" s="84"/>
      <c r="E12" s="84"/>
      <c r="F12" s="84"/>
      <c r="G12" s="84"/>
      <c r="H12" s="84"/>
      <c r="I12" s="84"/>
      <c r="J12" s="84">
        <f>'09'!AD15</f>
        <v>0</v>
      </c>
      <c r="K12" s="84">
        <f>'10'!AD15</f>
        <v>0</v>
      </c>
      <c r="L12" s="84">
        <f>'11'!AD15</f>
        <v>0</v>
      </c>
      <c r="M12" s="84">
        <f>'12'!AD15</f>
        <v>0</v>
      </c>
      <c r="N12" s="84">
        <f>'13'!AD15</f>
        <v>0</v>
      </c>
      <c r="O12" s="84"/>
      <c r="P12" s="84"/>
      <c r="Q12" s="84">
        <f>'16'!AD15</f>
        <v>0.58333333333333337</v>
      </c>
      <c r="R12" s="84">
        <f>'17'!AD15</f>
        <v>0</v>
      </c>
      <c r="S12" s="84">
        <f>'18'!AD15</f>
        <v>0</v>
      </c>
      <c r="T12" s="84">
        <f>'19'!AD15</f>
        <v>0</v>
      </c>
      <c r="U12" s="84">
        <f>'20'!AD15</f>
        <v>0</v>
      </c>
      <c r="V12" s="84">
        <f>'21'!AD15</f>
        <v>0</v>
      </c>
      <c r="W12" s="84"/>
      <c r="X12" s="84">
        <f>'23'!AD15</f>
        <v>0</v>
      </c>
      <c r="Y12" s="84">
        <f>'24'!AD15</f>
        <v>0</v>
      </c>
      <c r="Z12" s="84">
        <f>'25'!AD15</f>
        <v>0.8747946009389671</v>
      </c>
      <c r="AA12" s="84">
        <f>'26'!AD15</f>
        <v>0.91666666666666663</v>
      </c>
      <c r="AB12" s="84">
        <f>'27'!AD16</f>
        <v>0</v>
      </c>
      <c r="AC12" s="84">
        <f>'28'!AD15</f>
        <v>0</v>
      </c>
      <c r="AD12" s="84">
        <f>'29'!AD15</f>
        <v>0</v>
      </c>
      <c r="AE12" s="84">
        <f>'30'!AD16</f>
        <v>0</v>
      </c>
      <c r="AF12" s="85">
        <f>'31'!AD15</f>
        <v>0</v>
      </c>
      <c r="AG12" s="86">
        <f t="shared" si="0"/>
        <v>7.66062774496441E-2</v>
      </c>
    </row>
    <row r="13" spans="1:33" ht="21.75" customHeight="1">
      <c r="A13" s="118" t="s">
        <v>72</v>
      </c>
      <c r="B13" s="113">
        <f>'01'!AD16</f>
        <v>0.99958847736625511</v>
      </c>
      <c r="C13" s="113"/>
      <c r="D13" s="84"/>
      <c r="E13" s="84"/>
      <c r="F13" s="84"/>
      <c r="G13" s="84"/>
      <c r="H13" s="84"/>
      <c r="I13" s="84"/>
      <c r="J13" s="84">
        <f>'09'!AD16</f>
        <v>0.79050586510263932</v>
      </c>
      <c r="K13" s="84">
        <f>'10'!AD16</f>
        <v>0.9997979797979798</v>
      </c>
      <c r="L13" s="84">
        <f>'11'!AD16</f>
        <v>0.99894514767932485</v>
      </c>
      <c r="M13" s="84">
        <f>'12'!AD16</f>
        <v>0.95691707717569796</v>
      </c>
      <c r="N13" s="84">
        <f>'13'!AD16</f>
        <v>0.99931818181818177</v>
      </c>
      <c r="O13" s="84"/>
      <c r="P13" s="84"/>
      <c r="Q13" s="84">
        <f>'16'!AD16</f>
        <v>0.95775948103792419</v>
      </c>
      <c r="R13" s="84">
        <f>'17'!AD16</f>
        <v>0.58333333333333337</v>
      </c>
      <c r="S13" s="84">
        <f>'18'!AD16</f>
        <v>0</v>
      </c>
      <c r="T13" s="84">
        <f>'19'!AD16</f>
        <v>0</v>
      </c>
      <c r="U13" s="84">
        <f>'20'!AD16</f>
        <v>0</v>
      </c>
      <c r="V13" s="84">
        <f>'21'!AD16</f>
        <v>0</v>
      </c>
      <c r="W13" s="84"/>
      <c r="X13" s="84">
        <f>'23'!AD16</f>
        <v>0</v>
      </c>
      <c r="Y13" s="84">
        <f>'24'!AD16</f>
        <v>0.58115491009681886</v>
      </c>
      <c r="Z13" s="84">
        <f>'25'!AD16</f>
        <v>0.99918032786885247</v>
      </c>
      <c r="AA13" s="84">
        <f>'26'!AD16</f>
        <v>0.99855967078189301</v>
      </c>
      <c r="AB13" s="84">
        <f>'27'!AD17</f>
        <v>1</v>
      </c>
      <c r="AC13" s="84">
        <f>'28'!AD16</f>
        <v>0.99933628318584067</v>
      </c>
      <c r="AD13" s="84">
        <f>'29'!AD16</f>
        <v>0.41569314641744548</v>
      </c>
      <c r="AE13" s="84">
        <f>'30'!AD17</f>
        <v>0.45635135135135135</v>
      </c>
      <c r="AF13" s="85">
        <f>'31'!AD16</f>
        <v>0.24963768115942028</v>
      </c>
      <c r="AG13" s="86">
        <f t="shared" si="0"/>
        <v>0.41890577142493413</v>
      </c>
    </row>
    <row r="14" spans="1:33" ht="21.75" customHeight="1">
      <c r="A14" s="118" t="s">
        <v>73</v>
      </c>
      <c r="B14" s="113">
        <f>'01'!AD17</f>
        <v>0.37446808510638296</v>
      </c>
      <c r="C14" s="113"/>
      <c r="D14" s="84"/>
      <c r="E14" s="84"/>
      <c r="F14" s="84"/>
      <c r="G14" s="84"/>
      <c r="H14" s="84"/>
      <c r="I14" s="84"/>
      <c r="J14" s="84">
        <f>'09'!AD17</f>
        <v>0.41565040650406504</v>
      </c>
      <c r="K14" s="84">
        <f>'10'!AD17</f>
        <v>0</v>
      </c>
      <c r="L14" s="84">
        <f>'11'!AD17</f>
        <v>0.58240740740740748</v>
      </c>
      <c r="M14" s="84">
        <f>'12'!AD17</f>
        <v>0</v>
      </c>
      <c r="N14" s="84">
        <f>'13'!AD17</f>
        <v>0</v>
      </c>
      <c r="O14" s="84"/>
      <c r="P14" s="84"/>
      <c r="Q14" s="84">
        <f>'16'!AD17</f>
        <v>0</v>
      </c>
      <c r="R14" s="84">
        <f>'17'!AD17</f>
        <v>0</v>
      </c>
      <c r="S14" s="84">
        <f>'18'!AD17</f>
        <v>0.41534391534391535</v>
      </c>
      <c r="T14" s="84">
        <f>'19'!AD17</f>
        <v>0</v>
      </c>
      <c r="U14" s="84">
        <f>'20'!AD17</f>
        <v>0</v>
      </c>
      <c r="V14" s="84">
        <f>'21'!AD17</f>
        <v>0</v>
      </c>
      <c r="W14" s="84"/>
      <c r="X14" s="84">
        <f>'23'!AD17</f>
        <v>0</v>
      </c>
      <c r="Y14" s="84">
        <f>'24'!AD17</f>
        <v>0</v>
      </c>
      <c r="Z14" s="84">
        <f>'25'!AD17</f>
        <v>0.6244517543859649</v>
      </c>
      <c r="AA14" s="84">
        <f>'26'!AD17</f>
        <v>0.99982638888888886</v>
      </c>
      <c r="AB14" s="84">
        <f>'27'!AD18</f>
        <v>0.99948849104859339</v>
      </c>
      <c r="AC14" s="84">
        <f>'28'!AD17</f>
        <v>0.99948761742100767</v>
      </c>
      <c r="AD14" s="84">
        <f>'29'!AD17</f>
        <v>0</v>
      </c>
      <c r="AE14" s="84">
        <f>'30'!AD18</f>
        <v>0.58217821782178225</v>
      </c>
      <c r="AF14" s="85">
        <f>'31'!AD17</f>
        <v>0.16464646464646465</v>
      </c>
      <c r="AG14" s="86">
        <f t="shared" si="0"/>
        <v>0.1986435080185314</v>
      </c>
    </row>
    <row r="15" spans="1:33" ht="21.75" customHeight="1">
      <c r="A15" s="119" t="s">
        <v>74</v>
      </c>
      <c r="B15" s="114">
        <f>'01'!AD18</f>
        <v>0.37470930232558142</v>
      </c>
      <c r="C15" s="114"/>
      <c r="D15" s="87"/>
      <c r="E15" s="87"/>
      <c r="F15" s="87"/>
      <c r="G15" s="87"/>
      <c r="H15" s="87"/>
      <c r="I15" s="87"/>
      <c r="J15" s="87">
        <f>'09'!AD18</f>
        <v>0.54024122807017538</v>
      </c>
      <c r="K15" s="87">
        <f>'10'!AD18</f>
        <v>0.53949999999999998</v>
      </c>
      <c r="L15" s="87">
        <f>'11'!AD18</f>
        <v>0</v>
      </c>
      <c r="M15" s="87">
        <f>'12'!AD18</f>
        <v>0</v>
      </c>
      <c r="N15" s="87">
        <f>'13'!AD18</f>
        <v>0.9576241134751774</v>
      </c>
      <c r="O15" s="87"/>
      <c r="P15" s="87"/>
      <c r="Q15" s="87">
        <f>'16'!AD18</f>
        <v>0.83242630385487526</v>
      </c>
      <c r="R15" s="87">
        <f>'17'!AD18</f>
        <v>0.99946666666666661</v>
      </c>
      <c r="S15" s="87">
        <f>'18'!AD18</f>
        <v>1</v>
      </c>
      <c r="T15" s="87">
        <f>'19'!AD18+'19'!AD19</f>
        <v>0.95700619925132258</v>
      </c>
      <c r="U15" s="87">
        <f>'20'!AD18</f>
        <v>0.99910873440285208</v>
      </c>
      <c r="V15" s="87">
        <f>'21'!AD18</f>
        <v>0.24954545454545454</v>
      </c>
      <c r="W15" s="87"/>
      <c r="X15" s="87">
        <f>'23'!AD18</f>
        <v>0.49975609756097561</v>
      </c>
      <c r="Y15" s="87">
        <f>'24'!AD18</f>
        <v>0.74841549295774645</v>
      </c>
      <c r="Z15" s="87">
        <f>'25'!AD18</f>
        <v>0.83333333333333337</v>
      </c>
      <c r="AA15" s="87">
        <f>'26'!AD18</f>
        <v>0.58125000000000004</v>
      </c>
      <c r="AB15" s="87">
        <f>'27'!AD19</f>
        <v>0.95812545191612442</v>
      </c>
      <c r="AC15" s="87">
        <f>'28'!AD18</f>
        <v>0.41666666666666669</v>
      </c>
      <c r="AD15" s="87">
        <f>'29'!AD18</f>
        <v>0.24934210526315789</v>
      </c>
      <c r="AE15" s="87">
        <f>'30'!AD19</f>
        <v>0.79166666666666663</v>
      </c>
      <c r="AF15" s="88">
        <f>'31'!AD18</f>
        <v>0.54117199391171988</v>
      </c>
      <c r="AG15" s="89">
        <f t="shared" si="0"/>
        <v>0.42159212293124187</v>
      </c>
    </row>
    <row r="16" spans="1:33" ht="21.75" customHeight="1">
      <c r="A16" s="119" t="s">
        <v>75</v>
      </c>
      <c r="B16" s="114">
        <f>'01'!AD19</f>
        <v>0.99822834645669289</v>
      </c>
      <c r="C16" s="114"/>
      <c r="D16" s="87"/>
      <c r="E16" s="87"/>
      <c r="F16" s="87"/>
      <c r="G16" s="87"/>
      <c r="H16" s="87"/>
      <c r="I16" s="87"/>
      <c r="J16" s="87">
        <f>'09'!AD19</f>
        <v>0.54105345911949676</v>
      </c>
      <c r="K16" s="87">
        <f>'10'!AD19</f>
        <v>0.95721639471639475</v>
      </c>
      <c r="L16" s="87">
        <f>'11'!AD19</f>
        <v>0.83290598290598294</v>
      </c>
      <c r="M16" s="87">
        <f>'12'!AD19</f>
        <v>0.9981609195402299</v>
      </c>
      <c r="N16" s="87">
        <f>'13'!AD19</f>
        <v>0.99960552268244574</v>
      </c>
      <c r="O16" s="87"/>
      <c r="P16" s="87"/>
      <c r="Q16" s="87">
        <f>'16'!AD19</f>
        <v>0.95750180766449755</v>
      </c>
      <c r="R16" s="87">
        <f>'17'!AD19</f>
        <v>0.99824561403508771</v>
      </c>
      <c r="S16" s="87">
        <f>'18'!AD19+'18'!AD20</f>
        <v>0.87325708061002183</v>
      </c>
      <c r="T16" s="87">
        <f>'19'!AD20</f>
        <v>0.99964285714285717</v>
      </c>
      <c r="U16" s="87">
        <f>'20'!AD19</f>
        <v>0.24972826086956521</v>
      </c>
      <c r="V16" s="87">
        <f>'21'!AD19</f>
        <v>0.37238372093023253</v>
      </c>
      <c r="W16" s="87"/>
      <c r="X16" s="87">
        <f>'23'!AD19</f>
        <v>0</v>
      </c>
      <c r="Y16" s="87">
        <f>'24'!AD19</f>
        <v>0.83333333333333337</v>
      </c>
      <c r="Z16" s="87">
        <f>'25'!AD19</f>
        <v>0.24885057471264369</v>
      </c>
      <c r="AA16" s="87">
        <f>'26'!AD19</f>
        <v>0.95768871449925264</v>
      </c>
      <c r="AB16" s="87">
        <f>'27'!AD20</f>
        <v>1</v>
      </c>
      <c r="AC16" s="87">
        <f>'28'!AD19</f>
        <v>0.99980750721847933</v>
      </c>
      <c r="AD16" s="87">
        <f>'29'!AD19</f>
        <v>0.41535874439461884</v>
      </c>
      <c r="AE16" s="87">
        <f>'30'!AD20</f>
        <v>0.99938144329896905</v>
      </c>
      <c r="AF16" s="88">
        <f>'31'!AD19</f>
        <v>0.99980582524271844</v>
      </c>
      <c r="AG16" s="89">
        <f t="shared" si="0"/>
        <v>0.52361793901204889</v>
      </c>
    </row>
    <row r="17" spans="1:33" ht="21.75" customHeight="1" thickBot="1">
      <c r="A17" s="120" t="s">
        <v>113</v>
      </c>
      <c r="B17" s="115">
        <f>'01'!AD20</f>
        <v>0</v>
      </c>
      <c r="C17" s="115"/>
      <c r="D17" s="90"/>
      <c r="E17" s="90"/>
      <c r="F17" s="90"/>
      <c r="G17" s="90"/>
      <c r="H17" s="90"/>
      <c r="I17" s="90"/>
      <c r="J17" s="90">
        <f>'09'!AD20</f>
        <v>0</v>
      </c>
      <c r="K17" s="90">
        <f>'10'!AD20</f>
        <v>0</v>
      </c>
      <c r="L17" s="90">
        <f>'11'!AD20</f>
        <v>0</v>
      </c>
      <c r="M17" s="90">
        <f>'12'!AD20</f>
        <v>0</v>
      </c>
      <c r="N17" s="90">
        <f>'13'!AD20</f>
        <v>0</v>
      </c>
      <c r="O17" s="90"/>
      <c r="P17" s="90"/>
      <c r="Q17" s="90">
        <f>'16'!AD20</f>
        <v>0</v>
      </c>
      <c r="R17" s="90">
        <f>'17'!AD20</f>
        <v>0</v>
      </c>
      <c r="S17" s="90">
        <f>'18'!AD21</f>
        <v>0</v>
      </c>
      <c r="T17" s="90">
        <f>'19'!AD21</f>
        <v>0.58333333333333337</v>
      </c>
      <c r="U17" s="90">
        <f>'20'!AD20</f>
        <v>0.99996933926107623</v>
      </c>
      <c r="V17" s="90">
        <f>'21'!AD20</f>
        <v>0.41658727638403725</v>
      </c>
      <c r="W17" s="90"/>
      <c r="X17" s="90">
        <f>'23'!AD20</f>
        <v>0.99989013001281812</v>
      </c>
      <c r="Y17" s="90">
        <f>'24'!AD20</f>
        <v>0.99991208791208797</v>
      </c>
      <c r="Z17" s="90">
        <f>'25'!AD20</f>
        <v>0.99996926386967877</v>
      </c>
      <c r="AA17" s="90">
        <f>'26'!AD20</f>
        <v>1</v>
      </c>
      <c r="AB17" s="90">
        <f>'27'!AD21</f>
        <v>0.49990873136598724</v>
      </c>
      <c r="AC17" s="90">
        <f>'28'!AD20</f>
        <v>0</v>
      </c>
      <c r="AD17" s="90">
        <f>'29'!AD20</f>
        <v>0</v>
      </c>
      <c r="AE17" s="90">
        <f>'30'!AD21</f>
        <v>0</v>
      </c>
      <c r="AF17" s="91">
        <f>'31'!AD20</f>
        <v>0</v>
      </c>
      <c r="AG17" s="92">
        <f t="shared" si="0"/>
        <v>0.2096635536173877</v>
      </c>
    </row>
    <row r="18" spans="1:33" s="93" customFormat="1" ht="21.75" customHeight="1">
      <c r="A18" s="97" t="s">
        <v>107</v>
      </c>
      <c r="B18" s="101">
        <f>'01'!AD21</f>
        <v>0.37888305179256121</v>
      </c>
      <c r="C18" s="101"/>
      <c r="D18" s="102"/>
      <c r="E18" s="102"/>
      <c r="F18" s="102"/>
      <c r="G18" s="102"/>
      <c r="H18" s="102"/>
      <c r="I18" s="102"/>
      <c r="J18" s="102">
        <f>'09'!AD21</f>
        <v>0.45776214287231148</v>
      </c>
      <c r="K18" s="102">
        <f>'10'!AD21</f>
        <v>0.42179504231423137</v>
      </c>
      <c r="L18" s="102">
        <f>'11'!AD21</f>
        <v>0.39100891481581856</v>
      </c>
      <c r="M18" s="102">
        <f>'12'!AD21</f>
        <v>0.40793971605079354</v>
      </c>
      <c r="N18" s="102">
        <f>'13'!AD21</f>
        <v>0.56074522009281347</v>
      </c>
      <c r="O18" s="102"/>
      <c r="P18" s="102"/>
      <c r="Q18" s="102">
        <f>'16'!AD21</f>
        <v>0.38579369294515797</v>
      </c>
      <c r="R18" s="102">
        <f>'17'!AD21</f>
        <v>0.44394063074907353</v>
      </c>
      <c r="S18" s="102">
        <f>'18'!AD22</f>
        <v>0.40221866574588361</v>
      </c>
      <c r="T18" s="102">
        <f>'19'!AD22</f>
        <v>0.51070617203115254</v>
      </c>
      <c r="U18" s="102">
        <f>'20'!AD21</f>
        <v>0.46906389225296558</v>
      </c>
      <c r="V18" s="102">
        <f>'21'!AD21</f>
        <v>0.22430802967419436</v>
      </c>
      <c r="W18" s="102"/>
      <c r="X18" s="102">
        <f>'23'!AD21</f>
        <v>0.32187376659276057</v>
      </c>
      <c r="Y18" s="102">
        <f>'24'!AD21</f>
        <v>0.5412850469555881</v>
      </c>
      <c r="Z18" s="102">
        <f>'25'!AD21</f>
        <v>0.58538590101163301</v>
      </c>
      <c r="AA18" s="102">
        <f>'26'!AD21</f>
        <v>0.62718414412672585</v>
      </c>
      <c r="AB18" s="102">
        <f>'27'!AD22</f>
        <v>0.60792761348545754</v>
      </c>
      <c r="AC18" s="102">
        <f>'28'!AD21</f>
        <v>0.56269482883224564</v>
      </c>
      <c r="AD18" s="102">
        <f>'29'!AD21</f>
        <v>0.23286925434885672</v>
      </c>
      <c r="AE18" s="102">
        <f>'30'!AD22</f>
        <v>0.5129515571976232</v>
      </c>
      <c r="AF18" s="103">
        <f>'31'!AD21</f>
        <v>0.41589957497510083</v>
      </c>
      <c r="AG18" s="106">
        <f t="shared" si="0"/>
        <v>0.30523344706009509</v>
      </c>
    </row>
    <row r="19" spans="1:33" ht="21.75" customHeight="1" thickBot="1">
      <c r="A19" s="76" t="s">
        <v>111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4" sqref="F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185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 t="s">
        <v>59</v>
      </c>
      <c r="C6" s="11" t="s">
        <v>126</v>
      </c>
      <c r="D6" s="55" t="s">
        <v>127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0.37888305179256121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37" t="s">
        <v>169</v>
      </c>
      <c r="D7" s="55" t="s">
        <v>170</v>
      </c>
      <c r="E7" s="57" t="s">
        <v>171</v>
      </c>
      <c r="F7" s="33" t="s">
        <v>172</v>
      </c>
      <c r="G7" s="12">
        <v>2</v>
      </c>
      <c r="H7" s="13">
        <v>25</v>
      </c>
      <c r="I7" s="34">
        <v>2000</v>
      </c>
      <c r="J7" s="5">
        <v>2570</v>
      </c>
      <c r="K7" s="15">
        <f>L7+2564</f>
        <v>2564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0.37888305179256121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146</v>
      </c>
      <c r="D8" s="55" t="s">
        <v>148</v>
      </c>
      <c r="E8" s="56" t="s">
        <v>147</v>
      </c>
      <c r="F8" s="12" t="s">
        <v>149</v>
      </c>
      <c r="G8" s="12" t="s">
        <v>150</v>
      </c>
      <c r="H8" s="13">
        <v>25</v>
      </c>
      <c r="I8" s="34">
        <v>1000</v>
      </c>
      <c r="J8" s="14">
        <v>470</v>
      </c>
      <c r="K8" s="15">
        <f>L8+3387+469</f>
        <v>3856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0.37888305179256121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50000</v>
      </c>
      <c r="J9" s="5">
        <v>4930</v>
      </c>
      <c r="K9" s="15">
        <f>L9+5005+3240+5678+5624+4062+5654+5634</f>
        <v>39824</v>
      </c>
      <c r="L9" s="15">
        <f>1245+3682</f>
        <v>4927</v>
      </c>
      <c r="M9" s="16">
        <f t="shared" si="0"/>
        <v>4927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>
        <v>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0.9993914807302231</v>
      </c>
      <c r="AC9" s="9">
        <f t="shared" si="5"/>
        <v>0.875</v>
      </c>
      <c r="AD9" s="10">
        <f t="shared" si="6"/>
        <v>0.87446754563894524</v>
      </c>
      <c r="AE9" s="39">
        <f t="shared" si="7"/>
        <v>0.37888305179256121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151</v>
      </c>
      <c r="D10" s="55" t="s">
        <v>187</v>
      </c>
      <c r="E10" s="57" t="s">
        <v>188</v>
      </c>
      <c r="F10" s="12" t="s">
        <v>189</v>
      </c>
      <c r="G10" s="12">
        <v>1</v>
      </c>
      <c r="H10" s="13">
        <v>25</v>
      </c>
      <c r="I10" s="34">
        <v>1000</v>
      </c>
      <c r="J10" s="14">
        <v>1610</v>
      </c>
      <c r="K10" s="15">
        <f>L10</f>
        <v>2023</v>
      </c>
      <c r="L10" s="15">
        <f>2023</f>
        <v>2023</v>
      </c>
      <c r="M10" s="16">
        <f t="shared" si="0"/>
        <v>2023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1.2565217391304349</v>
      </c>
      <c r="AC10" s="9">
        <f t="shared" si="5"/>
        <v>0.41666666666666669</v>
      </c>
      <c r="AD10" s="10">
        <f t="shared" si="6"/>
        <v>0.52355072463768126</v>
      </c>
      <c r="AE10" s="39">
        <f t="shared" si="7"/>
        <v>0.37888305179256121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159</v>
      </c>
      <c r="D11" s="55" t="s">
        <v>155</v>
      </c>
      <c r="E11" s="56" t="s">
        <v>160</v>
      </c>
      <c r="F11" s="12" t="s">
        <v>161</v>
      </c>
      <c r="G11" s="12">
        <v>1</v>
      </c>
      <c r="H11" s="13">
        <v>25</v>
      </c>
      <c r="I11" s="34">
        <v>12000</v>
      </c>
      <c r="J11" s="14">
        <v>540</v>
      </c>
      <c r="K11" s="15">
        <f>L11+2644+5488+5515</f>
        <v>14185</v>
      </c>
      <c r="L11" s="15">
        <v>538</v>
      </c>
      <c r="M11" s="16">
        <f t="shared" si="0"/>
        <v>538</v>
      </c>
      <c r="N11" s="16">
        <v>0</v>
      </c>
      <c r="O11" s="62">
        <f t="shared" si="1"/>
        <v>0</v>
      </c>
      <c r="P11" s="42">
        <f t="shared" si="2"/>
        <v>3</v>
      </c>
      <c r="Q11" s="43">
        <f t="shared" si="3"/>
        <v>21</v>
      </c>
      <c r="R11" s="7"/>
      <c r="S11" s="6"/>
      <c r="T11" s="17"/>
      <c r="U11" s="17"/>
      <c r="V11" s="18"/>
      <c r="W11" s="19">
        <v>21</v>
      </c>
      <c r="X11" s="17"/>
      <c r="Y11" s="20"/>
      <c r="Z11" s="20"/>
      <c r="AA11" s="21"/>
      <c r="AB11" s="8">
        <f t="shared" si="4"/>
        <v>0.99629629629629635</v>
      </c>
      <c r="AC11" s="9">
        <f t="shared" si="5"/>
        <v>0.125</v>
      </c>
      <c r="AD11" s="10">
        <f t="shared" si="6"/>
        <v>0.12453703703703704</v>
      </c>
      <c r="AE11" s="39">
        <f t="shared" si="7"/>
        <v>0.37888305179256121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151</v>
      </c>
      <c r="D12" s="55" t="s">
        <v>190</v>
      </c>
      <c r="E12" s="57" t="s">
        <v>191</v>
      </c>
      <c r="F12" s="12" t="s">
        <v>143</v>
      </c>
      <c r="G12" s="12">
        <v>1</v>
      </c>
      <c r="H12" s="13">
        <v>25</v>
      </c>
      <c r="I12" s="7">
        <v>1000</v>
      </c>
      <c r="J12" s="14">
        <v>1700</v>
      </c>
      <c r="K12" s="15">
        <f>L12</f>
        <v>1691</v>
      </c>
      <c r="L12" s="15">
        <f>1558+133</f>
        <v>1691</v>
      </c>
      <c r="M12" s="16">
        <f t="shared" ref="M12" si="9">L12-N12</f>
        <v>1691</v>
      </c>
      <c r="N12" s="16">
        <v>0</v>
      </c>
      <c r="O12" s="62">
        <f t="shared" ref="O12" si="10">IF(L12=0,"0",N12/L12)</f>
        <v>0</v>
      </c>
      <c r="P12" s="42">
        <f t="shared" ref="P12" si="11">IF(L12=0,"0",(24-Q12))</f>
        <v>10</v>
      </c>
      <c r="Q12" s="43">
        <f t="shared" ref="Q12" si="12">SUM(R12:AA12)</f>
        <v>14</v>
      </c>
      <c r="R12" s="7"/>
      <c r="S12" s="6"/>
      <c r="T12" s="17"/>
      <c r="U12" s="17"/>
      <c r="V12" s="18"/>
      <c r="W12" s="19">
        <v>14</v>
      </c>
      <c r="X12" s="17"/>
      <c r="Y12" s="20"/>
      <c r="Z12" s="20"/>
      <c r="AA12" s="21"/>
      <c r="AB12" s="8">
        <f t="shared" ref="AB12" si="13">IF(J12=0,"0",(L12/J12))</f>
        <v>0.99470588235294122</v>
      </c>
      <c r="AC12" s="9">
        <f t="shared" ref="AC12" si="14">IF(P12=0,"0",(P12/24))</f>
        <v>0.41666666666666669</v>
      </c>
      <c r="AD12" s="10">
        <f t="shared" ref="AD12" si="15">AC12*AB12*(1-O12)</f>
        <v>0.41446078431372552</v>
      </c>
      <c r="AE12" s="39">
        <f t="shared" si="7"/>
        <v>0.37888305179256121</v>
      </c>
      <c r="AF12" s="94">
        <f t="shared" ref="AF12" si="16">A12</f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50000</v>
      </c>
      <c r="J13" s="14">
        <v>6540</v>
      </c>
      <c r="K13" s="15">
        <f>L13+2835+6129+6086+5052+6112</f>
        <v>32749</v>
      </c>
      <c r="L13" s="15">
        <f>2532+4003</f>
        <v>6535</v>
      </c>
      <c r="M13" s="16">
        <f t="shared" si="0"/>
        <v>6535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0.99923547400611623</v>
      </c>
      <c r="AC13" s="9">
        <f t="shared" si="5"/>
        <v>1</v>
      </c>
      <c r="AD13" s="10">
        <f t="shared" si="6"/>
        <v>0.99923547400611623</v>
      </c>
      <c r="AE13" s="39">
        <f t="shared" si="7"/>
        <v>0.37888305179256121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137</v>
      </c>
      <c r="D14" s="55" t="s">
        <v>162</v>
      </c>
      <c r="E14" s="57" t="s">
        <v>168</v>
      </c>
      <c r="F14" s="33" t="s">
        <v>163</v>
      </c>
      <c r="G14" s="36" t="s">
        <v>164</v>
      </c>
      <c r="H14" s="38">
        <v>30</v>
      </c>
      <c r="I14" s="7">
        <v>2000</v>
      </c>
      <c r="J14" s="5">
        <v>2240</v>
      </c>
      <c r="K14" s="15">
        <f>L14+2238</f>
        <v>2238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0.37888305179256121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151</v>
      </c>
      <c r="D15" s="55" t="s">
        <v>133</v>
      </c>
      <c r="E15" s="57" t="s">
        <v>173</v>
      </c>
      <c r="F15" s="12" t="s">
        <v>174</v>
      </c>
      <c r="G15" s="12">
        <v>1</v>
      </c>
      <c r="H15" s="13">
        <v>25</v>
      </c>
      <c r="I15" s="34">
        <v>1000</v>
      </c>
      <c r="J15" s="14">
        <v>1640</v>
      </c>
      <c r="K15" s="15">
        <f>L15+1634</f>
        <v>1634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0.37888305179256121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156</v>
      </c>
      <c r="D16" s="55" t="s">
        <v>157</v>
      </c>
      <c r="E16" s="56" t="s">
        <v>158</v>
      </c>
      <c r="F16" s="12">
        <v>7301</v>
      </c>
      <c r="G16" s="36">
        <v>1</v>
      </c>
      <c r="H16" s="38">
        <v>25</v>
      </c>
      <c r="I16" s="7">
        <f>16000+9000</f>
        <v>25000</v>
      </c>
      <c r="J16" s="14">
        <v>4860</v>
      </c>
      <c r="K16" s="15">
        <f>L16+4379+4831+4901+4882</f>
        <v>23851</v>
      </c>
      <c r="L16" s="15">
        <f>2006+2852</f>
        <v>4858</v>
      </c>
      <c r="M16" s="16">
        <f t="shared" si="0"/>
        <v>4858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0.99958847736625511</v>
      </c>
      <c r="AC16" s="9">
        <f t="shared" si="5"/>
        <v>1</v>
      </c>
      <c r="AD16" s="10">
        <f t="shared" si="6"/>
        <v>0.99958847736625511</v>
      </c>
      <c r="AE16" s="39">
        <f t="shared" si="7"/>
        <v>0.37888305179256121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159</v>
      </c>
      <c r="D17" s="55" t="s">
        <v>165</v>
      </c>
      <c r="E17" s="56" t="s">
        <v>166</v>
      </c>
      <c r="F17" s="12">
        <v>8301</v>
      </c>
      <c r="G17" s="12">
        <v>1</v>
      </c>
      <c r="H17" s="13">
        <v>25</v>
      </c>
      <c r="I17" s="34">
        <v>8500</v>
      </c>
      <c r="J17" s="5">
        <v>1410</v>
      </c>
      <c r="K17" s="15">
        <f>L17+2590+6453</f>
        <v>10451</v>
      </c>
      <c r="L17" s="15">
        <v>1408</v>
      </c>
      <c r="M17" s="16">
        <f t="shared" si="0"/>
        <v>1408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/>
      <c r="T17" s="17"/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0.99858156028368794</v>
      </c>
      <c r="AC17" s="9">
        <f t="shared" si="5"/>
        <v>0.375</v>
      </c>
      <c r="AD17" s="10">
        <f t="shared" si="6"/>
        <v>0.37446808510638296</v>
      </c>
      <c r="AE17" s="39">
        <f t="shared" si="7"/>
        <v>0.37888305179256121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180</v>
      </c>
      <c r="E18" s="57" t="s">
        <v>181</v>
      </c>
      <c r="F18" s="33" t="s">
        <v>182</v>
      </c>
      <c r="G18" s="12">
        <v>1</v>
      </c>
      <c r="H18" s="13">
        <v>25</v>
      </c>
      <c r="I18" s="34">
        <v>4000</v>
      </c>
      <c r="J18" s="5">
        <v>1290</v>
      </c>
      <c r="K18" s="15">
        <f>L18+4066</f>
        <v>5355</v>
      </c>
      <c r="L18" s="15">
        <f>1184+105</f>
        <v>1289</v>
      </c>
      <c r="M18" s="16">
        <f t="shared" si="0"/>
        <v>1289</v>
      </c>
      <c r="N18" s="16">
        <v>0</v>
      </c>
      <c r="O18" s="62">
        <f t="shared" si="1"/>
        <v>0</v>
      </c>
      <c r="P18" s="42">
        <f t="shared" si="2"/>
        <v>9</v>
      </c>
      <c r="Q18" s="43">
        <f t="shared" si="3"/>
        <v>15</v>
      </c>
      <c r="R18" s="7"/>
      <c r="S18" s="6">
        <v>15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0.99922480620155041</v>
      </c>
      <c r="AC18" s="9">
        <f t="shared" si="5"/>
        <v>0.375</v>
      </c>
      <c r="AD18" s="10">
        <f t="shared" si="6"/>
        <v>0.37470930232558142</v>
      </c>
      <c r="AE18" s="39">
        <f t="shared" si="7"/>
        <v>0.37888305179256121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50000</v>
      </c>
      <c r="J19" s="5">
        <v>5080</v>
      </c>
      <c r="K19" s="15">
        <f>L19+4442+4907+4868+4725+2202+4890+4923+4904</f>
        <v>40932</v>
      </c>
      <c r="L19" s="15">
        <f>2026+3045</f>
        <v>5071</v>
      </c>
      <c r="M19" s="16">
        <f t="shared" si="0"/>
        <v>5071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0.99822834645669289</v>
      </c>
      <c r="AC19" s="9">
        <f t="shared" si="5"/>
        <v>1</v>
      </c>
      <c r="AD19" s="10">
        <f t="shared" si="6"/>
        <v>0.99822834645669289</v>
      </c>
      <c r="AE19" s="39">
        <f t="shared" si="7"/>
        <v>0.37888305179256121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145</v>
      </c>
      <c r="F20" s="12" t="s">
        <v>117</v>
      </c>
      <c r="G20" s="12">
        <v>4</v>
      </c>
      <c r="H20" s="38">
        <v>20</v>
      </c>
      <c r="I20" s="7">
        <v>200000</v>
      </c>
      <c r="J20" s="14">
        <v>33300</v>
      </c>
      <c r="K20" s="15">
        <f>L20+50220+52380+58428+58872+64080+33228</f>
        <v>317208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0.37888305179256121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7">SUM(I6:I20)</f>
        <v>408500</v>
      </c>
      <c r="J21" s="22">
        <f t="shared" si="17"/>
        <v>70150</v>
      </c>
      <c r="K21" s="23">
        <f t="shared" si="17"/>
        <v>500523</v>
      </c>
      <c r="L21" s="24">
        <f t="shared" si="17"/>
        <v>28340</v>
      </c>
      <c r="M21" s="23">
        <f t="shared" si="17"/>
        <v>28340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134</v>
      </c>
      <c r="Q21" s="46">
        <f t="shared" si="18"/>
        <v>226</v>
      </c>
      <c r="R21" s="26">
        <f t="shared" si="18"/>
        <v>24</v>
      </c>
      <c r="S21" s="27">
        <f t="shared" si="18"/>
        <v>18</v>
      </c>
      <c r="T21" s="27">
        <f t="shared" si="18"/>
        <v>0</v>
      </c>
      <c r="U21" s="27">
        <f t="shared" si="18"/>
        <v>0</v>
      </c>
      <c r="V21" s="28">
        <f t="shared" si="18"/>
        <v>0</v>
      </c>
      <c r="W21" s="29">
        <f t="shared" si="18"/>
        <v>184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0</v>
      </c>
      <c r="AB21" s="31">
        <f>SUM(AB6:AB20)/15</f>
        <v>0.61611827085494653</v>
      </c>
      <c r="AC21" s="4">
        <f>SUM(AC6:AC20)/15</f>
        <v>0.37222222222222229</v>
      </c>
      <c r="AD21" s="4">
        <f>SUM(AD6:AD20)/15</f>
        <v>0.37888305179256121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192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199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26" t="s">
        <v>47</v>
      </c>
      <c r="D50" s="126" t="s">
        <v>48</v>
      </c>
      <c r="E50" s="126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26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176</v>
      </c>
      <c r="B51" s="410"/>
      <c r="C51" s="127" t="s">
        <v>144</v>
      </c>
      <c r="D51" s="128" t="s">
        <v>193</v>
      </c>
      <c r="E51" s="127" t="s">
        <v>188</v>
      </c>
      <c r="F51" s="394" t="s">
        <v>177</v>
      </c>
      <c r="G51" s="394"/>
      <c r="H51" s="394"/>
      <c r="I51" s="394"/>
      <c r="J51" s="394"/>
      <c r="K51" s="394"/>
      <c r="L51" s="394"/>
      <c r="M51" s="404"/>
      <c r="N51" s="129" t="s">
        <v>167</v>
      </c>
      <c r="O51" s="74" t="s">
        <v>200</v>
      </c>
      <c r="P51" s="411" t="s">
        <v>179</v>
      </c>
      <c r="Q51" s="412"/>
      <c r="R51" s="403" t="s">
        <v>201</v>
      </c>
      <c r="S51" s="403"/>
      <c r="T51" s="403"/>
      <c r="U51" s="403"/>
      <c r="V51" s="394" t="s">
        <v>202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151</v>
      </c>
      <c r="B52" s="410"/>
      <c r="C52" s="127" t="s">
        <v>140</v>
      </c>
      <c r="D52" s="128" t="s">
        <v>194</v>
      </c>
      <c r="E52" s="127" t="s">
        <v>191</v>
      </c>
      <c r="F52" s="394" t="s">
        <v>177</v>
      </c>
      <c r="G52" s="394"/>
      <c r="H52" s="394"/>
      <c r="I52" s="394"/>
      <c r="J52" s="394"/>
      <c r="K52" s="394"/>
      <c r="L52" s="394"/>
      <c r="M52" s="404"/>
      <c r="N52" s="129" t="s">
        <v>203</v>
      </c>
      <c r="O52" s="74" t="s">
        <v>204</v>
      </c>
      <c r="P52" s="411" t="s">
        <v>205</v>
      </c>
      <c r="Q52" s="412"/>
      <c r="R52" s="403" t="s">
        <v>206</v>
      </c>
      <c r="S52" s="403"/>
      <c r="T52" s="403"/>
      <c r="U52" s="403"/>
      <c r="V52" s="394" t="s">
        <v>184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175</v>
      </c>
      <c r="B53" s="410"/>
      <c r="C53" s="127" t="s">
        <v>178</v>
      </c>
      <c r="D53" s="128" t="s">
        <v>58</v>
      </c>
      <c r="E53" s="127" t="s">
        <v>183</v>
      </c>
      <c r="F53" s="394" t="s">
        <v>195</v>
      </c>
      <c r="G53" s="394"/>
      <c r="H53" s="394"/>
      <c r="I53" s="394"/>
      <c r="J53" s="394"/>
      <c r="K53" s="394"/>
      <c r="L53" s="394"/>
      <c r="M53" s="404"/>
      <c r="N53" s="129"/>
      <c r="O53" s="74"/>
      <c r="P53" s="411"/>
      <c r="Q53" s="412"/>
      <c r="R53" s="403"/>
      <c r="S53" s="403"/>
      <c r="T53" s="403"/>
      <c r="U53" s="403"/>
      <c r="V53" s="394"/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119</v>
      </c>
      <c r="B54" s="410"/>
      <c r="C54" s="127" t="s">
        <v>196</v>
      </c>
      <c r="D54" s="128" t="s">
        <v>187</v>
      </c>
      <c r="E54" s="127" t="s">
        <v>197</v>
      </c>
      <c r="F54" s="394" t="s">
        <v>198</v>
      </c>
      <c r="G54" s="394"/>
      <c r="H54" s="394"/>
      <c r="I54" s="394"/>
      <c r="J54" s="394"/>
      <c r="K54" s="394"/>
      <c r="L54" s="394"/>
      <c r="M54" s="404"/>
      <c r="N54" s="129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127"/>
      <c r="D55" s="128"/>
      <c r="E55" s="127"/>
      <c r="F55" s="394"/>
      <c r="G55" s="394"/>
      <c r="H55" s="394"/>
      <c r="I55" s="394"/>
      <c r="J55" s="394"/>
      <c r="K55" s="394"/>
      <c r="L55" s="394"/>
      <c r="M55" s="404"/>
      <c r="N55" s="129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127"/>
      <c r="D56" s="128"/>
      <c r="E56" s="127"/>
      <c r="F56" s="394"/>
      <c r="G56" s="394"/>
      <c r="H56" s="394"/>
      <c r="I56" s="394"/>
      <c r="J56" s="394"/>
      <c r="K56" s="394"/>
      <c r="L56" s="394"/>
      <c r="M56" s="404"/>
      <c r="N56" s="129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27"/>
      <c r="D57" s="128"/>
      <c r="E57" s="127"/>
      <c r="F57" s="394"/>
      <c r="G57" s="394"/>
      <c r="H57" s="394"/>
      <c r="I57" s="394"/>
      <c r="J57" s="394"/>
      <c r="K57" s="394"/>
      <c r="L57" s="394"/>
      <c r="M57" s="404"/>
      <c r="N57" s="129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27"/>
      <c r="D58" s="128"/>
      <c r="E58" s="127"/>
      <c r="F58" s="394"/>
      <c r="G58" s="394"/>
      <c r="H58" s="394"/>
      <c r="I58" s="394"/>
      <c r="J58" s="394"/>
      <c r="K58" s="394"/>
      <c r="L58" s="394"/>
      <c r="M58" s="404"/>
      <c r="N58" s="129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28"/>
      <c r="D59" s="128"/>
      <c r="E59" s="128"/>
      <c r="F59" s="394"/>
      <c r="G59" s="394"/>
      <c r="H59" s="394"/>
      <c r="I59" s="394"/>
      <c r="J59" s="394"/>
      <c r="K59" s="394"/>
      <c r="L59" s="394"/>
      <c r="M59" s="404"/>
      <c r="N59" s="12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31"/>
      <c r="D60" s="131"/>
      <c r="E60" s="131"/>
      <c r="F60" s="407"/>
      <c r="G60" s="407"/>
      <c r="H60" s="407"/>
      <c r="I60" s="407"/>
      <c r="J60" s="407"/>
      <c r="K60" s="407"/>
      <c r="L60" s="407"/>
      <c r="M60" s="408"/>
      <c r="N60" s="130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207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32" t="s">
        <v>2</v>
      </c>
      <c r="D62" s="132" t="s">
        <v>38</v>
      </c>
      <c r="E62" s="132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32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135"/>
      <c r="E63" s="133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135"/>
      <c r="E64" s="133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35"/>
      <c r="E65" s="133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35"/>
      <c r="E66" s="133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35"/>
      <c r="E67" s="133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35"/>
      <c r="E68" s="133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35"/>
      <c r="E69" s="133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35"/>
      <c r="E70" s="133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208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34" t="s">
        <v>2</v>
      </c>
      <c r="D72" s="134" t="s">
        <v>38</v>
      </c>
      <c r="E72" s="134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36" t="s">
        <v>118</v>
      </c>
      <c r="D73" s="136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35" t="s">
        <v>118</v>
      </c>
      <c r="D74" s="135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9">A74+1</f>
        <v>3</v>
      </c>
      <c r="B75" s="351"/>
      <c r="C75" s="135" t="s">
        <v>137</v>
      </c>
      <c r="D75" s="135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9"/>
        <v>4</v>
      </c>
      <c r="B76" s="351"/>
      <c r="C76" s="135" t="s">
        <v>119</v>
      </c>
      <c r="D76" s="135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9"/>
        <v>5</v>
      </c>
      <c r="B77" s="351"/>
      <c r="C77" s="135"/>
      <c r="D77" s="135"/>
      <c r="E77" s="35"/>
      <c r="F77" s="351"/>
      <c r="G77" s="351"/>
      <c r="H77" s="351"/>
      <c r="I77" s="351"/>
      <c r="J77" s="351"/>
      <c r="K77" s="365"/>
      <c r="L77" s="366"/>
      <c r="M77" s="366"/>
      <c r="N77" s="366"/>
      <c r="O77" s="366"/>
      <c r="P77" s="366"/>
      <c r="Q77" s="366"/>
      <c r="R77" s="366"/>
      <c r="S77" s="367"/>
      <c r="T77" s="368"/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9"/>
        <v>6</v>
      </c>
      <c r="B78" s="351"/>
      <c r="C78" s="135"/>
      <c r="D78" s="135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9"/>
        <v>7</v>
      </c>
      <c r="B79" s="351"/>
      <c r="C79" s="135"/>
      <c r="D79" s="135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9"/>
        <v>8</v>
      </c>
      <c r="B80" s="351"/>
      <c r="C80" s="135"/>
      <c r="D80" s="135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9"/>
        <v>9</v>
      </c>
      <c r="B81" s="351"/>
      <c r="C81" s="135"/>
      <c r="D81" s="135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209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5" sqref="F55:M5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210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 t="s">
        <v>59</v>
      </c>
      <c r="C6" s="11" t="s">
        <v>126</v>
      </c>
      <c r="D6" s="55" t="s">
        <v>127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0.45776214287231148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37" t="s">
        <v>167</v>
      </c>
      <c r="D7" s="55" t="s">
        <v>211</v>
      </c>
      <c r="E7" s="57" t="s">
        <v>212</v>
      </c>
      <c r="F7" s="33" t="s">
        <v>213</v>
      </c>
      <c r="G7" s="12">
        <v>15</v>
      </c>
      <c r="H7" s="13">
        <v>25</v>
      </c>
      <c r="I7" s="34">
        <v>30000</v>
      </c>
      <c r="J7" s="5">
        <v>53670</v>
      </c>
      <c r="K7" s="15">
        <f>L7</f>
        <v>53670</v>
      </c>
      <c r="L7" s="15">
        <f>3100*15+478*15</f>
        <v>53670</v>
      </c>
      <c r="M7" s="16">
        <f t="shared" si="0"/>
        <v>53670</v>
      </c>
      <c r="N7" s="16">
        <v>0</v>
      </c>
      <c r="O7" s="62">
        <f t="shared" si="1"/>
        <v>0</v>
      </c>
      <c r="P7" s="42">
        <f t="shared" si="2"/>
        <v>20</v>
      </c>
      <c r="Q7" s="43">
        <f t="shared" si="3"/>
        <v>4</v>
      </c>
      <c r="R7" s="7"/>
      <c r="S7" s="6"/>
      <c r="T7" s="17">
        <v>4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9">
        <f t="shared" si="7"/>
        <v>0.45776214287231148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146</v>
      </c>
      <c r="D8" s="55" t="s">
        <v>148</v>
      </c>
      <c r="E8" s="56" t="s">
        <v>147</v>
      </c>
      <c r="F8" s="12" t="s">
        <v>149</v>
      </c>
      <c r="G8" s="12" t="s">
        <v>150</v>
      </c>
      <c r="H8" s="13">
        <v>25</v>
      </c>
      <c r="I8" s="34">
        <v>1000</v>
      </c>
      <c r="J8" s="14">
        <v>470</v>
      </c>
      <c r="K8" s="15">
        <f>L8+3387+469</f>
        <v>3856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0.45776214287231148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50000</v>
      </c>
      <c r="J9" s="5">
        <v>5180</v>
      </c>
      <c r="K9" s="15">
        <f>L9+5005+3240+5678+5624+4062+5654+5634+4927</f>
        <v>44997</v>
      </c>
      <c r="L9" s="15">
        <f>3275+1898</f>
        <v>5173</v>
      </c>
      <c r="M9" s="16">
        <f t="shared" si="0"/>
        <v>5173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0.99864864864864866</v>
      </c>
      <c r="AC9" s="9">
        <f t="shared" si="5"/>
        <v>1</v>
      </c>
      <c r="AD9" s="10">
        <f t="shared" si="6"/>
        <v>0.99864864864864866</v>
      </c>
      <c r="AE9" s="39">
        <f t="shared" si="7"/>
        <v>0.45776214287231148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118</v>
      </c>
      <c r="D10" s="55" t="s">
        <v>214</v>
      </c>
      <c r="E10" s="57" t="s">
        <v>215</v>
      </c>
      <c r="F10" s="12" t="s">
        <v>216</v>
      </c>
      <c r="G10" s="12">
        <v>1</v>
      </c>
      <c r="H10" s="13">
        <v>25</v>
      </c>
      <c r="I10" s="34">
        <v>2000</v>
      </c>
      <c r="J10" s="14">
        <v>2380</v>
      </c>
      <c r="K10" s="15">
        <f>L10</f>
        <v>2374</v>
      </c>
      <c r="L10" s="15">
        <f>2374</f>
        <v>2374</v>
      </c>
      <c r="M10" s="16">
        <f t="shared" si="0"/>
        <v>2374</v>
      </c>
      <c r="N10" s="16">
        <v>0</v>
      </c>
      <c r="O10" s="62">
        <f t="shared" si="1"/>
        <v>0</v>
      </c>
      <c r="P10" s="42">
        <f t="shared" si="2"/>
        <v>13</v>
      </c>
      <c r="Q10" s="43">
        <f t="shared" si="3"/>
        <v>11</v>
      </c>
      <c r="R10" s="7"/>
      <c r="S10" s="6"/>
      <c r="T10" s="17"/>
      <c r="U10" s="17"/>
      <c r="V10" s="18"/>
      <c r="W10" s="19">
        <v>11</v>
      </c>
      <c r="X10" s="17"/>
      <c r="Y10" s="20"/>
      <c r="Z10" s="20"/>
      <c r="AA10" s="21"/>
      <c r="AB10" s="8">
        <f t="shared" si="4"/>
        <v>0.99747899159663866</v>
      </c>
      <c r="AC10" s="9">
        <f t="shared" si="5"/>
        <v>0.54166666666666663</v>
      </c>
      <c r="AD10" s="10">
        <f t="shared" si="6"/>
        <v>0.54030112044817924</v>
      </c>
      <c r="AE10" s="39">
        <f t="shared" si="7"/>
        <v>0.45776214287231148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4640</v>
      </c>
      <c r="K11" s="15">
        <f>L11</f>
        <v>4637</v>
      </c>
      <c r="L11" s="15">
        <f>3060+1577</f>
        <v>4637</v>
      </c>
      <c r="M11" s="16">
        <f t="shared" si="0"/>
        <v>4637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0.99935344827586203</v>
      </c>
      <c r="AC11" s="9">
        <f t="shared" si="5"/>
        <v>0.875</v>
      </c>
      <c r="AD11" s="10">
        <f t="shared" si="6"/>
        <v>0.87443426724137929</v>
      </c>
      <c r="AE11" s="39">
        <f t="shared" si="7"/>
        <v>0.45776214287231148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151</v>
      </c>
      <c r="D12" s="55" t="s">
        <v>141</v>
      </c>
      <c r="E12" s="57" t="s">
        <v>191</v>
      </c>
      <c r="F12" s="12" t="s">
        <v>143</v>
      </c>
      <c r="G12" s="12">
        <v>1</v>
      </c>
      <c r="H12" s="13">
        <v>25</v>
      </c>
      <c r="I12" s="7">
        <v>1000</v>
      </c>
      <c r="J12" s="14">
        <v>1700</v>
      </c>
      <c r="K12" s="15">
        <f>L12+1691</f>
        <v>1691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0.45776214287231148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50000</v>
      </c>
      <c r="J13" s="14">
        <v>5610</v>
      </c>
      <c r="K13" s="15">
        <f>L13+2835+6129+6086+5052+6112+6535</f>
        <v>38353</v>
      </c>
      <c r="L13" s="15">
        <f>3552+2052</f>
        <v>5604</v>
      </c>
      <c r="M13" s="16">
        <f t="shared" si="0"/>
        <v>5604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0.99893048128342243</v>
      </c>
      <c r="AC13" s="9">
        <f t="shared" si="5"/>
        <v>1</v>
      </c>
      <c r="AD13" s="10">
        <f t="shared" si="6"/>
        <v>0.99893048128342243</v>
      </c>
      <c r="AE13" s="39">
        <f t="shared" si="7"/>
        <v>0.45776214287231148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214</v>
      </c>
      <c r="E14" s="57" t="s">
        <v>220</v>
      </c>
      <c r="F14" s="33" t="s">
        <v>221</v>
      </c>
      <c r="G14" s="36">
        <v>1</v>
      </c>
      <c r="H14" s="38">
        <v>30</v>
      </c>
      <c r="I14" s="7">
        <v>300</v>
      </c>
      <c r="J14" s="5">
        <v>387</v>
      </c>
      <c r="K14" s="15">
        <f>L14</f>
        <v>387</v>
      </c>
      <c r="L14" s="15">
        <f>387</f>
        <v>387</v>
      </c>
      <c r="M14" s="16">
        <f t="shared" si="0"/>
        <v>387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>
        <v>16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0.45776214287231148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151</v>
      </c>
      <c r="D15" s="55" t="s">
        <v>133</v>
      </c>
      <c r="E15" s="57" t="s">
        <v>173</v>
      </c>
      <c r="F15" s="12" t="s">
        <v>174</v>
      </c>
      <c r="G15" s="12">
        <v>1</v>
      </c>
      <c r="H15" s="13">
        <v>25</v>
      </c>
      <c r="I15" s="34">
        <v>1000</v>
      </c>
      <c r="J15" s="14">
        <v>1640</v>
      </c>
      <c r="K15" s="15">
        <f>L15+1634</f>
        <v>1634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0.45776214287231148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118</v>
      </c>
      <c r="D16" s="55" t="s">
        <v>157</v>
      </c>
      <c r="E16" s="56" t="s">
        <v>222</v>
      </c>
      <c r="F16" s="12">
        <v>7301</v>
      </c>
      <c r="G16" s="36">
        <v>1</v>
      </c>
      <c r="H16" s="38">
        <v>25</v>
      </c>
      <c r="I16" s="7">
        <v>7000</v>
      </c>
      <c r="J16" s="14">
        <v>3410</v>
      </c>
      <c r="K16" s="15">
        <f>L16</f>
        <v>3405</v>
      </c>
      <c r="L16" s="15">
        <f>2827+578</f>
        <v>3405</v>
      </c>
      <c r="M16" s="16">
        <f t="shared" si="0"/>
        <v>3405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0.99853372434017595</v>
      </c>
      <c r="AC16" s="9">
        <f t="shared" si="5"/>
        <v>0.79166666666666663</v>
      </c>
      <c r="AD16" s="10">
        <f t="shared" si="6"/>
        <v>0.79050586510263932</v>
      </c>
      <c r="AE16" s="39">
        <f t="shared" si="7"/>
        <v>0.45776214287231148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223</v>
      </c>
      <c r="E17" s="56" t="s">
        <v>224</v>
      </c>
      <c r="F17" s="12">
        <v>8301</v>
      </c>
      <c r="G17" s="12">
        <v>1</v>
      </c>
      <c r="H17" s="13">
        <v>25</v>
      </c>
      <c r="I17" s="34">
        <v>500</v>
      </c>
      <c r="J17" s="5">
        <v>1640</v>
      </c>
      <c r="K17" s="15">
        <f>L17</f>
        <v>1636</v>
      </c>
      <c r="L17" s="15">
        <f>1259+377</f>
        <v>1636</v>
      </c>
      <c r="M17" s="16">
        <f t="shared" si="0"/>
        <v>1636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0.9975609756097561</v>
      </c>
      <c r="AC17" s="9">
        <f t="shared" si="5"/>
        <v>0.41666666666666669</v>
      </c>
      <c r="AD17" s="10">
        <f t="shared" si="6"/>
        <v>0.41565040650406504</v>
      </c>
      <c r="AE17" s="39">
        <f t="shared" si="7"/>
        <v>0.45776214287231148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225</v>
      </c>
      <c r="E18" s="57" t="s">
        <v>226</v>
      </c>
      <c r="F18" s="33" t="s">
        <v>227</v>
      </c>
      <c r="G18" s="12">
        <v>1</v>
      </c>
      <c r="H18" s="13">
        <v>25</v>
      </c>
      <c r="I18" s="34">
        <v>2000</v>
      </c>
      <c r="J18" s="5">
        <v>2280</v>
      </c>
      <c r="K18" s="15">
        <f>L18</f>
        <v>2274</v>
      </c>
      <c r="L18" s="15">
        <f>1118+1156</f>
        <v>2274</v>
      </c>
      <c r="M18" s="16">
        <f t="shared" si="0"/>
        <v>2274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/>
      <c r="T18" s="17"/>
      <c r="U18" s="17"/>
      <c r="V18" s="18"/>
      <c r="W18" s="19">
        <v>11</v>
      </c>
      <c r="X18" s="17"/>
      <c r="Y18" s="20"/>
      <c r="Z18" s="20"/>
      <c r="AA18" s="21"/>
      <c r="AB18" s="8">
        <f t="shared" si="4"/>
        <v>0.99736842105263157</v>
      </c>
      <c r="AC18" s="9">
        <f t="shared" si="5"/>
        <v>0.54166666666666663</v>
      </c>
      <c r="AD18" s="10">
        <f t="shared" si="6"/>
        <v>0.54024122807017538</v>
      </c>
      <c r="AE18" s="39">
        <f t="shared" si="7"/>
        <v>0.45776214287231148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50000</v>
      </c>
      <c r="J19" s="5">
        <v>2650</v>
      </c>
      <c r="K19" s="15">
        <f>L19+4442+4907+4868+4725+2202+4890+4923+4904+5071</f>
        <v>43579</v>
      </c>
      <c r="L19" s="15">
        <f>2647</f>
        <v>2647</v>
      </c>
      <c r="M19" s="16">
        <f t="shared" si="0"/>
        <v>2647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>
        <v>11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0.99886792452830186</v>
      </c>
      <c r="AC19" s="9">
        <f t="shared" si="5"/>
        <v>0.54166666666666663</v>
      </c>
      <c r="AD19" s="10">
        <f t="shared" si="6"/>
        <v>0.54105345911949676</v>
      </c>
      <c r="AE19" s="39">
        <f t="shared" si="7"/>
        <v>0.45776214287231148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145</v>
      </c>
      <c r="F20" s="12" t="s">
        <v>117</v>
      </c>
      <c r="G20" s="12">
        <v>4</v>
      </c>
      <c r="H20" s="38">
        <v>20</v>
      </c>
      <c r="I20" s="7">
        <v>200000</v>
      </c>
      <c r="J20" s="14">
        <v>33300</v>
      </c>
      <c r="K20" s="15">
        <f>L20+50220+52380+58428+58872+64080+33228</f>
        <v>317208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0.45776214287231148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415800</v>
      </c>
      <c r="J21" s="22">
        <f t="shared" si="9"/>
        <v>120927</v>
      </c>
      <c r="K21" s="23">
        <f t="shared" si="9"/>
        <v>521663</v>
      </c>
      <c r="L21" s="24">
        <f t="shared" si="9"/>
        <v>81807</v>
      </c>
      <c r="M21" s="23">
        <f t="shared" si="9"/>
        <v>81807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165</v>
      </c>
      <c r="Q21" s="46">
        <f t="shared" si="10"/>
        <v>195</v>
      </c>
      <c r="R21" s="26">
        <f t="shared" si="10"/>
        <v>24</v>
      </c>
      <c r="S21" s="27">
        <f t="shared" si="10"/>
        <v>32</v>
      </c>
      <c r="T21" s="27">
        <f t="shared" si="10"/>
        <v>7</v>
      </c>
      <c r="U21" s="27">
        <f t="shared" si="10"/>
        <v>0</v>
      </c>
      <c r="V21" s="28">
        <f t="shared" si="10"/>
        <v>0</v>
      </c>
      <c r="W21" s="29">
        <f t="shared" si="10"/>
        <v>132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0.66578284102236251</v>
      </c>
      <c r="AC21" s="4">
        <f>SUM(AC6:AC20)/15</f>
        <v>0.45833333333333337</v>
      </c>
      <c r="AD21" s="4">
        <f>SUM(AD6:AD20)/15</f>
        <v>0.45776214287231148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228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243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47" t="s">
        <v>47</v>
      </c>
      <c r="D50" s="147" t="s">
        <v>48</v>
      </c>
      <c r="E50" s="147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47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229</v>
      </c>
      <c r="B51" s="410"/>
      <c r="C51" s="146" t="s">
        <v>230</v>
      </c>
      <c r="D51" s="143" t="s">
        <v>231</v>
      </c>
      <c r="E51" s="146" t="s">
        <v>212</v>
      </c>
      <c r="F51" s="394" t="s">
        <v>177</v>
      </c>
      <c r="G51" s="394"/>
      <c r="H51" s="394"/>
      <c r="I51" s="394"/>
      <c r="J51" s="394"/>
      <c r="K51" s="394"/>
      <c r="L51" s="394"/>
      <c r="M51" s="404"/>
      <c r="N51" s="142" t="s">
        <v>118</v>
      </c>
      <c r="O51" s="74" t="s">
        <v>178</v>
      </c>
      <c r="P51" s="411" t="s">
        <v>141</v>
      </c>
      <c r="Q51" s="412"/>
      <c r="R51" s="403" t="s">
        <v>244</v>
      </c>
      <c r="S51" s="403"/>
      <c r="T51" s="403"/>
      <c r="U51" s="403"/>
      <c r="V51" s="394" t="s">
        <v>245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232</v>
      </c>
      <c r="B52" s="410"/>
      <c r="C52" s="146" t="s">
        <v>144</v>
      </c>
      <c r="D52" s="143" t="s">
        <v>214</v>
      </c>
      <c r="E52" s="146" t="s">
        <v>233</v>
      </c>
      <c r="F52" s="394" t="s">
        <v>177</v>
      </c>
      <c r="G52" s="394"/>
      <c r="H52" s="394"/>
      <c r="I52" s="394"/>
      <c r="J52" s="394"/>
      <c r="K52" s="394"/>
      <c r="L52" s="394"/>
      <c r="M52" s="404"/>
      <c r="N52" s="142" t="s">
        <v>246</v>
      </c>
      <c r="O52" s="74" t="s">
        <v>144</v>
      </c>
      <c r="P52" s="411" t="s">
        <v>237</v>
      </c>
      <c r="Q52" s="412"/>
      <c r="R52" s="403" t="s">
        <v>247</v>
      </c>
      <c r="S52" s="403"/>
      <c r="T52" s="403"/>
      <c r="U52" s="403"/>
      <c r="V52" s="394" t="s">
        <v>184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232</v>
      </c>
      <c r="B53" s="410"/>
      <c r="C53" s="146" t="s">
        <v>178</v>
      </c>
      <c r="D53" s="143" t="s">
        <v>234</v>
      </c>
      <c r="E53" s="146" t="s">
        <v>235</v>
      </c>
      <c r="F53" s="394" t="s">
        <v>177</v>
      </c>
      <c r="G53" s="394"/>
      <c r="H53" s="394"/>
      <c r="I53" s="394"/>
      <c r="J53" s="394"/>
      <c r="K53" s="394"/>
      <c r="L53" s="394"/>
      <c r="M53" s="404"/>
      <c r="N53" s="142" t="s">
        <v>118</v>
      </c>
      <c r="O53" s="74" t="s">
        <v>236</v>
      </c>
      <c r="P53" s="411" t="s">
        <v>237</v>
      </c>
      <c r="Q53" s="412"/>
      <c r="R53" s="403" t="s">
        <v>220</v>
      </c>
      <c r="S53" s="403"/>
      <c r="T53" s="403"/>
      <c r="U53" s="403"/>
      <c r="V53" s="394" t="s">
        <v>248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232</v>
      </c>
      <c r="B54" s="410"/>
      <c r="C54" s="146" t="s">
        <v>236</v>
      </c>
      <c r="D54" s="143" t="s">
        <v>237</v>
      </c>
      <c r="E54" s="146" t="s">
        <v>220</v>
      </c>
      <c r="F54" s="394" t="s">
        <v>238</v>
      </c>
      <c r="G54" s="394"/>
      <c r="H54" s="394"/>
      <c r="I54" s="394"/>
      <c r="J54" s="394"/>
      <c r="K54" s="394"/>
      <c r="L54" s="394"/>
      <c r="M54" s="404"/>
      <c r="N54" s="142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118</v>
      </c>
      <c r="B55" s="410"/>
      <c r="C55" s="146" t="s">
        <v>239</v>
      </c>
      <c r="D55" s="143" t="s">
        <v>157</v>
      </c>
      <c r="E55" s="146" t="s">
        <v>222</v>
      </c>
      <c r="F55" s="394" t="s">
        <v>177</v>
      </c>
      <c r="G55" s="394"/>
      <c r="H55" s="394"/>
      <c r="I55" s="394"/>
      <c r="J55" s="394"/>
      <c r="K55" s="394"/>
      <c r="L55" s="394"/>
      <c r="M55" s="404"/>
      <c r="N55" s="142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167</v>
      </c>
      <c r="B56" s="410"/>
      <c r="C56" s="146" t="s">
        <v>240</v>
      </c>
      <c r="D56" s="143" t="s">
        <v>214</v>
      </c>
      <c r="E56" s="146" t="s">
        <v>241</v>
      </c>
      <c r="F56" s="394" t="s">
        <v>242</v>
      </c>
      <c r="G56" s="394"/>
      <c r="H56" s="394"/>
      <c r="I56" s="394"/>
      <c r="J56" s="394"/>
      <c r="K56" s="394"/>
      <c r="L56" s="394"/>
      <c r="M56" s="404"/>
      <c r="N56" s="142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46"/>
      <c r="D57" s="143"/>
      <c r="E57" s="146"/>
      <c r="F57" s="394"/>
      <c r="G57" s="394"/>
      <c r="H57" s="394"/>
      <c r="I57" s="394"/>
      <c r="J57" s="394"/>
      <c r="K57" s="394"/>
      <c r="L57" s="394"/>
      <c r="M57" s="404"/>
      <c r="N57" s="142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46"/>
      <c r="D58" s="143"/>
      <c r="E58" s="146"/>
      <c r="F58" s="394"/>
      <c r="G58" s="394"/>
      <c r="H58" s="394"/>
      <c r="I58" s="394"/>
      <c r="J58" s="394"/>
      <c r="K58" s="394"/>
      <c r="L58" s="394"/>
      <c r="M58" s="404"/>
      <c r="N58" s="142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43"/>
      <c r="D59" s="143"/>
      <c r="E59" s="143"/>
      <c r="F59" s="394"/>
      <c r="G59" s="394"/>
      <c r="H59" s="394"/>
      <c r="I59" s="394"/>
      <c r="J59" s="394"/>
      <c r="K59" s="394"/>
      <c r="L59" s="394"/>
      <c r="M59" s="404"/>
      <c r="N59" s="142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45"/>
      <c r="D60" s="145"/>
      <c r="E60" s="145"/>
      <c r="F60" s="407"/>
      <c r="G60" s="407"/>
      <c r="H60" s="407"/>
      <c r="I60" s="407"/>
      <c r="J60" s="407"/>
      <c r="K60" s="407"/>
      <c r="L60" s="407"/>
      <c r="M60" s="408"/>
      <c r="N60" s="144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249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41" t="s">
        <v>2</v>
      </c>
      <c r="D62" s="141" t="s">
        <v>38</v>
      </c>
      <c r="E62" s="141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41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250</v>
      </c>
      <c r="D63" s="137"/>
      <c r="E63" s="139" t="s">
        <v>251</v>
      </c>
      <c r="F63" s="392" t="s">
        <v>252</v>
      </c>
      <c r="G63" s="382"/>
      <c r="H63" s="382"/>
      <c r="I63" s="382"/>
      <c r="J63" s="382"/>
      <c r="K63" s="382" t="s">
        <v>253</v>
      </c>
      <c r="L63" s="382"/>
      <c r="M63" s="54" t="s">
        <v>254</v>
      </c>
      <c r="N63" s="382">
        <v>5</v>
      </c>
      <c r="O63" s="382"/>
      <c r="P63" s="393">
        <v>50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137"/>
      <c r="E64" s="139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37"/>
      <c r="E65" s="139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37"/>
      <c r="E66" s="139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37"/>
      <c r="E67" s="139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37"/>
      <c r="E68" s="139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37"/>
      <c r="E69" s="139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37"/>
      <c r="E70" s="139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255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40" t="s">
        <v>2</v>
      </c>
      <c r="D72" s="140" t="s">
        <v>38</v>
      </c>
      <c r="E72" s="140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38" t="s">
        <v>118</v>
      </c>
      <c r="D73" s="138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37" t="s">
        <v>118</v>
      </c>
      <c r="D74" s="137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137" t="s">
        <v>137</v>
      </c>
      <c r="D75" s="137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137" t="s">
        <v>119</v>
      </c>
      <c r="D76" s="137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137"/>
      <c r="D77" s="137"/>
      <c r="E77" s="35"/>
      <c r="F77" s="351"/>
      <c r="G77" s="351"/>
      <c r="H77" s="351"/>
      <c r="I77" s="351"/>
      <c r="J77" s="351"/>
      <c r="K77" s="365"/>
      <c r="L77" s="366"/>
      <c r="M77" s="366"/>
      <c r="N77" s="366"/>
      <c r="O77" s="366"/>
      <c r="P77" s="366"/>
      <c r="Q77" s="366"/>
      <c r="R77" s="366"/>
      <c r="S77" s="367"/>
      <c r="T77" s="368"/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137"/>
      <c r="D78" s="137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137"/>
      <c r="D79" s="137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137"/>
      <c r="D80" s="137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137"/>
      <c r="D81" s="137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256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257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49" t="s">
        <v>17</v>
      </c>
      <c r="L5" s="149" t="s">
        <v>18</v>
      </c>
      <c r="M5" s="149" t="s">
        <v>19</v>
      </c>
      <c r="N5" s="1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 t="s">
        <v>59</v>
      </c>
      <c r="C6" s="11" t="s">
        <v>126</v>
      </c>
      <c r="D6" s="55" t="s">
        <v>127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0.42179504231423137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37" t="s">
        <v>167</v>
      </c>
      <c r="D7" s="55" t="s">
        <v>211</v>
      </c>
      <c r="E7" s="57" t="s">
        <v>212</v>
      </c>
      <c r="F7" s="33" t="s">
        <v>213</v>
      </c>
      <c r="G7" s="12">
        <v>15</v>
      </c>
      <c r="H7" s="13">
        <v>25</v>
      </c>
      <c r="I7" s="34">
        <v>30000</v>
      </c>
      <c r="J7" s="5">
        <v>14330</v>
      </c>
      <c r="K7" s="15">
        <f>L7+53670</f>
        <v>67995</v>
      </c>
      <c r="L7" s="15">
        <f>955*15</f>
        <v>14325</v>
      </c>
      <c r="M7" s="16">
        <f t="shared" si="0"/>
        <v>14325</v>
      </c>
      <c r="N7" s="16">
        <v>0</v>
      </c>
      <c r="O7" s="62">
        <f t="shared" si="1"/>
        <v>0</v>
      </c>
      <c r="P7" s="42">
        <f t="shared" si="2"/>
        <v>6</v>
      </c>
      <c r="Q7" s="43">
        <f t="shared" si="3"/>
        <v>18</v>
      </c>
      <c r="R7" s="7"/>
      <c r="S7" s="6"/>
      <c r="T7" s="17"/>
      <c r="U7" s="17"/>
      <c r="V7" s="18"/>
      <c r="W7" s="19">
        <v>18</v>
      </c>
      <c r="X7" s="17"/>
      <c r="Y7" s="20"/>
      <c r="Z7" s="20"/>
      <c r="AA7" s="21"/>
      <c r="AB7" s="8">
        <f t="shared" si="4"/>
        <v>0.99965108164689465</v>
      </c>
      <c r="AC7" s="9">
        <f t="shared" si="5"/>
        <v>0.25</v>
      </c>
      <c r="AD7" s="10">
        <f t="shared" si="6"/>
        <v>0.24991277041172366</v>
      </c>
      <c r="AE7" s="39">
        <f t="shared" si="7"/>
        <v>0.42179504231423137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146</v>
      </c>
      <c r="D8" s="55" t="s">
        <v>148</v>
      </c>
      <c r="E8" s="56" t="s">
        <v>147</v>
      </c>
      <c r="F8" s="12" t="s">
        <v>149</v>
      </c>
      <c r="G8" s="12" t="s">
        <v>150</v>
      </c>
      <c r="H8" s="13">
        <v>25</v>
      </c>
      <c r="I8" s="34">
        <v>1000</v>
      </c>
      <c r="J8" s="14">
        <v>470</v>
      </c>
      <c r="K8" s="15">
        <f>L8+3387+469</f>
        <v>3856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0.42179504231423137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50000</v>
      </c>
      <c r="J9" s="5">
        <v>5230</v>
      </c>
      <c r="K9" s="15">
        <f>L9+5005+3240+5678+5624+4062+5654+5634+4927+5173</f>
        <v>50220</v>
      </c>
      <c r="L9" s="15">
        <f>2546+2677</f>
        <v>5223</v>
      </c>
      <c r="M9" s="16">
        <f t="shared" si="0"/>
        <v>5223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0.99866156787762905</v>
      </c>
      <c r="AC9" s="9">
        <f t="shared" si="5"/>
        <v>1</v>
      </c>
      <c r="AD9" s="10">
        <f t="shared" si="6"/>
        <v>0.99866156787762905</v>
      </c>
      <c r="AE9" s="39">
        <f t="shared" si="7"/>
        <v>0.42179504231423137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259</v>
      </c>
      <c r="G10" s="12">
        <v>2</v>
      </c>
      <c r="H10" s="13">
        <v>25</v>
      </c>
      <c r="I10" s="34">
        <v>50000</v>
      </c>
      <c r="J10" s="14">
        <v>5820</v>
      </c>
      <c r="K10" s="15">
        <f>L10</f>
        <v>5816</v>
      </c>
      <c r="L10" s="15">
        <f>2908*2</f>
        <v>5816</v>
      </c>
      <c r="M10" s="16">
        <f t="shared" si="0"/>
        <v>5816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/>
      <c r="T10" s="17">
        <v>10</v>
      </c>
      <c r="U10" s="17"/>
      <c r="V10" s="18"/>
      <c r="W10" s="19"/>
      <c r="X10" s="17"/>
      <c r="Y10" s="20"/>
      <c r="Z10" s="20"/>
      <c r="AA10" s="21"/>
      <c r="AB10" s="8">
        <f t="shared" si="4"/>
        <v>0.9993127147766323</v>
      </c>
      <c r="AC10" s="9">
        <f t="shared" si="5"/>
        <v>0.58333333333333337</v>
      </c>
      <c r="AD10" s="10">
        <f t="shared" si="6"/>
        <v>0.58293241695303555</v>
      </c>
      <c r="AE10" s="39">
        <f t="shared" si="7"/>
        <v>0.42179504231423137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5200</v>
      </c>
      <c r="K11" s="15">
        <f>L11+4637</f>
        <v>9833</v>
      </c>
      <c r="L11" s="15">
        <f>2779+2417</f>
        <v>5196</v>
      </c>
      <c r="M11" s="16">
        <f t="shared" si="0"/>
        <v>5196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0.99923076923076926</v>
      </c>
      <c r="AC11" s="9">
        <f t="shared" si="5"/>
        <v>1</v>
      </c>
      <c r="AD11" s="10">
        <f t="shared" si="6"/>
        <v>0.99923076923076926</v>
      </c>
      <c r="AE11" s="39">
        <f t="shared" si="7"/>
        <v>0.42179504231423137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151</v>
      </c>
      <c r="D12" s="55" t="s">
        <v>141</v>
      </c>
      <c r="E12" s="57" t="s">
        <v>191</v>
      </c>
      <c r="F12" s="12" t="s">
        <v>143</v>
      </c>
      <c r="G12" s="12">
        <v>1</v>
      </c>
      <c r="H12" s="13">
        <v>25</v>
      </c>
      <c r="I12" s="7">
        <v>1000</v>
      </c>
      <c r="J12" s="14">
        <v>1700</v>
      </c>
      <c r="K12" s="15">
        <f>L12+1691</f>
        <v>1691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0.42179504231423137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50000</v>
      </c>
      <c r="J13" s="14">
        <v>6130</v>
      </c>
      <c r="K13" s="15">
        <f>L13+2835+6129+6086+5052+6112+6535+5604</f>
        <v>44481</v>
      </c>
      <c r="L13" s="15">
        <f>3217+2911</f>
        <v>6128</v>
      </c>
      <c r="M13" s="16">
        <f t="shared" si="0"/>
        <v>6128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0.99967373572593798</v>
      </c>
      <c r="AC13" s="9">
        <f t="shared" si="5"/>
        <v>1</v>
      </c>
      <c r="AD13" s="10">
        <f t="shared" si="6"/>
        <v>0.99967373572593798</v>
      </c>
      <c r="AE13" s="39">
        <f t="shared" si="7"/>
        <v>0.42179504231423137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220</v>
      </c>
      <c r="F14" s="33" t="s">
        <v>221</v>
      </c>
      <c r="G14" s="36">
        <v>1</v>
      </c>
      <c r="H14" s="38">
        <v>30</v>
      </c>
      <c r="I14" s="7">
        <v>300</v>
      </c>
      <c r="J14" s="5">
        <v>387</v>
      </c>
      <c r="K14" s="15">
        <f>L14+387</f>
        <v>387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0.42179504231423137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151</v>
      </c>
      <c r="D15" s="55" t="s">
        <v>133</v>
      </c>
      <c r="E15" s="57" t="s">
        <v>173</v>
      </c>
      <c r="F15" s="12" t="s">
        <v>174</v>
      </c>
      <c r="G15" s="12">
        <v>1</v>
      </c>
      <c r="H15" s="13">
        <v>25</v>
      </c>
      <c r="I15" s="34">
        <v>1000</v>
      </c>
      <c r="J15" s="14">
        <v>1640</v>
      </c>
      <c r="K15" s="15">
        <f>L15+1634</f>
        <v>1634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0.42179504231423137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118</v>
      </c>
      <c r="D16" s="55" t="s">
        <v>157</v>
      </c>
      <c r="E16" s="56" t="s">
        <v>206</v>
      </c>
      <c r="F16" s="12">
        <v>7301</v>
      </c>
      <c r="G16" s="36">
        <v>1</v>
      </c>
      <c r="H16" s="38">
        <v>25</v>
      </c>
      <c r="I16" s="7">
        <v>7000</v>
      </c>
      <c r="J16" s="14">
        <v>4950</v>
      </c>
      <c r="K16" s="15">
        <f>L16+3405</f>
        <v>8354</v>
      </c>
      <c r="L16" s="15">
        <f>2609+2340</f>
        <v>4949</v>
      </c>
      <c r="M16" s="16">
        <f t="shared" si="0"/>
        <v>4949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0.9997979797979798</v>
      </c>
      <c r="AC16" s="9">
        <f t="shared" si="5"/>
        <v>1</v>
      </c>
      <c r="AD16" s="10">
        <f t="shared" si="6"/>
        <v>0.9997979797979798</v>
      </c>
      <c r="AE16" s="39">
        <f t="shared" si="7"/>
        <v>0.42179504231423137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121</v>
      </c>
      <c r="E17" s="56" t="s">
        <v>122</v>
      </c>
      <c r="F17" s="12">
        <v>8301</v>
      </c>
      <c r="G17" s="12">
        <v>1</v>
      </c>
      <c r="H17" s="13">
        <v>25</v>
      </c>
      <c r="I17" s="34">
        <v>500</v>
      </c>
      <c r="J17" s="5">
        <v>1640</v>
      </c>
      <c r="K17" s="15">
        <f>L17+1636</f>
        <v>1636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0.42179504231423137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260</v>
      </c>
      <c r="E18" s="57" t="s">
        <v>261</v>
      </c>
      <c r="F18" s="33" t="s">
        <v>262</v>
      </c>
      <c r="G18" s="12">
        <v>1</v>
      </c>
      <c r="H18" s="13">
        <v>25</v>
      </c>
      <c r="I18" s="34">
        <v>2000</v>
      </c>
      <c r="J18" s="5">
        <v>2250</v>
      </c>
      <c r="K18" s="15">
        <f>L18</f>
        <v>2241</v>
      </c>
      <c r="L18" s="15">
        <v>2241</v>
      </c>
      <c r="M18" s="16">
        <f t="shared" si="0"/>
        <v>2241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/>
      <c r="T18" s="17"/>
      <c r="U18" s="17"/>
      <c r="V18" s="18"/>
      <c r="W18" s="19">
        <v>11</v>
      </c>
      <c r="X18" s="17"/>
      <c r="Y18" s="20"/>
      <c r="Z18" s="20"/>
      <c r="AA18" s="21"/>
      <c r="AB18" s="8">
        <f t="shared" si="4"/>
        <v>0.996</v>
      </c>
      <c r="AC18" s="9">
        <f t="shared" si="5"/>
        <v>0.54166666666666663</v>
      </c>
      <c r="AD18" s="10">
        <f t="shared" si="6"/>
        <v>0.53949999999999998</v>
      </c>
      <c r="AE18" s="39">
        <f t="shared" si="7"/>
        <v>0.42179504231423137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50000</v>
      </c>
      <c r="J19" s="5">
        <v>4290</v>
      </c>
      <c r="K19" s="15">
        <f>L19+4442+4907+4868+4725+2202+4890+4923+4904+5071+2647</f>
        <v>47864</v>
      </c>
      <c r="L19" s="15">
        <f>1951+2334</f>
        <v>4285</v>
      </c>
      <c r="M19" s="16">
        <f t="shared" si="0"/>
        <v>4285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>
        <v>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0.99883449883449882</v>
      </c>
      <c r="AC19" s="9">
        <f t="shared" si="5"/>
        <v>0.95833333333333337</v>
      </c>
      <c r="AD19" s="10">
        <f t="shared" si="6"/>
        <v>0.95721639471639475</v>
      </c>
      <c r="AE19" s="39">
        <f t="shared" si="7"/>
        <v>0.42179504231423137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145</v>
      </c>
      <c r="F20" s="12" t="s">
        <v>117</v>
      </c>
      <c r="G20" s="12">
        <v>4</v>
      </c>
      <c r="H20" s="38">
        <v>20</v>
      </c>
      <c r="I20" s="7">
        <v>200000</v>
      </c>
      <c r="J20" s="14">
        <v>33300</v>
      </c>
      <c r="K20" s="15">
        <f>L20+50220+52380+58428+58872+64080+33228</f>
        <v>317208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0.42179504231423137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463800</v>
      </c>
      <c r="J21" s="22">
        <f t="shared" si="9"/>
        <v>89307</v>
      </c>
      <c r="K21" s="23">
        <f t="shared" si="9"/>
        <v>565178</v>
      </c>
      <c r="L21" s="24">
        <f t="shared" si="9"/>
        <v>48163</v>
      </c>
      <c r="M21" s="23">
        <f t="shared" si="9"/>
        <v>48163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152</v>
      </c>
      <c r="Q21" s="46">
        <f t="shared" si="10"/>
        <v>208</v>
      </c>
      <c r="R21" s="26">
        <f t="shared" si="10"/>
        <v>24</v>
      </c>
      <c r="S21" s="27">
        <f t="shared" si="10"/>
        <v>25</v>
      </c>
      <c r="T21" s="27">
        <f t="shared" si="10"/>
        <v>10</v>
      </c>
      <c r="U21" s="27">
        <f t="shared" si="10"/>
        <v>0</v>
      </c>
      <c r="V21" s="28">
        <f t="shared" si="10"/>
        <v>0</v>
      </c>
      <c r="W21" s="29">
        <f t="shared" si="10"/>
        <v>149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0.53274415652602269</v>
      </c>
      <c r="AC21" s="4">
        <f>SUM(AC6:AC20)/15</f>
        <v>0.42222222222222228</v>
      </c>
      <c r="AD21" s="4">
        <f>SUM(AD6:AD20)/15</f>
        <v>0.42179504231423137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263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269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50" t="s">
        <v>47</v>
      </c>
      <c r="D50" s="150" t="s">
        <v>48</v>
      </c>
      <c r="E50" s="150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50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232</v>
      </c>
      <c r="B51" s="410"/>
      <c r="C51" s="151" t="s">
        <v>264</v>
      </c>
      <c r="D51" s="152" t="s">
        <v>141</v>
      </c>
      <c r="E51" s="151" t="s">
        <v>261</v>
      </c>
      <c r="F51" s="394" t="s">
        <v>177</v>
      </c>
      <c r="G51" s="394"/>
      <c r="H51" s="394"/>
      <c r="I51" s="394"/>
      <c r="J51" s="394"/>
      <c r="K51" s="394"/>
      <c r="L51" s="394"/>
      <c r="M51" s="404"/>
      <c r="N51" s="156" t="s">
        <v>270</v>
      </c>
      <c r="O51" s="74" t="s">
        <v>196</v>
      </c>
      <c r="P51" s="411" t="s">
        <v>271</v>
      </c>
      <c r="Q51" s="412"/>
      <c r="R51" s="403" t="s">
        <v>272</v>
      </c>
      <c r="S51" s="403"/>
      <c r="T51" s="403"/>
      <c r="U51" s="403"/>
      <c r="V51" s="394" t="s">
        <v>273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167</v>
      </c>
      <c r="B52" s="410"/>
      <c r="C52" s="151" t="s">
        <v>240</v>
      </c>
      <c r="D52" s="152" t="s">
        <v>58</v>
      </c>
      <c r="E52" s="151" t="s">
        <v>241</v>
      </c>
      <c r="F52" s="394" t="s">
        <v>265</v>
      </c>
      <c r="G52" s="394"/>
      <c r="H52" s="394"/>
      <c r="I52" s="394"/>
      <c r="J52" s="394"/>
      <c r="K52" s="394"/>
      <c r="L52" s="394"/>
      <c r="M52" s="404"/>
      <c r="N52" s="156" t="s">
        <v>119</v>
      </c>
      <c r="O52" s="74" t="s">
        <v>274</v>
      </c>
      <c r="P52" s="411" t="s">
        <v>275</v>
      </c>
      <c r="Q52" s="412"/>
      <c r="R52" s="403" t="s">
        <v>276</v>
      </c>
      <c r="S52" s="403"/>
      <c r="T52" s="403"/>
      <c r="U52" s="403"/>
      <c r="V52" s="394" t="s">
        <v>273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266</v>
      </c>
      <c r="B53" s="410"/>
      <c r="C53" s="151" t="s">
        <v>267</v>
      </c>
      <c r="D53" s="152" t="s">
        <v>58</v>
      </c>
      <c r="E53" s="151" t="s">
        <v>258</v>
      </c>
      <c r="F53" s="394" t="s">
        <v>268</v>
      </c>
      <c r="G53" s="394"/>
      <c r="H53" s="394"/>
      <c r="I53" s="394"/>
      <c r="J53" s="394"/>
      <c r="K53" s="394"/>
      <c r="L53" s="394"/>
      <c r="M53" s="404"/>
      <c r="N53" s="156" t="s">
        <v>118</v>
      </c>
      <c r="O53" s="74" t="s">
        <v>236</v>
      </c>
      <c r="P53" s="411" t="s">
        <v>237</v>
      </c>
      <c r="Q53" s="412"/>
      <c r="R53" s="403" t="s">
        <v>220</v>
      </c>
      <c r="S53" s="403"/>
      <c r="T53" s="403"/>
      <c r="U53" s="403"/>
      <c r="V53" s="394" t="s">
        <v>248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/>
      <c r="B54" s="410"/>
      <c r="C54" s="151"/>
      <c r="D54" s="152"/>
      <c r="E54" s="151"/>
      <c r="F54" s="394"/>
      <c r="G54" s="394"/>
      <c r="H54" s="394"/>
      <c r="I54" s="394"/>
      <c r="J54" s="394"/>
      <c r="K54" s="394"/>
      <c r="L54" s="394"/>
      <c r="M54" s="404"/>
      <c r="N54" s="156" t="s">
        <v>119</v>
      </c>
      <c r="O54" s="74" t="s">
        <v>277</v>
      </c>
      <c r="P54" s="411" t="s">
        <v>58</v>
      </c>
      <c r="Q54" s="412"/>
      <c r="R54" s="403" t="s">
        <v>278</v>
      </c>
      <c r="S54" s="403"/>
      <c r="T54" s="403"/>
      <c r="U54" s="403"/>
      <c r="V54" s="394" t="s">
        <v>279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151"/>
      <c r="D55" s="152"/>
      <c r="E55" s="151"/>
      <c r="F55" s="394"/>
      <c r="G55" s="394"/>
      <c r="H55" s="394"/>
      <c r="I55" s="394"/>
      <c r="J55" s="394"/>
      <c r="K55" s="394"/>
      <c r="L55" s="394"/>
      <c r="M55" s="404"/>
      <c r="N55" s="156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151"/>
      <c r="D56" s="152"/>
      <c r="E56" s="151"/>
      <c r="F56" s="394"/>
      <c r="G56" s="394"/>
      <c r="H56" s="394"/>
      <c r="I56" s="394"/>
      <c r="J56" s="394"/>
      <c r="K56" s="394"/>
      <c r="L56" s="394"/>
      <c r="M56" s="404"/>
      <c r="N56" s="156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51"/>
      <c r="D57" s="152"/>
      <c r="E57" s="151"/>
      <c r="F57" s="394"/>
      <c r="G57" s="394"/>
      <c r="H57" s="394"/>
      <c r="I57" s="394"/>
      <c r="J57" s="394"/>
      <c r="K57" s="394"/>
      <c r="L57" s="394"/>
      <c r="M57" s="404"/>
      <c r="N57" s="156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51"/>
      <c r="D58" s="152"/>
      <c r="E58" s="151"/>
      <c r="F58" s="394"/>
      <c r="G58" s="394"/>
      <c r="H58" s="394"/>
      <c r="I58" s="394"/>
      <c r="J58" s="394"/>
      <c r="K58" s="394"/>
      <c r="L58" s="394"/>
      <c r="M58" s="404"/>
      <c r="N58" s="156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52"/>
      <c r="D59" s="152"/>
      <c r="E59" s="152"/>
      <c r="F59" s="394"/>
      <c r="G59" s="394"/>
      <c r="H59" s="394"/>
      <c r="I59" s="394"/>
      <c r="J59" s="394"/>
      <c r="K59" s="394"/>
      <c r="L59" s="394"/>
      <c r="M59" s="404"/>
      <c r="N59" s="156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54"/>
      <c r="D60" s="154"/>
      <c r="E60" s="154"/>
      <c r="F60" s="407"/>
      <c r="G60" s="407"/>
      <c r="H60" s="407"/>
      <c r="I60" s="407"/>
      <c r="J60" s="407"/>
      <c r="K60" s="407"/>
      <c r="L60" s="407"/>
      <c r="M60" s="408"/>
      <c r="N60" s="153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280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55" t="s">
        <v>2</v>
      </c>
      <c r="D62" s="155" t="s">
        <v>38</v>
      </c>
      <c r="E62" s="155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55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118</v>
      </c>
      <c r="D63" s="159"/>
      <c r="E63" s="157" t="s">
        <v>281</v>
      </c>
      <c r="F63" s="392" t="s">
        <v>282</v>
      </c>
      <c r="G63" s="382"/>
      <c r="H63" s="382"/>
      <c r="I63" s="382"/>
      <c r="J63" s="382"/>
      <c r="K63" s="382" t="s">
        <v>216</v>
      </c>
      <c r="L63" s="382"/>
      <c r="M63" s="54" t="s">
        <v>254</v>
      </c>
      <c r="N63" s="382">
        <v>7</v>
      </c>
      <c r="O63" s="382"/>
      <c r="P63" s="393">
        <v>50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118</v>
      </c>
      <c r="D64" s="159"/>
      <c r="E64" s="157" t="s">
        <v>58</v>
      </c>
      <c r="F64" s="392" t="s">
        <v>283</v>
      </c>
      <c r="G64" s="382"/>
      <c r="H64" s="382"/>
      <c r="I64" s="382"/>
      <c r="J64" s="382"/>
      <c r="K64" s="382">
        <v>7301</v>
      </c>
      <c r="L64" s="382"/>
      <c r="M64" s="54" t="s">
        <v>284</v>
      </c>
      <c r="N64" s="382">
        <v>9</v>
      </c>
      <c r="O64" s="382"/>
      <c r="P64" s="393">
        <v>20</v>
      </c>
      <c r="Q64" s="393"/>
      <c r="R64" s="394" t="s">
        <v>285</v>
      </c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59"/>
      <c r="E65" s="157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59"/>
      <c r="E66" s="157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59"/>
      <c r="E67" s="157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59"/>
      <c r="E68" s="157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59"/>
      <c r="E69" s="157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59"/>
      <c r="E70" s="157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286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58" t="s">
        <v>2</v>
      </c>
      <c r="D72" s="158" t="s">
        <v>38</v>
      </c>
      <c r="E72" s="158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60" t="s">
        <v>118</v>
      </c>
      <c r="D73" s="160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59" t="s">
        <v>118</v>
      </c>
      <c r="D74" s="159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159" t="s">
        <v>137</v>
      </c>
      <c r="D75" s="159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159" t="s">
        <v>119</v>
      </c>
      <c r="D76" s="159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159"/>
      <c r="D77" s="159"/>
      <c r="E77" s="35"/>
      <c r="F77" s="351"/>
      <c r="G77" s="351"/>
      <c r="H77" s="351"/>
      <c r="I77" s="351"/>
      <c r="J77" s="351"/>
      <c r="K77" s="365"/>
      <c r="L77" s="366"/>
      <c r="M77" s="366"/>
      <c r="N77" s="366"/>
      <c r="O77" s="366"/>
      <c r="P77" s="366"/>
      <c r="Q77" s="366"/>
      <c r="R77" s="366"/>
      <c r="S77" s="367"/>
      <c r="T77" s="368"/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159"/>
      <c r="D78" s="159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159"/>
      <c r="D79" s="159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159"/>
      <c r="D80" s="159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159"/>
      <c r="D81" s="159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287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67" sqref="K67:L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288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 t="s">
        <v>59</v>
      </c>
      <c r="C6" s="11" t="s">
        <v>126</v>
      </c>
      <c r="D6" s="55" t="s">
        <v>127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0.39100891481581856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37" t="s">
        <v>119</v>
      </c>
      <c r="D7" s="55" t="s">
        <v>211</v>
      </c>
      <c r="E7" s="57" t="s">
        <v>212</v>
      </c>
      <c r="F7" s="33" t="s">
        <v>213</v>
      </c>
      <c r="G7" s="12">
        <v>15</v>
      </c>
      <c r="H7" s="13">
        <v>25</v>
      </c>
      <c r="I7" s="34">
        <v>30000</v>
      </c>
      <c r="J7" s="5">
        <v>14330</v>
      </c>
      <c r="K7" s="15">
        <f>L7+53670+14325</f>
        <v>67995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0.39100891481581856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146</v>
      </c>
      <c r="D8" s="55" t="s">
        <v>148</v>
      </c>
      <c r="E8" s="56" t="s">
        <v>147</v>
      </c>
      <c r="F8" s="12" t="s">
        <v>149</v>
      </c>
      <c r="G8" s="12" t="s">
        <v>150</v>
      </c>
      <c r="H8" s="13">
        <v>25</v>
      </c>
      <c r="I8" s="34">
        <v>1000</v>
      </c>
      <c r="J8" s="14">
        <v>470</v>
      </c>
      <c r="K8" s="15">
        <f>L8+3387+469</f>
        <v>3856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0.39100891481581856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55000</v>
      </c>
      <c r="J9" s="5">
        <v>3600</v>
      </c>
      <c r="K9" s="15">
        <f>L9+5005+3240+5678+5624+4062+5654+5634+4927+5173+5223</f>
        <v>53799</v>
      </c>
      <c r="L9" s="15">
        <f>617+2962</f>
        <v>3579</v>
      </c>
      <c r="M9" s="16">
        <f t="shared" si="0"/>
        <v>3579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0.99416666666666664</v>
      </c>
      <c r="AC9" s="9">
        <f t="shared" si="5"/>
        <v>0.75</v>
      </c>
      <c r="AD9" s="10">
        <f t="shared" si="6"/>
        <v>0.74562499999999998</v>
      </c>
      <c r="AE9" s="39">
        <f t="shared" si="7"/>
        <v>0.39100891481581856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6290</v>
      </c>
      <c r="K10" s="15">
        <f>L10+5816</f>
        <v>12104</v>
      </c>
      <c r="L10" s="15">
        <f>2439*2+705*2</f>
        <v>6288</v>
      </c>
      <c r="M10" s="16">
        <f t="shared" si="0"/>
        <v>6288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>
        <v>10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0.9996820349761526</v>
      </c>
      <c r="AC10" s="9">
        <f t="shared" si="5"/>
        <v>0.58333333333333337</v>
      </c>
      <c r="AD10" s="10">
        <f t="shared" si="6"/>
        <v>0.58314785373608902</v>
      </c>
      <c r="AE10" s="39">
        <f t="shared" si="7"/>
        <v>0.39100891481581856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5000</v>
      </c>
      <c r="K11" s="15">
        <f>L11+4637+5196</f>
        <v>14825</v>
      </c>
      <c r="L11" s="15">
        <f>2546+2446</f>
        <v>4992</v>
      </c>
      <c r="M11" s="16">
        <f t="shared" si="0"/>
        <v>4992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0.99839999999999995</v>
      </c>
      <c r="AC11" s="9">
        <f t="shared" si="5"/>
        <v>1</v>
      </c>
      <c r="AD11" s="10">
        <f t="shared" si="6"/>
        <v>0.99839999999999995</v>
      </c>
      <c r="AE11" s="39">
        <f t="shared" si="7"/>
        <v>0.39100891481581856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151</v>
      </c>
      <c r="D12" s="55" t="s">
        <v>141</v>
      </c>
      <c r="E12" s="57" t="s">
        <v>191</v>
      </c>
      <c r="F12" s="12" t="s">
        <v>143</v>
      </c>
      <c r="G12" s="12">
        <v>1</v>
      </c>
      <c r="H12" s="13">
        <v>25</v>
      </c>
      <c r="I12" s="7">
        <v>1000</v>
      </c>
      <c r="J12" s="14">
        <v>1700</v>
      </c>
      <c r="K12" s="15">
        <f>L12+1691</f>
        <v>1691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0.39100891481581856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50000</v>
      </c>
      <c r="J13" s="14">
        <v>4720</v>
      </c>
      <c r="K13" s="15">
        <f>L13+2835+6129+6086+5052+6112+6535+5604+6128</f>
        <v>49194</v>
      </c>
      <c r="L13" s="15">
        <f>1517+3196</f>
        <v>4713</v>
      </c>
      <c r="M13" s="16">
        <f t="shared" si="0"/>
        <v>4713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0.99851694915254241</v>
      </c>
      <c r="AC13" s="9">
        <f t="shared" si="5"/>
        <v>0.875</v>
      </c>
      <c r="AD13" s="10">
        <f t="shared" si="6"/>
        <v>0.87370233050847457</v>
      </c>
      <c r="AE13" s="39">
        <f t="shared" si="7"/>
        <v>0.39100891481581856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220</v>
      </c>
      <c r="F14" s="33" t="s">
        <v>221</v>
      </c>
      <c r="G14" s="36">
        <v>1</v>
      </c>
      <c r="H14" s="38">
        <v>30</v>
      </c>
      <c r="I14" s="7">
        <v>300</v>
      </c>
      <c r="J14" s="5">
        <v>241</v>
      </c>
      <c r="K14" s="15">
        <f>L14+387</f>
        <v>628</v>
      </c>
      <c r="L14" s="15">
        <v>241</v>
      </c>
      <c r="M14" s="16">
        <f t="shared" si="0"/>
        <v>241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0.39100891481581856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151</v>
      </c>
      <c r="D15" s="55" t="s">
        <v>133</v>
      </c>
      <c r="E15" s="57" t="s">
        <v>173</v>
      </c>
      <c r="F15" s="12" t="s">
        <v>174</v>
      </c>
      <c r="G15" s="12">
        <v>1</v>
      </c>
      <c r="H15" s="13">
        <v>25</v>
      </c>
      <c r="I15" s="34">
        <v>1000</v>
      </c>
      <c r="J15" s="14">
        <v>1640</v>
      </c>
      <c r="K15" s="15">
        <f>L15+1634</f>
        <v>1634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0.39100891481581856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118</v>
      </c>
      <c r="D16" s="55" t="s">
        <v>157</v>
      </c>
      <c r="E16" s="56" t="s">
        <v>206</v>
      </c>
      <c r="F16" s="12">
        <v>7301</v>
      </c>
      <c r="G16" s="36">
        <v>1</v>
      </c>
      <c r="H16" s="38">
        <v>25</v>
      </c>
      <c r="I16" s="7">
        <v>7000</v>
      </c>
      <c r="J16" s="14">
        <v>4740</v>
      </c>
      <c r="K16" s="15">
        <f>L16+3405+4949</f>
        <v>13089</v>
      </c>
      <c r="L16" s="15">
        <f>2384+2351</f>
        <v>4735</v>
      </c>
      <c r="M16" s="16">
        <f t="shared" si="0"/>
        <v>4735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0.99894514767932485</v>
      </c>
      <c r="AC16" s="9">
        <f t="shared" si="5"/>
        <v>1</v>
      </c>
      <c r="AD16" s="10">
        <f t="shared" si="6"/>
        <v>0.99894514767932485</v>
      </c>
      <c r="AE16" s="39">
        <f t="shared" si="7"/>
        <v>0.39100891481581856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289</v>
      </c>
      <c r="E17" s="56" t="s">
        <v>290</v>
      </c>
      <c r="F17" s="12" t="s">
        <v>291</v>
      </c>
      <c r="G17" s="12">
        <v>1</v>
      </c>
      <c r="H17" s="13">
        <v>25</v>
      </c>
      <c r="I17" s="34">
        <v>2000</v>
      </c>
      <c r="J17" s="5">
        <v>2520</v>
      </c>
      <c r="K17" s="15">
        <f>L17</f>
        <v>2516</v>
      </c>
      <c r="L17" s="15">
        <f>1002+1514</f>
        <v>2516</v>
      </c>
      <c r="M17" s="16">
        <f t="shared" si="0"/>
        <v>2516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/>
      <c r="T17" s="17"/>
      <c r="U17" s="17"/>
      <c r="V17" s="18"/>
      <c r="W17" s="19">
        <v>10</v>
      </c>
      <c r="X17" s="17"/>
      <c r="Y17" s="20"/>
      <c r="Z17" s="20"/>
      <c r="AA17" s="21"/>
      <c r="AB17" s="8">
        <f t="shared" si="4"/>
        <v>0.99841269841269842</v>
      </c>
      <c r="AC17" s="9">
        <f t="shared" si="5"/>
        <v>0.58333333333333337</v>
      </c>
      <c r="AD17" s="10">
        <f t="shared" si="6"/>
        <v>0.58240740740740748</v>
      </c>
      <c r="AE17" s="39">
        <f t="shared" si="7"/>
        <v>0.39100891481581856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260</v>
      </c>
      <c r="E18" s="57" t="s">
        <v>261</v>
      </c>
      <c r="F18" s="33" t="s">
        <v>262</v>
      </c>
      <c r="G18" s="12">
        <v>1</v>
      </c>
      <c r="H18" s="13">
        <v>25</v>
      </c>
      <c r="I18" s="34">
        <v>2000</v>
      </c>
      <c r="J18" s="5">
        <v>2250</v>
      </c>
      <c r="K18" s="15">
        <f>L18+2241</f>
        <v>2241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0.39100891481581856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50000</v>
      </c>
      <c r="J19" s="5">
        <v>3900</v>
      </c>
      <c r="K19" s="15">
        <f>L19+4442+4907+4868+4725+2202+4890+4923+4904+5071+2647+4285</f>
        <v>51762</v>
      </c>
      <c r="L19" s="15">
        <f>1475+2423</f>
        <v>3898</v>
      </c>
      <c r="M19" s="16">
        <f t="shared" si="0"/>
        <v>3898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0.99948717948717947</v>
      </c>
      <c r="AC19" s="9">
        <f t="shared" si="5"/>
        <v>0.83333333333333337</v>
      </c>
      <c r="AD19" s="10">
        <f t="shared" si="6"/>
        <v>0.83290598290598294</v>
      </c>
      <c r="AE19" s="39">
        <f t="shared" si="7"/>
        <v>0.39100891481581856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145</v>
      </c>
      <c r="F20" s="12" t="s">
        <v>117</v>
      </c>
      <c r="G20" s="12">
        <v>4</v>
      </c>
      <c r="H20" s="38">
        <v>20</v>
      </c>
      <c r="I20" s="7">
        <v>200000</v>
      </c>
      <c r="J20" s="14">
        <v>33300</v>
      </c>
      <c r="K20" s="15">
        <f>L20+50220+52380+58428+58872+64080+33228</f>
        <v>317208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0.39100891481581856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470300</v>
      </c>
      <c r="J21" s="22">
        <f t="shared" si="9"/>
        <v>86671</v>
      </c>
      <c r="K21" s="23">
        <f t="shared" si="9"/>
        <v>594504</v>
      </c>
      <c r="L21" s="24">
        <f t="shared" si="9"/>
        <v>30962</v>
      </c>
      <c r="M21" s="23">
        <f t="shared" si="9"/>
        <v>30962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141</v>
      </c>
      <c r="Q21" s="46">
        <f t="shared" si="10"/>
        <v>219</v>
      </c>
      <c r="R21" s="26">
        <f t="shared" si="10"/>
        <v>24</v>
      </c>
      <c r="S21" s="27">
        <f t="shared" si="10"/>
        <v>23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0.53250737842497098</v>
      </c>
      <c r="AC21" s="4">
        <f>SUM(AC6:AC20)/15</f>
        <v>0.39166666666666666</v>
      </c>
      <c r="AD21" s="4">
        <f>SUM(AD6:AD20)/15</f>
        <v>0.39100891481581856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292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307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71" t="s">
        <v>47</v>
      </c>
      <c r="D50" s="171" t="s">
        <v>48</v>
      </c>
      <c r="E50" s="171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71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293</v>
      </c>
      <c r="B51" s="410"/>
      <c r="C51" s="170" t="s">
        <v>196</v>
      </c>
      <c r="D51" s="167" t="s">
        <v>294</v>
      </c>
      <c r="E51" s="170" t="s">
        <v>295</v>
      </c>
      <c r="F51" s="394" t="s">
        <v>296</v>
      </c>
      <c r="G51" s="394"/>
      <c r="H51" s="394"/>
      <c r="I51" s="394"/>
      <c r="J51" s="394"/>
      <c r="K51" s="394"/>
      <c r="L51" s="394"/>
      <c r="M51" s="404"/>
      <c r="N51" s="166" t="s">
        <v>119</v>
      </c>
      <c r="O51" s="74" t="s">
        <v>308</v>
      </c>
      <c r="P51" s="411" t="s">
        <v>309</v>
      </c>
      <c r="Q51" s="412"/>
      <c r="R51" s="403" t="s">
        <v>310</v>
      </c>
      <c r="S51" s="403"/>
      <c r="T51" s="403"/>
      <c r="U51" s="403"/>
      <c r="V51" s="394" t="s">
        <v>311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119</v>
      </c>
      <c r="B52" s="410"/>
      <c r="C52" s="170" t="s">
        <v>297</v>
      </c>
      <c r="D52" s="167" t="s">
        <v>298</v>
      </c>
      <c r="E52" s="170" t="s">
        <v>299</v>
      </c>
      <c r="F52" s="394" t="s">
        <v>296</v>
      </c>
      <c r="G52" s="394"/>
      <c r="H52" s="394"/>
      <c r="I52" s="394"/>
      <c r="J52" s="394"/>
      <c r="K52" s="394"/>
      <c r="L52" s="394"/>
      <c r="M52" s="404"/>
      <c r="N52" s="166" t="s">
        <v>300</v>
      </c>
      <c r="O52" s="74" t="s">
        <v>144</v>
      </c>
      <c r="P52" s="411" t="s">
        <v>302</v>
      </c>
      <c r="Q52" s="412"/>
      <c r="R52" s="403" t="s">
        <v>312</v>
      </c>
      <c r="S52" s="403"/>
      <c r="T52" s="403"/>
      <c r="U52" s="403"/>
      <c r="V52" s="394" t="s">
        <v>313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300</v>
      </c>
      <c r="B53" s="410"/>
      <c r="C53" s="170" t="s">
        <v>301</v>
      </c>
      <c r="D53" s="167" t="s">
        <v>302</v>
      </c>
      <c r="E53" s="170" t="s">
        <v>303</v>
      </c>
      <c r="F53" s="394" t="s">
        <v>304</v>
      </c>
      <c r="G53" s="394"/>
      <c r="H53" s="394"/>
      <c r="I53" s="394"/>
      <c r="J53" s="394"/>
      <c r="K53" s="394"/>
      <c r="L53" s="394"/>
      <c r="M53" s="404"/>
      <c r="N53" s="166" t="s">
        <v>315</v>
      </c>
      <c r="O53" s="74" t="s">
        <v>316</v>
      </c>
      <c r="P53" s="411" t="s">
        <v>58</v>
      </c>
      <c r="Q53" s="412"/>
      <c r="R53" s="403" t="s">
        <v>314</v>
      </c>
      <c r="S53" s="403"/>
      <c r="T53" s="403"/>
      <c r="U53" s="403"/>
      <c r="V53" s="394" t="s">
        <v>317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119</v>
      </c>
      <c r="B54" s="410"/>
      <c r="C54" s="170" t="s">
        <v>305</v>
      </c>
      <c r="D54" s="167" t="s">
        <v>58</v>
      </c>
      <c r="E54" s="170" t="s">
        <v>306</v>
      </c>
      <c r="F54" s="394" t="s">
        <v>296</v>
      </c>
      <c r="G54" s="394"/>
      <c r="H54" s="394"/>
      <c r="I54" s="394"/>
      <c r="J54" s="394"/>
      <c r="K54" s="394"/>
      <c r="L54" s="394"/>
      <c r="M54" s="404"/>
      <c r="N54" s="166" t="s">
        <v>319</v>
      </c>
      <c r="O54" s="74" t="s">
        <v>320</v>
      </c>
      <c r="P54" s="411"/>
      <c r="Q54" s="412"/>
      <c r="R54" s="403" t="s">
        <v>318</v>
      </c>
      <c r="S54" s="403"/>
      <c r="T54" s="403"/>
      <c r="U54" s="403"/>
      <c r="V54" s="394" t="s">
        <v>321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315</v>
      </c>
      <c r="B55" s="410"/>
      <c r="C55" s="170" t="s">
        <v>325</v>
      </c>
      <c r="D55" s="167" t="s">
        <v>326</v>
      </c>
      <c r="E55" s="170" t="s">
        <v>290</v>
      </c>
      <c r="F55" s="394" t="s">
        <v>327</v>
      </c>
      <c r="G55" s="394"/>
      <c r="H55" s="394"/>
      <c r="I55" s="394"/>
      <c r="J55" s="394"/>
      <c r="K55" s="394"/>
      <c r="L55" s="394"/>
      <c r="M55" s="404"/>
      <c r="N55" s="166" t="s">
        <v>315</v>
      </c>
      <c r="O55" s="74" t="s">
        <v>323</v>
      </c>
      <c r="P55" s="411" t="s">
        <v>324</v>
      </c>
      <c r="Q55" s="412"/>
      <c r="R55" s="403" t="s">
        <v>322</v>
      </c>
      <c r="S55" s="403"/>
      <c r="T55" s="403"/>
      <c r="U55" s="403"/>
      <c r="V55" s="394" t="s">
        <v>321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170"/>
      <c r="D56" s="167"/>
      <c r="E56" s="170"/>
      <c r="F56" s="394"/>
      <c r="G56" s="394"/>
      <c r="H56" s="394"/>
      <c r="I56" s="394"/>
      <c r="J56" s="394"/>
      <c r="K56" s="394"/>
      <c r="L56" s="394"/>
      <c r="M56" s="404"/>
      <c r="N56" s="166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70"/>
      <c r="D57" s="167"/>
      <c r="E57" s="170"/>
      <c r="F57" s="394"/>
      <c r="G57" s="394"/>
      <c r="H57" s="394"/>
      <c r="I57" s="394"/>
      <c r="J57" s="394"/>
      <c r="K57" s="394"/>
      <c r="L57" s="394"/>
      <c r="M57" s="404"/>
      <c r="N57" s="166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70"/>
      <c r="D58" s="167"/>
      <c r="E58" s="170"/>
      <c r="F58" s="394"/>
      <c r="G58" s="394"/>
      <c r="H58" s="394"/>
      <c r="I58" s="394"/>
      <c r="J58" s="394"/>
      <c r="K58" s="394"/>
      <c r="L58" s="394"/>
      <c r="M58" s="404"/>
      <c r="N58" s="166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67"/>
      <c r="D59" s="167"/>
      <c r="E59" s="167"/>
      <c r="F59" s="394"/>
      <c r="G59" s="394"/>
      <c r="H59" s="394"/>
      <c r="I59" s="394"/>
      <c r="J59" s="394"/>
      <c r="K59" s="394"/>
      <c r="L59" s="394"/>
      <c r="M59" s="404"/>
      <c r="N59" s="166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69"/>
      <c r="D60" s="169"/>
      <c r="E60" s="169"/>
      <c r="F60" s="407"/>
      <c r="G60" s="407"/>
      <c r="H60" s="407"/>
      <c r="I60" s="407"/>
      <c r="J60" s="407"/>
      <c r="K60" s="407"/>
      <c r="L60" s="407"/>
      <c r="M60" s="408"/>
      <c r="N60" s="168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328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65" t="s">
        <v>2</v>
      </c>
      <c r="D62" s="165" t="s">
        <v>38</v>
      </c>
      <c r="E62" s="165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65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119</v>
      </c>
      <c r="D63" s="161"/>
      <c r="E63" s="163" t="s">
        <v>302</v>
      </c>
      <c r="F63" s="392" t="s">
        <v>330</v>
      </c>
      <c r="G63" s="382"/>
      <c r="H63" s="382"/>
      <c r="I63" s="382"/>
      <c r="J63" s="382"/>
      <c r="K63" s="382" t="s">
        <v>329</v>
      </c>
      <c r="L63" s="382"/>
      <c r="M63" s="54" t="s">
        <v>331</v>
      </c>
      <c r="N63" s="382">
        <v>13</v>
      </c>
      <c r="O63" s="382"/>
      <c r="P63" s="393">
        <v>200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119</v>
      </c>
      <c r="D64" s="161"/>
      <c r="E64" s="163" t="s">
        <v>332</v>
      </c>
      <c r="F64" s="392" t="s">
        <v>333</v>
      </c>
      <c r="G64" s="382"/>
      <c r="H64" s="382"/>
      <c r="I64" s="382"/>
      <c r="J64" s="382"/>
      <c r="K64" s="382" t="s">
        <v>334</v>
      </c>
      <c r="L64" s="382"/>
      <c r="M64" s="54" t="s">
        <v>335</v>
      </c>
      <c r="N64" s="382">
        <v>4</v>
      </c>
      <c r="O64" s="382"/>
      <c r="P64" s="393">
        <v>20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61"/>
      <c r="E65" s="163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61"/>
      <c r="E66" s="163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61"/>
      <c r="E67" s="163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61"/>
      <c r="E68" s="163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61"/>
      <c r="E69" s="163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61"/>
      <c r="E70" s="163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336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64" t="s">
        <v>2</v>
      </c>
      <c r="D72" s="164" t="s">
        <v>38</v>
      </c>
      <c r="E72" s="164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62" t="s">
        <v>118</v>
      </c>
      <c r="D73" s="162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61" t="s">
        <v>118</v>
      </c>
      <c r="D74" s="161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161" t="s">
        <v>137</v>
      </c>
      <c r="D75" s="161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161" t="s">
        <v>119</v>
      </c>
      <c r="D76" s="161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161"/>
      <c r="D77" s="161"/>
      <c r="E77" s="35"/>
      <c r="F77" s="351"/>
      <c r="G77" s="351"/>
      <c r="H77" s="351"/>
      <c r="I77" s="351"/>
      <c r="J77" s="351"/>
      <c r="K77" s="365"/>
      <c r="L77" s="366"/>
      <c r="M77" s="366"/>
      <c r="N77" s="366"/>
      <c r="O77" s="366"/>
      <c r="P77" s="366"/>
      <c r="Q77" s="366"/>
      <c r="R77" s="366"/>
      <c r="S77" s="367"/>
      <c r="T77" s="368"/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161"/>
      <c r="D78" s="161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161"/>
      <c r="D79" s="161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161"/>
      <c r="D80" s="161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161"/>
      <c r="D81" s="161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337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338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 t="s">
        <v>59</v>
      </c>
      <c r="C6" s="11" t="s">
        <v>126</v>
      </c>
      <c r="D6" s="55" t="s">
        <v>127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0.40793971605079354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37" t="s">
        <v>119</v>
      </c>
      <c r="D7" s="55" t="s">
        <v>211</v>
      </c>
      <c r="E7" s="57" t="s">
        <v>212</v>
      </c>
      <c r="F7" s="33" t="s">
        <v>213</v>
      </c>
      <c r="G7" s="12">
        <v>15</v>
      </c>
      <c r="H7" s="13">
        <v>25</v>
      </c>
      <c r="I7" s="34">
        <v>30000</v>
      </c>
      <c r="J7" s="5">
        <v>14330</v>
      </c>
      <c r="K7" s="15">
        <f>L7+53670+14325</f>
        <v>67995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0.40793971605079354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340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3340</v>
      </c>
      <c r="K8" s="15">
        <f>L8</f>
        <v>3338</v>
      </c>
      <c r="L8" s="15">
        <f>3070+268</f>
        <v>3338</v>
      </c>
      <c r="M8" s="16">
        <f t="shared" si="0"/>
        <v>3338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>
        <v>5</v>
      </c>
      <c r="U8" s="17"/>
      <c r="V8" s="18"/>
      <c r="W8" s="19"/>
      <c r="X8" s="17"/>
      <c r="Y8" s="20"/>
      <c r="Z8" s="20"/>
      <c r="AA8" s="21"/>
      <c r="AB8" s="8">
        <f t="shared" si="4"/>
        <v>0.9994011976047904</v>
      </c>
      <c r="AC8" s="9">
        <f t="shared" si="5"/>
        <v>0.79166666666666663</v>
      </c>
      <c r="AD8" s="10">
        <f t="shared" si="6"/>
        <v>0.79119261477045899</v>
      </c>
      <c r="AE8" s="39">
        <f t="shared" si="7"/>
        <v>0.40793971605079354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55000</v>
      </c>
      <c r="J9" s="5">
        <v>5680</v>
      </c>
      <c r="K9" s="15">
        <f>L9+5005+3240+5678+5624+4062+5654+5634+4927+5173+5223+3579</f>
        <v>59477</v>
      </c>
      <c r="L9" s="15">
        <f>2968+2710</f>
        <v>5678</v>
      </c>
      <c r="M9" s="16">
        <f t="shared" si="0"/>
        <v>5678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0.99964788732394361</v>
      </c>
      <c r="AC9" s="9">
        <f t="shared" si="5"/>
        <v>1</v>
      </c>
      <c r="AD9" s="10">
        <f t="shared" si="6"/>
        <v>0.99964788732394361</v>
      </c>
      <c r="AE9" s="39">
        <f t="shared" si="7"/>
        <v>0.40793971605079354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3800</v>
      </c>
      <c r="K10" s="15">
        <f>L10+5816+6288</f>
        <v>15904</v>
      </c>
      <c r="L10" s="15">
        <f>2508+646*2</f>
        <v>3800</v>
      </c>
      <c r="M10" s="16">
        <f t="shared" si="0"/>
        <v>3800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0.40793971605079354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2460</v>
      </c>
      <c r="K11" s="15">
        <f>L11+4637+5196+4992</f>
        <v>17278</v>
      </c>
      <c r="L11" s="15">
        <f>2453</f>
        <v>2453</v>
      </c>
      <c r="M11" s="16">
        <f t="shared" si="0"/>
        <v>2453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10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0.99715447154471548</v>
      </c>
      <c r="AC11" s="9">
        <f t="shared" si="5"/>
        <v>0.58333333333333337</v>
      </c>
      <c r="AD11" s="10">
        <f t="shared" si="6"/>
        <v>0.58167344173441737</v>
      </c>
      <c r="AE11" s="39">
        <f t="shared" si="7"/>
        <v>0.40793971605079354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151</v>
      </c>
      <c r="D12" s="55" t="s">
        <v>141</v>
      </c>
      <c r="E12" s="57" t="s">
        <v>191</v>
      </c>
      <c r="F12" s="12" t="s">
        <v>143</v>
      </c>
      <c r="G12" s="12">
        <v>1</v>
      </c>
      <c r="H12" s="13">
        <v>25</v>
      </c>
      <c r="I12" s="7">
        <v>1000</v>
      </c>
      <c r="J12" s="14">
        <v>1700</v>
      </c>
      <c r="K12" s="15">
        <f>L12+1691</f>
        <v>1691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0.40793971605079354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55000</v>
      </c>
      <c r="J13" s="14">
        <v>6140</v>
      </c>
      <c r="K13" s="15">
        <f>L13+2835+6129+6086+5052+6112+6535+5604+6128+4713</f>
        <v>55333</v>
      </c>
      <c r="L13" s="15">
        <f>3212+2927</f>
        <v>6139</v>
      </c>
      <c r="M13" s="16">
        <f t="shared" si="0"/>
        <v>6139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0.99983713355048864</v>
      </c>
      <c r="AC13" s="9">
        <f t="shared" si="5"/>
        <v>1</v>
      </c>
      <c r="AD13" s="10">
        <f t="shared" si="6"/>
        <v>0.99983713355048864</v>
      </c>
      <c r="AE13" s="39">
        <f t="shared" si="7"/>
        <v>0.40793971605079354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220</v>
      </c>
      <c r="F14" s="33" t="s">
        <v>221</v>
      </c>
      <c r="G14" s="36">
        <v>1</v>
      </c>
      <c r="H14" s="38">
        <v>30</v>
      </c>
      <c r="I14" s="7">
        <v>300</v>
      </c>
      <c r="J14" s="5">
        <v>241</v>
      </c>
      <c r="K14" s="15">
        <f>L14+387+241</f>
        <v>628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0.40793971605079354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151</v>
      </c>
      <c r="D15" s="55" t="s">
        <v>133</v>
      </c>
      <c r="E15" s="57" t="s">
        <v>173</v>
      </c>
      <c r="F15" s="12" t="s">
        <v>174</v>
      </c>
      <c r="G15" s="12">
        <v>1</v>
      </c>
      <c r="H15" s="13">
        <v>25</v>
      </c>
      <c r="I15" s="34">
        <v>1000</v>
      </c>
      <c r="J15" s="14">
        <v>1640</v>
      </c>
      <c r="K15" s="15">
        <f>L15+1634</f>
        <v>1634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0.40793971605079354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118</v>
      </c>
      <c r="D16" s="55" t="s">
        <v>157</v>
      </c>
      <c r="E16" s="56" t="s">
        <v>343</v>
      </c>
      <c r="F16" s="12">
        <v>7301</v>
      </c>
      <c r="G16" s="36">
        <v>1</v>
      </c>
      <c r="H16" s="38">
        <v>25</v>
      </c>
      <c r="I16" s="7">
        <v>7000</v>
      </c>
      <c r="J16" s="14">
        <v>4060</v>
      </c>
      <c r="K16" s="15">
        <f>L16</f>
        <v>4054</v>
      </c>
      <c r="L16" s="15">
        <f>2635+1419</f>
        <v>4054</v>
      </c>
      <c r="M16" s="16">
        <f t="shared" si="0"/>
        <v>4054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0.99852216748768474</v>
      </c>
      <c r="AC16" s="9">
        <f t="shared" si="5"/>
        <v>0.95833333333333337</v>
      </c>
      <c r="AD16" s="10">
        <f t="shared" si="6"/>
        <v>0.95691707717569796</v>
      </c>
      <c r="AE16" s="39">
        <f t="shared" si="7"/>
        <v>0.40793971605079354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133</v>
      </c>
      <c r="E17" s="56" t="s">
        <v>290</v>
      </c>
      <c r="F17" s="12" t="s">
        <v>291</v>
      </c>
      <c r="G17" s="12">
        <v>1</v>
      </c>
      <c r="H17" s="13">
        <v>25</v>
      </c>
      <c r="I17" s="34">
        <v>2000</v>
      </c>
      <c r="J17" s="5">
        <v>2520</v>
      </c>
      <c r="K17" s="15">
        <f>L17+2516</f>
        <v>2516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0.40793971605079354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260</v>
      </c>
      <c r="E18" s="57" t="s">
        <v>261</v>
      </c>
      <c r="F18" s="33" t="s">
        <v>154</v>
      </c>
      <c r="G18" s="12">
        <v>1</v>
      </c>
      <c r="H18" s="13">
        <v>25</v>
      </c>
      <c r="I18" s="34">
        <v>2000</v>
      </c>
      <c r="J18" s="5">
        <v>2250</v>
      </c>
      <c r="K18" s="15">
        <f>L18+2241</f>
        <v>2241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0.40793971605079354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55000</v>
      </c>
      <c r="J19" s="5">
        <v>4350</v>
      </c>
      <c r="K19" s="15">
        <f>L19+4442+4907+4868+4725+2202+4890+4923+4904+5071+2647+4285+3898</f>
        <v>56104</v>
      </c>
      <c r="L19" s="15">
        <f>2246+2096</f>
        <v>4342</v>
      </c>
      <c r="M19" s="16">
        <f t="shared" si="0"/>
        <v>4342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0.9981609195402299</v>
      </c>
      <c r="AC19" s="9">
        <f t="shared" si="5"/>
        <v>1</v>
      </c>
      <c r="AD19" s="10">
        <f t="shared" si="6"/>
        <v>0.9981609195402299</v>
      </c>
      <c r="AE19" s="39">
        <f t="shared" si="7"/>
        <v>0.40793971605079354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145</v>
      </c>
      <c r="F20" s="12" t="s">
        <v>117</v>
      </c>
      <c r="G20" s="12">
        <v>4</v>
      </c>
      <c r="H20" s="38">
        <v>20</v>
      </c>
      <c r="I20" s="7">
        <v>200000</v>
      </c>
      <c r="J20" s="14">
        <v>33300</v>
      </c>
      <c r="K20" s="15">
        <f>L20+50220+52380+58428+58872+64080+33228</f>
        <v>317208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0.40793971605079354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509300</v>
      </c>
      <c r="J21" s="22">
        <f t="shared" si="9"/>
        <v>87781</v>
      </c>
      <c r="K21" s="23">
        <f t="shared" si="9"/>
        <v>607363</v>
      </c>
      <c r="L21" s="24">
        <f t="shared" si="9"/>
        <v>29804</v>
      </c>
      <c r="M21" s="23">
        <f t="shared" si="9"/>
        <v>29804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147</v>
      </c>
      <c r="Q21" s="46">
        <f t="shared" si="10"/>
        <v>213</v>
      </c>
      <c r="R21" s="26">
        <f t="shared" si="10"/>
        <v>24</v>
      </c>
      <c r="S21" s="27">
        <f t="shared" si="10"/>
        <v>15</v>
      </c>
      <c r="T21" s="27">
        <f t="shared" si="10"/>
        <v>6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0.4661815851367902</v>
      </c>
      <c r="AC21" s="4">
        <f>SUM(AC6:AC20)/15</f>
        <v>0.40833333333333327</v>
      </c>
      <c r="AD21" s="4">
        <f>SUM(AD6:AD20)/15</f>
        <v>0.40793971605079354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344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354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74" t="s">
        <v>47</v>
      </c>
      <c r="D50" s="174" t="s">
        <v>48</v>
      </c>
      <c r="E50" s="174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74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119</v>
      </c>
      <c r="B51" s="410"/>
      <c r="C51" s="175" t="s">
        <v>308</v>
      </c>
      <c r="D51" s="176" t="s">
        <v>340</v>
      </c>
      <c r="E51" s="175" t="s">
        <v>341</v>
      </c>
      <c r="F51" s="394" t="s">
        <v>345</v>
      </c>
      <c r="G51" s="394"/>
      <c r="H51" s="394"/>
      <c r="I51" s="394"/>
      <c r="J51" s="394"/>
      <c r="K51" s="394"/>
      <c r="L51" s="394"/>
      <c r="M51" s="404"/>
      <c r="N51" s="180" t="s">
        <v>137</v>
      </c>
      <c r="O51" s="74" t="s">
        <v>144</v>
      </c>
      <c r="P51" s="411" t="s">
        <v>58</v>
      </c>
      <c r="Q51" s="412"/>
      <c r="R51" s="403" t="s">
        <v>312</v>
      </c>
      <c r="S51" s="403"/>
      <c r="T51" s="403"/>
      <c r="U51" s="403"/>
      <c r="V51" s="394" t="s">
        <v>313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346</v>
      </c>
      <c r="B52" s="410"/>
      <c r="C52" s="175" t="s">
        <v>323</v>
      </c>
      <c r="D52" s="176" t="s">
        <v>347</v>
      </c>
      <c r="E52" s="175" t="s">
        <v>348</v>
      </c>
      <c r="F52" s="394" t="s">
        <v>296</v>
      </c>
      <c r="G52" s="394"/>
      <c r="H52" s="394"/>
      <c r="I52" s="394"/>
      <c r="J52" s="394"/>
      <c r="K52" s="394"/>
      <c r="L52" s="394"/>
      <c r="M52" s="404"/>
      <c r="N52" s="180" t="s">
        <v>137</v>
      </c>
      <c r="O52" s="74" t="s">
        <v>355</v>
      </c>
      <c r="P52" s="411" t="s">
        <v>356</v>
      </c>
      <c r="Q52" s="412"/>
      <c r="R52" s="403" t="s">
        <v>357</v>
      </c>
      <c r="S52" s="403"/>
      <c r="T52" s="403"/>
      <c r="U52" s="403"/>
      <c r="V52" s="394" t="s">
        <v>358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137</v>
      </c>
      <c r="B53" s="410"/>
      <c r="C53" s="175" t="s">
        <v>301</v>
      </c>
      <c r="D53" s="176" t="s">
        <v>58</v>
      </c>
      <c r="E53" s="175" t="s">
        <v>303</v>
      </c>
      <c r="F53" s="394" t="s">
        <v>349</v>
      </c>
      <c r="G53" s="394"/>
      <c r="H53" s="394"/>
      <c r="I53" s="394"/>
      <c r="J53" s="394"/>
      <c r="K53" s="394"/>
      <c r="L53" s="394"/>
      <c r="M53" s="404"/>
      <c r="N53" s="180" t="s">
        <v>319</v>
      </c>
      <c r="O53" s="74" t="s">
        <v>320</v>
      </c>
      <c r="P53" s="411"/>
      <c r="Q53" s="412"/>
      <c r="R53" s="403" t="s">
        <v>318</v>
      </c>
      <c r="S53" s="403"/>
      <c r="T53" s="403"/>
      <c r="U53" s="403"/>
      <c r="V53" s="394" t="s">
        <v>177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118</v>
      </c>
      <c r="B54" s="410"/>
      <c r="C54" s="175" t="s">
        <v>350</v>
      </c>
      <c r="D54" s="176" t="s">
        <v>157</v>
      </c>
      <c r="E54" s="175" t="s">
        <v>351</v>
      </c>
      <c r="F54" s="394" t="s">
        <v>352</v>
      </c>
      <c r="G54" s="394"/>
      <c r="H54" s="394"/>
      <c r="I54" s="394"/>
      <c r="J54" s="394"/>
      <c r="K54" s="394"/>
      <c r="L54" s="394"/>
      <c r="M54" s="404"/>
      <c r="N54" s="180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175"/>
      <c r="D55" s="176"/>
      <c r="E55" s="175"/>
      <c r="F55" s="394"/>
      <c r="G55" s="394"/>
      <c r="H55" s="394"/>
      <c r="I55" s="394"/>
      <c r="J55" s="394"/>
      <c r="K55" s="394"/>
      <c r="L55" s="394"/>
      <c r="M55" s="404"/>
      <c r="N55" s="180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175"/>
      <c r="D56" s="176"/>
      <c r="E56" s="175"/>
      <c r="F56" s="394"/>
      <c r="G56" s="394"/>
      <c r="H56" s="394"/>
      <c r="I56" s="394"/>
      <c r="J56" s="394"/>
      <c r="K56" s="394"/>
      <c r="L56" s="394"/>
      <c r="M56" s="404"/>
      <c r="N56" s="180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75"/>
      <c r="D57" s="176"/>
      <c r="E57" s="175"/>
      <c r="F57" s="394"/>
      <c r="G57" s="394"/>
      <c r="H57" s="394"/>
      <c r="I57" s="394"/>
      <c r="J57" s="394"/>
      <c r="K57" s="394"/>
      <c r="L57" s="394"/>
      <c r="M57" s="404"/>
      <c r="N57" s="180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75"/>
      <c r="D58" s="176"/>
      <c r="E58" s="175"/>
      <c r="F58" s="394"/>
      <c r="G58" s="394"/>
      <c r="H58" s="394"/>
      <c r="I58" s="394"/>
      <c r="J58" s="394"/>
      <c r="K58" s="394"/>
      <c r="L58" s="394"/>
      <c r="M58" s="404"/>
      <c r="N58" s="180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76"/>
      <c r="D59" s="176"/>
      <c r="E59" s="176"/>
      <c r="F59" s="394"/>
      <c r="G59" s="394"/>
      <c r="H59" s="394"/>
      <c r="I59" s="394"/>
      <c r="J59" s="394"/>
      <c r="K59" s="394"/>
      <c r="L59" s="394"/>
      <c r="M59" s="404"/>
      <c r="N59" s="180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78"/>
      <c r="D60" s="178"/>
      <c r="E60" s="178"/>
      <c r="F60" s="407"/>
      <c r="G60" s="407"/>
      <c r="H60" s="407"/>
      <c r="I60" s="407"/>
      <c r="J60" s="407"/>
      <c r="K60" s="407"/>
      <c r="L60" s="407"/>
      <c r="M60" s="408"/>
      <c r="N60" s="177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353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79" t="s">
        <v>2</v>
      </c>
      <c r="D62" s="179" t="s">
        <v>38</v>
      </c>
      <c r="E62" s="179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79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137</v>
      </c>
      <c r="D63" s="183"/>
      <c r="E63" s="181" t="s">
        <v>359</v>
      </c>
      <c r="F63" s="392" t="s">
        <v>360</v>
      </c>
      <c r="G63" s="382"/>
      <c r="H63" s="382"/>
      <c r="I63" s="382"/>
      <c r="J63" s="382"/>
      <c r="K63" s="382" t="s">
        <v>361</v>
      </c>
      <c r="L63" s="382"/>
      <c r="M63" s="54" t="s">
        <v>362</v>
      </c>
      <c r="N63" s="382">
        <v>6</v>
      </c>
      <c r="O63" s="382"/>
      <c r="P63" s="393">
        <v>200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137</v>
      </c>
      <c r="D64" s="183"/>
      <c r="E64" s="181" t="s">
        <v>363</v>
      </c>
      <c r="F64" s="392" t="s">
        <v>364</v>
      </c>
      <c r="G64" s="382"/>
      <c r="H64" s="382"/>
      <c r="I64" s="382"/>
      <c r="J64" s="382"/>
      <c r="K64" s="382" t="s">
        <v>365</v>
      </c>
      <c r="L64" s="382"/>
      <c r="M64" s="54" t="s">
        <v>366</v>
      </c>
      <c r="N64" s="382">
        <v>13</v>
      </c>
      <c r="O64" s="382"/>
      <c r="P64" s="393">
        <v>50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83"/>
      <c r="E65" s="181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83"/>
      <c r="E66" s="181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83"/>
      <c r="E67" s="181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83"/>
      <c r="E68" s="181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83"/>
      <c r="E69" s="181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83"/>
      <c r="E70" s="181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367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82" t="s">
        <v>2</v>
      </c>
      <c r="D72" s="182" t="s">
        <v>38</v>
      </c>
      <c r="E72" s="182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84" t="s">
        <v>118</v>
      </c>
      <c r="D73" s="184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83" t="s">
        <v>118</v>
      </c>
      <c r="D74" s="183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183" t="s">
        <v>137</v>
      </c>
      <c r="D75" s="183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183" t="s">
        <v>119</v>
      </c>
      <c r="D76" s="183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183"/>
      <c r="D77" s="183"/>
      <c r="E77" s="35"/>
      <c r="F77" s="351"/>
      <c r="G77" s="351"/>
      <c r="H77" s="351"/>
      <c r="I77" s="351"/>
      <c r="J77" s="351"/>
      <c r="K77" s="365"/>
      <c r="L77" s="366"/>
      <c r="M77" s="366"/>
      <c r="N77" s="366"/>
      <c r="O77" s="366"/>
      <c r="P77" s="366"/>
      <c r="Q77" s="366"/>
      <c r="R77" s="366"/>
      <c r="S77" s="367"/>
      <c r="T77" s="368"/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183"/>
      <c r="D78" s="183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183"/>
      <c r="D79" s="183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183"/>
      <c r="D80" s="183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183"/>
      <c r="D81" s="183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368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369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96" t="s">
        <v>17</v>
      </c>
      <c r="L5" s="196" t="s">
        <v>18</v>
      </c>
      <c r="M5" s="196" t="s">
        <v>19</v>
      </c>
      <c r="N5" s="19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0.56074522009281347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0.56074522009281347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194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5410</v>
      </c>
      <c r="K8" s="15">
        <f>L8+3338</f>
        <v>8746</v>
      </c>
      <c r="L8" s="15">
        <f>2612+2796</f>
        <v>5408</v>
      </c>
      <c r="M8" s="16">
        <f t="shared" si="0"/>
        <v>5408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0.99963031423290205</v>
      </c>
      <c r="AC8" s="9">
        <f t="shared" si="5"/>
        <v>1</v>
      </c>
      <c r="AD8" s="10">
        <f t="shared" si="6"/>
        <v>0.99963031423290205</v>
      </c>
      <c r="AE8" s="39">
        <f t="shared" si="7"/>
        <v>0.56074522009281347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55000</v>
      </c>
      <c r="J9" s="5">
        <v>5160</v>
      </c>
      <c r="K9" s="15">
        <f>L9+5005+3240+5678+5624+4062+5654+5634+4927+5173+5223+3579+5678</f>
        <v>64633</v>
      </c>
      <c r="L9" s="15">
        <f>2740+2416</f>
        <v>5156</v>
      </c>
      <c r="M9" s="16">
        <f t="shared" si="0"/>
        <v>5156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0.99922480620155041</v>
      </c>
      <c r="AC9" s="9">
        <f t="shared" si="5"/>
        <v>1</v>
      </c>
      <c r="AD9" s="10">
        <f t="shared" si="6"/>
        <v>0.99922480620155041</v>
      </c>
      <c r="AE9" s="39">
        <f t="shared" si="7"/>
        <v>0.56074522009281347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8500</v>
      </c>
      <c r="K10" s="15">
        <f>L10+5816+6288+3800</f>
        <v>24404</v>
      </c>
      <c r="L10" s="15">
        <f>1496*2+2754*2</f>
        <v>8500</v>
      </c>
      <c r="M10" s="16">
        <f t="shared" si="0"/>
        <v>8500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0.56074522009281347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5320</v>
      </c>
      <c r="K11" s="15">
        <f>L11+4637+5196+4992+2453</f>
        <v>22589</v>
      </c>
      <c r="L11" s="15">
        <f>2521+2790</f>
        <v>5311</v>
      </c>
      <c r="M11" s="16">
        <f t="shared" si="0"/>
        <v>5311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0.9983082706766917</v>
      </c>
      <c r="AC11" s="9">
        <f t="shared" si="5"/>
        <v>1</v>
      </c>
      <c r="AD11" s="10">
        <f t="shared" si="6"/>
        <v>0.9983082706766917</v>
      </c>
      <c r="AE11" s="39">
        <f t="shared" si="7"/>
        <v>0.56074522009281347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370</v>
      </c>
      <c r="D12" s="55" t="s">
        <v>371</v>
      </c>
      <c r="E12" s="57" t="s">
        <v>372</v>
      </c>
      <c r="F12" s="12" t="s">
        <v>143</v>
      </c>
      <c r="G12" s="12">
        <v>1</v>
      </c>
      <c r="H12" s="13">
        <v>25</v>
      </c>
      <c r="I12" s="7">
        <v>2000</v>
      </c>
      <c r="J12" s="14">
        <v>2220</v>
      </c>
      <c r="K12" s="15">
        <f>L12</f>
        <v>2218</v>
      </c>
      <c r="L12" s="15">
        <f>2218</f>
        <v>2218</v>
      </c>
      <c r="M12" s="16">
        <f t="shared" si="0"/>
        <v>2218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/>
      <c r="U12" s="17"/>
      <c r="V12" s="18"/>
      <c r="W12" s="19">
        <v>10</v>
      </c>
      <c r="X12" s="17"/>
      <c r="Y12" s="20"/>
      <c r="Z12" s="20"/>
      <c r="AA12" s="21"/>
      <c r="AB12" s="8">
        <f t="shared" si="4"/>
        <v>0.99909909909909911</v>
      </c>
      <c r="AC12" s="9">
        <f t="shared" si="5"/>
        <v>0.58333333333333337</v>
      </c>
      <c r="AD12" s="10">
        <f t="shared" si="6"/>
        <v>0.58280780780780783</v>
      </c>
      <c r="AE12" s="39">
        <f t="shared" si="7"/>
        <v>0.56074522009281347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141</v>
      </c>
      <c r="E13" s="56" t="s">
        <v>153</v>
      </c>
      <c r="F13" s="12" t="s">
        <v>154</v>
      </c>
      <c r="G13" s="12">
        <v>1</v>
      </c>
      <c r="H13" s="13">
        <v>25</v>
      </c>
      <c r="I13" s="7">
        <v>55000</v>
      </c>
      <c r="J13" s="14">
        <v>5870</v>
      </c>
      <c r="K13" s="15">
        <f>L13+2835+6129+6086+5052+6112+6535+5604+6128+4713+6139</f>
        <v>61201</v>
      </c>
      <c r="L13" s="15">
        <f>2975+2893</f>
        <v>5868</v>
      </c>
      <c r="M13" s="16">
        <f t="shared" si="0"/>
        <v>5868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0.99965928449744468</v>
      </c>
      <c r="AC13" s="9">
        <f t="shared" si="5"/>
        <v>1</v>
      </c>
      <c r="AD13" s="10">
        <f t="shared" si="6"/>
        <v>0.99965928449744468</v>
      </c>
      <c r="AE13" s="39">
        <f t="shared" si="7"/>
        <v>0.56074522009281347</v>
      </c>
      <c r="AF13" s="94">
        <f t="shared" si="8"/>
        <v>8</v>
      </c>
    </row>
    <row r="14" spans="1:36" ht="27" customHeight="1">
      <c r="A14" s="109">
        <v>9</v>
      </c>
      <c r="B14" s="11"/>
      <c r="C14" s="37"/>
      <c r="D14" s="55"/>
      <c r="E14" s="57"/>
      <c r="F14" s="33"/>
      <c r="G14" s="36"/>
      <c r="H14" s="38"/>
      <c r="I14" s="7"/>
      <c r="J14" s="5"/>
      <c r="K14" s="15"/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0.56074522009281347</v>
      </c>
      <c r="AF14" s="94">
        <f t="shared" si="8"/>
        <v>9</v>
      </c>
    </row>
    <row r="15" spans="1:36" ht="27" customHeight="1">
      <c r="A15" s="109">
        <v>10</v>
      </c>
      <c r="B15" s="11"/>
      <c r="C15" s="11"/>
      <c r="D15" s="55"/>
      <c r="E15" s="57"/>
      <c r="F15" s="12"/>
      <c r="G15" s="12"/>
      <c r="H15" s="13"/>
      <c r="I15" s="34"/>
      <c r="J15" s="14"/>
      <c r="K15" s="15"/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 t="str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0.56074522009281347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118</v>
      </c>
      <c r="D16" s="55" t="s">
        <v>157</v>
      </c>
      <c r="E16" s="56" t="s">
        <v>343</v>
      </c>
      <c r="F16" s="12">
        <v>7301</v>
      </c>
      <c r="G16" s="36">
        <v>1</v>
      </c>
      <c r="H16" s="38">
        <v>25</v>
      </c>
      <c r="I16" s="7">
        <v>7000</v>
      </c>
      <c r="J16" s="14">
        <v>4400</v>
      </c>
      <c r="K16" s="15">
        <f>L16+4054</f>
        <v>8451</v>
      </c>
      <c r="L16" s="15">
        <f>2453+1944</f>
        <v>4397</v>
      </c>
      <c r="M16" s="16">
        <f t="shared" si="0"/>
        <v>4397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0.99931818181818177</v>
      </c>
      <c r="AC16" s="9">
        <f t="shared" si="5"/>
        <v>1</v>
      </c>
      <c r="AD16" s="10">
        <f t="shared" si="6"/>
        <v>0.99931818181818177</v>
      </c>
      <c r="AE16" s="39">
        <f t="shared" si="7"/>
        <v>0.56074522009281347</v>
      </c>
      <c r="AF16" s="94">
        <f>A16</f>
        <v>11</v>
      </c>
      <c r="AJ16" s="15"/>
    </row>
    <row r="17" spans="1:32" ht="27" customHeight="1">
      <c r="A17" s="109">
        <v>12</v>
      </c>
      <c r="B17" s="11"/>
      <c r="C17" s="37"/>
      <c r="D17" s="55"/>
      <c r="E17" s="56"/>
      <c r="F17" s="12"/>
      <c r="G17" s="12"/>
      <c r="H17" s="13"/>
      <c r="I17" s="34"/>
      <c r="J17" s="5"/>
      <c r="K17" s="15"/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 t="str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0.56074522009281347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373</v>
      </c>
      <c r="D18" s="55" t="s">
        <v>260</v>
      </c>
      <c r="E18" s="57" t="s">
        <v>374</v>
      </c>
      <c r="F18" s="33" t="s">
        <v>375</v>
      </c>
      <c r="G18" s="12">
        <v>1</v>
      </c>
      <c r="H18" s="13">
        <v>25</v>
      </c>
      <c r="I18" s="34">
        <v>40000</v>
      </c>
      <c r="J18" s="5">
        <v>10810</v>
      </c>
      <c r="K18" s="15">
        <f>L18</f>
        <v>10802</v>
      </c>
      <c r="L18" s="15">
        <f>2141*2+3260*2</f>
        <v>10802</v>
      </c>
      <c r="M18" s="16">
        <f t="shared" si="0"/>
        <v>10802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0.99925994449583722</v>
      </c>
      <c r="AC18" s="9">
        <f t="shared" si="5"/>
        <v>0.95833333333333337</v>
      </c>
      <c r="AD18" s="10">
        <f t="shared" si="6"/>
        <v>0.9576241134751774</v>
      </c>
      <c r="AE18" s="39">
        <f t="shared" si="7"/>
        <v>0.56074522009281347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139</v>
      </c>
      <c r="F19" s="33" t="s">
        <v>132</v>
      </c>
      <c r="G19" s="36">
        <v>1</v>
      </c>
      <c r="H19" s="38">
        <v>25</v>
      </c>
      <c r="I19" s="7">
        <v>55000</v>
      </c>
      <c r="J19" s="5">
        <v>5070</v>
      </c>
      <c r="K19" s="15">
        <f>L19+4442+4907+4868+4725+2202+4890+4923+4904+5071+2647+4285+3898+4342</f>
        <v>61172</v>
      </c>
      <c r="L19" s="15">
        <f>2305+2763</f>
        <v>5068</v>
      </c>
      <c r="M19" s="16">
        <f t="shared" si="0"/>
        <v>5068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0.99960552268244574</v>
      </c>
      <c r="AC19" s="9">
        <f t="shared" si="5"/>
        <v>1</v>
      </c>
      <c r="AD19" s="10">
        <f t="shared" si="6"/>
        <v>0.99960552268244574</v>
      </c>
      <c r="AE19" s="39">
        <f t="shared" si="7"/>
        <v>0.56074522009281347</v>
      </c>
      <c r="AF19" s="94">
        <f t="shared" si="8"/>
        <v>14</v>
      </c>
    </row>
    <row r="20" spans="1:32" ht="27" customHeight="1" thickBot="1">
      <c r="A20" s="110">
        <v>15</v>
      </c>
      <c r="B20" s="11"/>
      <c r="C20" s="11"/>
      <c r="D20" s="55"/>
      <c r="E20" s="56"/>
      <c r="F20" s="12"/>
      <c r="G20" s="12"/>
      <c r="H20" s="38"/>
      <c r="I20" s="7"/>
      <c r="J20" s="14"/>
      <c r="K20" s="15"/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 t="str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0.56074522009281347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314000</v>
      </c>
      <c r="J21" s="22">
        <f t="shared" si="9"/>
        <v>52760</v>
      </c>
      <c r="K21" s="23">
        <f t="shared" si="9"/>
        <v>264216</v>
      </c>
      <c r="L21" s="24">
        <f t="shared" si="9"/>
        <v>52728</v>
      </c>
      <c r="M21" s="23">
        <f t="shared" si="9"/>
        <v>52728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202</v>
      </c>
      <c r="Q21" s="46">
        <f t="shared" si="10"/>
        <v>158</v>
      </c>
      <c r="R21" s="26">
        <f t="shared" si="10"/>
        <v>24</v>
      </c>
      <c r="S21" s="27">
        <f t="shared" si="10"/>
        <v>3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130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0.59960702824694345</v>
      </c>
      <c r="AC21" s="4">
        <f>SUM(AC6:AC20)/15</f>
        <v>0.56111111111111112</v>
      </c>
      <c r="AD21" s="4">
        <f>SUM(AD6:AD20)/15</f>
        <v>0.56074522009281347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376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384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95" t="s">
        <v>47</v>
      </c>
      <c r="D50" s="195" t="s">
        <v>48</v>
      </c>
      <c r="E50" s="195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95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137</v>
      </c>
      <c r="B51" s="410"/>
      <c r="C51" s="194" t="s">
        <v>301</v>
      </c>
      <c r="D51" s="191" t="s">
        <v>58</v>
      </c>
      <c r="E51" s="194" t="s">
        <v>303</v>
      </c>
      <c r="F51" s="394" t="s">
        <v>377</v>
      </c>
      <c r="G51" s="394"/>
      <c r="H51" s="394"/>
      <c r="I51" s="394"/>
      <c r="J51" s="394"/>
      <c r="K51" s="394"/>
      <c r="L51" s="394"/>
      <c r="M51" s="404"/>
      <c r="N51" s="190" t="s">
        <v>385</v>
      </c>
      <c r="O51" s="74" t="s">
        <v>386</v>
      </c>
      <c r="P51" s="411" t="s">
        <v>347</v>
      </c>
      <c r="Q51" s="412"/>
      <c r="R51" s="403" t="s">
        <v>387</v>
      </c>
      <c r="S51" s="403"/>
      <c r="T51" s="403"/>
      <c r="U51" s="403"/>
      <c r="V51" s="394" t="s">
        <v>388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346</v>
      </c>
      <c r="B52" s="410"/>
      <c r="C52" s="194" t="s">
        <v>378</v>
      </c>
      <c r="D52" s="191" t="s">
        <v>371</v>
      </c>
      <c r="E52" s="194" t="s">
        <v>379</v>
      </c>
      <c r="F52" s="394" t="s">
        <v>380</v>
      </c>
      <c r="G52" s="394"/>
      <c r="H52" s="394"/>
      <c r="I52" s="394"/>
      <c r="J52" s="394"/>
      <c r="K52" s="394"/>
      <c r="L52" s="394"/>
      <c r="M52" s="404"/>
      <c r="N52" s="190" t="s">
        <v>389</v>
      </c>
      <c r="O52" s="74" t="s">
        <v>390</v>
      </c>
      <c r="P52" s="411" t="s">
        <v>391</v>
      </c>
      <c r="Q52" s="412"/>
      <c r="R52" s="403" t="s">
        <v>392</v>
      </c>
      <c r="S52" s="403"/>
      <c r="T52" s="403"/>
      <c r="U52" s="403"/>
      <c r="V52" s="394" t="s">
        <v>393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137</v>
      </c>
      <c r="B53" s="410"/>
      <c r="C53" s="194" t="s">
        <v>178</v>
      </c>
      <c r="D53" s="191" t="s">
        <v>381</v>
      </c>
      <c r="E53" s="194" t="s">
        <v>382</v>
      </c>
      <c r="F53" s="394" t="s">
        <v>383</v>
      </c>
      <c r="G53" s="394"/>
      <c r="H53" s="394"/>
      <c r="I53" s="394"/>
      <c r="J53" s="394"/>
      <c r="K53" s="394"/>
      <c r="L53" s="394"/>
      <c r="M53" s="404"/>
      <c r="N53" s="190" t="s">
        <v>394</v>
      </c>
      <c r="O53" s="74" t="s">
        <v>200</v>
      </c>
      <c r="P53" s="411" t="s">
        <v>371</v>
      </c>
      <c r="Q53" s="412"/>
      <c r="R53" s="403" t="s">
        <v>395</v>
      </c>
      <c r="S53" s="403"/>
      <c r="T53" s="403"/>
      <c r="U53" s="403"/>
      <c r="V53" s="394" t="s">
        <v>393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/>
      <c r="B54" s="410"/>
      <c r="C54" s="194"/>
      <c r="D54" s="191"/>
      <c r="E54" s="194"/>
      <c r="F54" s="394"/>
      <c r="G54" s="394"/>
      <c r="H54" s="394"/>
      <c r="I54" s="394"/>
      <c r="J54" s="394"/>
      <c r="K54" s="394"/>
      <c r="L54" s="394"/>
      <c r="M54" s="404"/>
      <c r="N54" s="190" t="s">
        <v>396</v>
      </c>
      <c r="O54" s="74" t="s">
        <v>397</v>
      </c>
      <c r="P54" s="411" t="s">
        <v>381</v>
      </c>
      <c r="Q54" s="412"/>
      <c r="R54" s="403" t="s">
        <v>374</v>
      </c>
      <c r="S54" s="403"/>
      <c r="T54" s="403"/>
      <c r="U54" s="403"/>
      <c r="V54" s="394" t="s">
        <v>398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194"/>
      <c r="D55" s="191"/>
      <c r="E55" s="194"/>
      <c r="F55" s="394"/>
      <c r="G55" s="394"/>
      <c r="H55" s="394"/>
      <c r="I55" s="394"/>
      <c r="J55" s="394"/>
      <c r="K55" s="394"/>
      <c r="L55" s="394"/>
      <c r="M55" s="404"/>
      <c r="N55" s="190" t="s">
        <v>400</v>
      </c>
      <c r="O55" s="74" t="s">
        <v>401</v>
      </c>
      <c r="P55" s="411"/>
      <c r="Q55" s="412"/>
      <c r="R55" s="403" t="s">
        <v>399</v>
      </c>
      <c r="S55" s="403"/>
      <c r="T55" s="403"/>
      <c r="U55" s="403"/>
      <c r="V55" s="394" t="s">
        <v>177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194"/>
      <c r="D56" s="191"/>
      <c r="E56" s="194"/>
      <c r="F56" s="394"/>
      <c r="G56" s="394"/>
      <c r="H56" s="394"/>
      <c r="I56" s="394"/>
      <c r="J56" s="394"/>
      <c r="K56" s="394"/>
      <c r="L56" s="394"/>
      <c r="M56" s="404"/>
      <c r="N56" s="190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94"/>
      <c r="D57" s="191"/>
      <c r="E57" s="194"/>
      <c r="F57" s="394"/>
      <c r="G57" s="394"/>
      <c r="H57" s="394"/>
      <c r="I57" s="394"/>
      <c r="J57" s="394"/>
      <c r="K57" s="394"/>
      <c r="L57" s="394"/>
      <c r="M57" s="404"/>
      <c r="N57" s="190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94"/>
      <c r="D58" s="191"/>
      <c r="E58" s="194"/>
      <c r="F58" s="394"/>
      <c r="G58" s="394"/>
      <c r="H58" s="394"/>
      <c r="I58" s="394"/>
      <c r="J58" s="394"/>
      <c r="K58" s="394"/>
      <c r="L58" s="394"/>
      <c r="M58" s="404"/>
      <c r="N58" s="190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191"/>
      <c r="D59" s="191"/>
      <c r="E59" s="191"/>
      <c r="F59" s="394"/>
      <c r="G59" s="394"/>
      <c r="H59" s="394"/>
      <c r="I59" s="394"/>
      <c r="J59" s="394"/>
      <c r="K59" s="394"/>
      <c r="L59" s="394"/>
      <c r="M59" s="404"/>
      <c r="N59" s="190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193"/>
      <c r="D60" s="193"/>
      <c r="E60" s="193"/>
      <c r="F60" s="407"/>
      <c r="G60" s="407"/>
      <c r="H60" s="407"/>
      <c r="I60" s="407"/>
      <c r="J60" s="407"/>
      <c r="K60" s="407"/>
      <c r="L60" s="407"/>
      <c r="M60" s="408"/>
      <c r="N60" s="192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402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189" t="s">
        <v>2</v>
      </c>
      <c r="D62" s="189" t="s">
        <v>38</v>
      </c>
      <c r="E62" s="189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189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370</v>
      </c>
      <c r="D63" s="185"/>
      <c r="E63" s="187" t="s">
        <v>403</v>
      </c>
      <c r="F63" s="392" t="s">
        <v>404</v>
      </c>
      <c r="G63" s="382"/>
      <c r="H63" s="382"/>
      <c r="I63" s="382"/>
      <c r="J63" s="382"/>
      <c r="K63" s="382" t="s">
        <v>405</v>
      </c>
      <c r="L63" s="382"/>
      <c r="M63" s="54" t="s">
        <v>362</v>
      </c>
      <c r="N63" s="382">
        <v>7</v>
      </c>
      <c r="O63" s="382"/>
      <c r="P63" s="393">
        <v>50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137</v>
      </c>
      <c r="D64" s="185"/>
      <c r="E64" s="187" t="s">
        <v>406</v>
      </c>
      <c r="F64" s="392" t="s">
        <v>407</v>
      </c>
      <c r="G64" s="382"/>
      <c r="H64" s="382"/>
      <c r="I64" s="382"/>
      <c r="J64" s="382"/>
      <c r="K64" s="382" t="s">
        <v>408</v>
      </c>
      <c r="L64" s="382"/>
      <c r="M64" s="54" t="s">
        <v>366</v>
      </c>
      <c r="N64" s="382">
        <v>12</v>
      </c>
      <c r="O64" s="382"/>
      <c r="P64" s="393">
        <v>50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185"/>
      <c r="E65" s="187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185"/>
      <c r="E66" s="187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185"/>
      <c r="E67" s="187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185"/>
      <c r="E68" s="187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185"/>
      <c r="E69" s="187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185"/>
      <c r="E70" s="187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409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188" t="s">
        <v>2</v>
      </c>
      <c r="D72" s="188" t="s">
        <v>38</v>
      </c>
      <c r="E72" s="188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186" t="s">
        <v>118</v>
      </c>
      <c r="D73" s="186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185" t="s">
        <v>118</v>
      </c>
      <c r="D74" s="185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185" t="s">
        <v>137</v>
      </c>
      <c r="D75" s="185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185" t="s">
        <v>119</v>
      </c>
      <c r="D76" s="185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185" t="s">
        <v>119</v>
      </c>
      <c r="D77" s="185"/>
      <c r="E77" s="35" t="s">
        <v>332</v>
      </c>
      <c r="F77" s="351" t="s">
        <v>410</v>
      </c>
      <c r="G77" s="351"/>
      <c r="H77" s="351"/>
      <c r="I77" s="351"/>
      <c r="J77" s="351"/>
      <c r="K77" s="365" t="s">
        <v>411</v>
      </c>
      <c r="L77" s="366"/>
      <c r="M77" s="366"/>
      <c r="N77" s="366"/>
      <c r="O77" s="366"/>
      <c r="P77" s="366"/>
      <c r="Q77" s="366"/>
      <c r="R77" s="366"/>
      <c r="S77" s="367"/>
      <c r="T77" s="368">
        <v>43022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185" t="s">
        <v>119</v>
      </c>
      <c r="D78" s="185"/>
      <c r="E78" s="35" t="s">
        <v>179</v>
      </c>
      <c r="F78" s="351" t="s">
        <v>412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185"/>
      <c r="D79" s="185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185"/>
      <c r="D80" s="185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185"/>
      <c r="D81" s="185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413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2" sqref="F52:M5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414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0.38579369294515797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0.38579369294515797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3740</v>
      </c>
      <c r="K8" s="15">
        <f>L8+3338+5408</f>
        <v>12481</v>
      </c>
      <c r="L8" s="15">
        <f>3035+700</f>
        <v>3735</v>
      </c>
      <c r="M8" s="16">
        <f t="shared" si="0"/>
        <v>3735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0.99866310160427807</v>
      </c>
      <c r="AC8" s="9">
        <f t="shared" si="5"/>
        <v>0.79166666666666663</v>
      </c>
      <c r="AD8" s="10">
        <f t="shared" si="6"/>
        <v>0.7906082887700534</v>
      </c>
      <c r="AE8" s="39">
        <f t="shared" si="7"/>
        <v>0.38579369294515797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135</v>
      </c>
      <c r="E9" s="56" t="s">
        <v>152</v>
      </c>
      <c r="F9" s="12" t="s">
        <v>142</v>
      </c>
      <c r="G9" s="36">
        <v>1</v>
      </c>
      <c r="H9" s="38">
        <v>25</v>
      </c>
      <c r="I9" s="34">
        <v>55000</v>
      </c>
      <c r="J9" s="5">
        <v>5160</v>
      </c>
      <c r="K9" s="15">
        <f>L9+5005+3240+5678+5624+4062+5654+5634+4927+5173+5223+3579+5678+5156</f>
        <v>64633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0.38579369294515797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8690</v>
      </c>
      <c r="K10" s="15">
        <f>L10+5816+6288+3800+8500</f>
        <v>33088</v>
      </c>
      <c r="L10" s="15">
        <f>2735*2+1607*2</f>
        <v>8684</v>
      </c>
      <c r="M10" s="16">
        <f t="shared" si="0"/>
        <v>8684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/>
      <c r="T10" s="17"/>
      <c r="U10" s="17"/>
      <c r="V10" s="18">
        <v>2</v>
      </c>
      <c r="W10" s="19"/>
      <c r="X10" s="17"/>
      <c r="Y10" s="20"/>
      <c r="Z10" s="20"/>
      <c r="AA10" s="21"/>
      <c r="AB10" s="8">
        <f t="shared" si="4"/>
        <v>0.99930955120828535</v>
      </c>
      <c r="AC10" s="9">
        <f t="shared" si="5"/>
        <v>0.91666666666666663</v>
      </c>
      <c r="AD10" s="10">
        <f t="shared" si="6"/>
        <v>0.91603375527426156</v>
      </c>
      <c r="AE10" s="39">
        <f t="shared" si="7"/>
        <v>0.38579369294515797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217</v>
      </c>
      <c r="E11" s="56" t="s">
        <v>218</v>
      </c>
      <c r="F11" s="12" t="s">
        <v>219</v>
      </c>
      <c r="G11" s="12">
        <v>1</v>
      </c>
      <c r="H11" s="13">
        <v>25</v>
      </c>
      <c r="I11" s="34">
        <v>20000</v>
      </c>
      <c r="J11" s="14">
        <v>5320</v>
      </c>
      <c r="K11" s="15">
        <f>L11+4637+5196+4992+2453+5311</f>
        <v>22589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0.38579369294515797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203</v>
      </c>
      <c r="D12" s="55" t="s">
        <v>371</v>
      </c>
      <c r="E12" s="57" t="s">
        <v>372</v>
      </c>
      <c r="F12" s="12" t="s">
        <v>143</v>
      </c>
      <c r="G12" s="12">
        <v>1</v>
      </c>
      <c r="H12" s="13">
        <v>25</v>
      </c>
      <c r="I12" s="7">
        <v>2000</v>
      </c>
      <c r="J12" s="14">
        <v>2220</v>
      </c>
      <c r="K12" s="15">
        <f>L12+2218</f>
        <v>2218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0.38579369294515797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156</v>
      </c>
      <c r="D13" s="55" t="s">
        <v>415</v>
      </c>
      <c r="E13" s="56" t="s">
        <v>416</v>
      </c>
      <c r="F13" s="12" t="s">
        <v>417</v>
      </c>
      <c r="G13" s="12">
        <v>1</v>
      </c>
      <c r="H13" s="13">
        <v>25</v>
      </c>
      <c r="I13" s="7">
        <v>1000</v>
      </c>
      <c r="J13" s="14">
        <v>2970</v>
      </c>
      <c r="K13" s="15">
        <f>L13</f>
        <v>2967</v>
      </c>
      <c r="L13" s="15">
        <f>1021+1946</f>
        <v>2967</v>
      </c>
      <c r="M13" s="16">
        <f t="shared" si="0"/>
        <v>2967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/>
      <c r="T13" s="17"/>
      <c r="U13" s="17"/>
      <c r="V13" s="18"/>
      <c r="W13" s="19">
        <v>6</v>
      </c>
      <c r="X13" s="17"/>
      <c r="Y13" s="20"/>
      <c r="Z13" s="20"/>
      <c r="AA13" s="21"/>
      <c r="AB13" s="8">
        <f t="shared" si="4"/>
        <v>0.99898989898989898</v>
      </c>
      <c r="AC13" s="9">
        <f t="shared" si="5"/>
        <v>0.75</v>
      </c>
      <c r="AD13" s="10">
        <f t="shared" si="6"/>
        <v>0.74924242424242427</v>
      </c>
      <c r="AE13" s="39">
        <f t="shared" si="7"/>
        <v>0.38579369294515797</v>
      </c>
      <c r="AF13" s="94">
        <f t="shared" si="8"/>
        <v>8</v>
      </c>
    </row>
    <row r="14" spans="1:36" ht="27" customHeight="1">
      <c r="A14" s="109">
        <v>9</v>
      </c>
      <c r="B14" s="11"/>
      <c r="C14" s="37"/>
      <c r="D14" s="55"/>
      <c r="E14" s="57"/>
      <c r="F14" s="33"/>
      <c r="G14" s="36"/>
      <c r="H14" s="38"/>
      <c r="I14" s="7"/>
      <c r="J14" s="5"/>
      <c r="K14" s="15"/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0.38579369294515797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</f>
        <v>20640</v>
      </c>
      <c r="L15" s="15">
        <f>2580*8</f>
        <v>20640</v>
      </c>
      <c r="M15" s="16">
        <f t="shared" si="0"/>
        <v>20640</v>
      </c>
      <c r="N15" s="16">
        <v>0</v>
      </c>
      <c r="O15" s="62">
        <f t="shared" si="1"/>
        <v>0</v>
      </c>
      <c r="P15" s="42">
        <f t="shared" si="2"/>
        <v>14</v>
      </c>
      <c r="Q15" s="43">
        <f t="shared" si="3"/>
        <v>10</v>
      </c>
      <c r="R15" s="7"/>
      <c r="S15" s="6"/>
      <c r="T15" s="17"/>
      <c r="U15" s="17"/>
      <c r="V15" s="18"/>
      <c r="W15" s="19">
        <v>10</v>
      </c>
      <c r="X15" s="17"/>
      <c r="Y15" s="20"/>
      <c r="Z15" s="20"/>
      <c r="AA15" s="21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9">
        <f t="shared" si="7"/>
        <v>0.38579369294515797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5010</v>
      </c>
      <c r="K16" s="15">
        <f>L16</f>
        <v>5007</v>
      </c>
      <c r="L16" s="15">
        <f>3020+1987</f>
        <v>5007</v>
      </c>
      <c r="M16" s="16">
        <f t="shared" si="0"/>
        <v>5007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0.9994011976047904</v>
      </c>
      <c r="AC16" s="9">
        <f t="shared" si="5"/>
        <v>0.95833333333333337</v>
      </c>
      <c r="AD16" s="10">
        <f t="shared" si="6"/>
        <v>0.95775948103792419</v>
      </c>
      <c r="AE16" s="39">
        <f t="shared" si="7"/>
        <v>0.38579369294515797</v>
      </c>
      <c r="AF16" s="94">
        <f>A16</f>
        <v>11</v>
      </c>
      <c r="AJ16" s="15"/>
    </row>
    <row r="17" spans="1:32" ht="27" customHeight="1">
      <c r="A17" s="109">
        <v>12</v>
      </c>
      <c r="B17" s="11"/>
      <c r="C17" s="37"/>
      <c r="D17" s="55"/>
      <c r="E17" s="56"/>
      <c r="F17" s="12"/>
      <c r="G17" s="12"/>
      <c r="H17" s="13"/>
      <c r="I17" s="34"/>
      <c r="J17" s="5"/>
      <c r="K17" s="15"/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 t="str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0.38579369294515797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373</v>
      </c>
      <c r="D18" s="55" t="s">
        <v>260</v>
      </c>
      <c r="E18" s="57" t="s">
        <v>374</v>
      </c>
      <c r="F18" s="33" t="s">
        <v>259</v>
      </c>
      <c r="G18" s="12">
        <v>1</v>
      </c>
      <c r="H18" s="13">
        <v>25</v>
      </c>
      <c r="I18" s="34">
        <v>40000</v>
      </c>
      <c r="J18" s="5">
        <v>7350</v>
      </c>
      <c r="K18" s="15">
        <f>L18+10802</f>
        <v>18144</v>
      </c>
      <c r="L18" s="15">
        <f>2926*2+745*2</f>
        <v>7342</v>
      </c>
      <c r="M18" s="16">
        <f t="shared" si="0"/>
        <v>7342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0.99891156462585029</v>
      </c>
      <c r="AC18" s="9">
        <f t="shared" si="5"/>
        <v>0.83333333333333337</v>
      </c>
      <c r="AD18" s="10">
        <f t="shared" si="6"/>
        <v>0.83242630385487526</v>
      </c>
      <c r="AE18" s="39">
        <f t="shared" si="7"/>
        <v>0.38579369294515797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425</v>
      </c>
      <c r="F19" s="33" t="s">
        <v>132</v>
      </c>
      <c r="G19" s="36">
        <v>1</v>
      </c>
      <c r="H19" s="38">
        <v>25</v>
      </c>
      <c r="I19" s="7">
        <v>30000</v>
      </c>
      <c r="J19" s="5">
        <v>4610</v>
      </c>
      <c r="K19" s="15">
        <f>L19</f>
        <v>4606</v>
      </c>
      <c r="L19" s="15">
        <f>2688+1918</f>
        <v>4606</v>
      </c>
      <c r="M19" s="16">
        <f t="shared" si="0"/>
        <v>4606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/>
      <c r="T19" s="17">
        <v>1</v>
      </c>
      <c r="U19" s="17"/>
      <c r="V19" s="18"/>
      <c r="W19" s="19"/>
      <c r="X19" s="17"/>
      <c r="Y19" s="20"/>
      <c r="Z19" s="20"/>
      <c r="AA19" s="21"/>
      <c r="AB19" s="8">
        <f t="shared" si="4"/>
        <v>0.99913232104121474</v>
      </c>
      <c r="AC19" s="9">
        <f t="shared" si="5"/>
        <v>0.95833333333333337</v>
      </c>
      <c r="AD19" s="10">
        <f t="shared" si="6"/>
        <v>0.95750180766449755</v>
      </c>
      <c r="AE19" s="39">
        <f t="shared" si="7"/>
        <v>0.38579369294515797</v>
      </c>
      <c r="AF19" s="94">
        <f t="shared" si="8"/>
        <v>14</v>
      </c>
    </row>
    <row r="20" spans="1:32" ht="27" customHeight="1" thickBot="1">
      <c r="A20" s="110">
        <v>15</v>
      </c>
      <c r="B20" s="11"/>
      <c r="C20" s="11"/>
      <c r="D20" s="55"/>
      <c r="E20" s="56"/>
      <c r="F20" s="12"/>
      <c r="G20" s="12"/>
      <c r="H20" s="38"/>
      <c r="I20" s="7"/>
      <c r="J20" s="14"/>
      <c r="K20" s="15"/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 t="str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0.38579369294515797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268000</v>
      </c>
      <c r="J21" s="22">
        <f t="shared" si="9"/>
        <v>65710</v>
      </c>
      <c r="K21" s="23">
        <f t="shared" si="9"/>
        <v>186373</v>
      </c>
      <c r="L21" s="24">
        <f t="shared" si="9"/>
        <v>52981</v>
      </c>
      <c r="M21" s="23">
        <f t="shared" si="9"/>
        <v>52981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139</v>
      </c>
      <c r="Q21" s="46">
        <f t="shared" si="10"/>
        <v>221</v>
      </c>
      <c r="R21" s="26">
        <f t="shared" si="10"/>
        <v>24</v>
      </c>
      <c r="S21" s="27">
        <f t="shared" si="10"/>
        <v>9</v>
      </c>
      <c r="T21" s="27">
        <f t="shared" si="10"/>
        <v>2</v>
      </c>
      <c r="U21" s="27">
        <f t="shared" si="10"/>
        <v>0</v>
      </c>
      <c r="V21" s="28">
        <f t="shared" si="10"/>
        <v>2</v>
      </c>
      <c r="W21" s="29">
        <f t="shared" si="10"/>
        <v>184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0.4662938423382878</v>
      </c>
      <c r="AC21" s="4">
        <f>SUM(AC6:AC20)/15</f>
        <v>0.38611111111111107</v>
      </c>
      <c r="AD21" s="4">
        <f>SUM(AD6:AD20)/15</f>
        <v>0.38579369294515797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426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438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198" t="s">
        <v>47</v>
      </c>
      <c r="D50" s="198" t="s">
        <v>48</v>
      </c>
      <c r="E50" s="198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198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427</v>
      </c>
      <c r="B51" s="410"/>
      <c r="C51" s="199" t="s">
        <v>308</v>
      </c>
      <c r="D51" s="200" t="s">
        <v>428</v>
      </c>
      <c r="E51" s="199" t="s">
        <v>429</v>
      </c>
      <c r="F51" s="394" t="s">
        <v>279</v>
      </c>
      <c r="G51" s="394"/>
      <c r="H51" s="394"/>
      <c r="I51" s="394"/>
      <c r="J51" s="394"/>
      <c r="K51" s="394"/>
      <c r="L51" s="394"/>
      <c r="M51" s="404"/>
      <c r="N51" s="204" t="s">
        <v>439</v>
      </c>
      <c r="O51" s="74" t="s">
        <v>196</v>
      </c>
      <c r="P51" s="411" t="s">
        <v>440</v>
      </c>
      <c r="Q51" s="412"/>
      <c r="R51" s="403"/>
      <c r="S51" s="403"/>
      <c r="T51" s="403"/>
      <c r="U51" s="403"/>
      <c r="V51" s="394" t="s">
        <v>177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346</v>
      </c>
      <c r="B52" s="410"/>
      <c r="C52" s="199" t="s">
        <v>386</v>
      </c>
      <c r="D52" s="200" t="s">
        <v>234</v>
      </c>
      <c r="E52" s="199" t="s">
        <v>416</v>
      </c>
      <c r="F52" s="394" t="s">
        <v>430</v>
      </c>
      <c r="G52" s="394"/>
      <c r="H52" s="394"/>
      <c r="I52" s="394"/>
      <c r="J52" s="394"/>
      <c r="K52" s="394"/>
      <c r="L52" s="394"/>
      <c r="M52" s="404"/>
      <c r="N52" s="204"/>
      <c r="O52" s="74"/>
      <c r="P52" s="411"/>
      <c r="Q52" s="412"/>
      <c r="R52" s="403"/>
      <c r="S52" s="403"/>
      <c r="T52" s="403"/>
      <c r="U52" s="403"/>
      <c r="V52" s="394"/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137</v>
      </c>
      <c r="B53" s="410"/>
      <c r="C53" s="199" t="s">
        <v>178</v>
      </c>
      <c r="D53" s="200" t="s">
        <v>381</v>
      </c>
      <c r="E53" s="199" t="s">
        <v>382</v>
      </c>
      <c r="F53" s="394" t="s">
        <v>431</v>
      </c>
      <c r="G53" s="394"/>
      <c r="H53" s="394"/>
      <c r="I53" s="394"/>
      <c r="J53" s="394"/>
      <c r="K53" s="394"/>
      <c r="L53" s="394"/>
      <c r="M53" s="404"/>
      <c r="N53" s="204"/>
      <c r="O53" s="74"/>
      <c r="P53" s="411"/>
      <c r="Q53" s="412"/>
      <c r="R53" s="403"/>
      <c r="S53" s="403"/>
      <c r="T53" s="403"/>
      <c r="U53" s="403"/>
      <c r="V53" s="394"/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119</v>
      </c>
      <c r="B54" s="410"/>
      <c r="C54" s="199" t="s">
        <v>432</v>
      </c>
      <c r="D54" s="200" t="s">
        <v>433</v>
      </c>
      <c r="E54" s="199" t="s">
        <v>423</v>
      </c>
      <c r="F54" s="394" t="s">
        <v>434</v>
      </c>
      <c r="G54" s="394"/>
      <c r="H54" s="394"/>
      <c r="I54" s="394"/>
      <c r="J54" s="394"/>
      <c r="K54" s="394"/>
      <c r="L54" s="394"/>
      <c r="M54" s="404"/>
      <c r="N54" s="204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119</v>
      </c>
      <c r="B55" s="410"/>
      <c r="C55" s="199" t="s">
        <v>435</v>
      </c>
      <c r="D55" s="200" t="s">
        <v>436</v>
      </c>
      <c r="E55" s="199" t="s">
        <v>437</v>
      </c>
      <c r="F55" s="394" t="s">
        <v>393</v>
      </c>
      <c r="G55" s="394"/>
      <c r="H55" s="394"/>
      <c r="I55" s="394"/>
      <c r="J55" s="394"/>
      <c r="K55" s="394"/>
      <c r="L55" s="394"/>
      <c r="M55" s="404"/>
      <c r="N55" s="204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441</v>
      </c>
      <c r="B56" s="410"/>
      <c r="C56" s="199" t="s">
        <v>442</v>
      </c>
      <c r="D56" s="200"/>
      <c r="E56" s="199" t="s">
        <v>443</v>
      </c>
      <c r="F56" s="394" t="s">
        <v>177</v>
      </c>
      <c r="G56" s="394"/>
      <c r="H56" s="394"/>
      <c r="I56" s="394"/>
      <c r="J56" s="394"/>
      <c r="K56" s="394"/>
      <c r="L56" s="394"/>
      <c r="M56" s="404"/>
      <c r="N56" s="204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199"/>
      <c r="D57" s="200"/>
      <c r="E57" s="199"/>
      <c r="F57" s="394"/>
      <c r="G57" s="394"/>
      <c r="H57" s="394"/>
      <c r="I57" s="394"/>
      <c r="J57" s="394"/>
      <c r="K57" s="394"/>
      <c r="L57" s="394"/>
      <c r="M57" s="404"/>
      <c r="N57" s="204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199"/>
      <c r="D58" s="200"/>
      <c r="E58" s="199"/>
      <c r="F58" s="394"/>
      <c r="G58" s="394"/>
      <c r="H58" s="394"/>
      <c r="I58" s="394"/>
      <c r="J58" s="394"/>
      <c r="K58" s="394"/>
      <c r="L58" s="394"/>
      <c r="M58" s="404"/>
      <c r="N58" s="204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00"/>
      <c r="D59" s="200"/>
      <c r="E59" s="200"/>
      <c r="F59" s="394"/>
      <c r="G59" s="394"/>
      <c r="H59" s="394"/>
      <c r="I59" s="394"/>
      <c r="J59" s="394"/>
      <c r="K59" s="394"/>
      <c r="L59" s="394"/>
      <c r="M59" s="404"/>
      <c r="N59" s="204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02"/>
      <c r="D60" s="202"/>
      <c r="E60" s="202"/>
      <c r="F60" s="407"/>
      <c r="G60" s="407"/>
      <c r="H60" s="407"/>
      <c r="I60" s="407"/>
      <c r="J60" s="407"/>
      <c r="K60" s="407"/>
      <c r="L60" s="407"/>
      <c r="M60" s="408"/>
      <c r="N60" s="201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444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03" t="s">
        <v>2</v>
      </c>
      <c r="D62" s="203" t="s">
        <v>38</v>
      </c>
      <c r="E62" s="203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03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207"/>
      <c r="E63" s="205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207"/>
      <c r="E64" s="205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07"/>
      <c r="E65" s="205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07"/>
      <c r="E66" s="205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07"/>
      <c r="E67" s="205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07"/>
      <c r="E68" s="205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07"/>
      <c r="E69" s="205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07"/>
      <c r="E70" s="205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445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06" t="s">
        <v>2</v>
      </c>
      <c r="D72" s="206" t="s">
        <v>38</v>
      </c>
      <c r="E72" s="206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08" t="s">
        <v>118</v>
      </c>
      <c r="D73" s="208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07" t="s">
        <v>118</v>
      </c>
      <c r="D74" s="207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207" t="s">
        <v>137</v>
      </c>
      <c r="D75" s="207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207" t="s">
        <v>119</v>
      </c>
      <c r="D76" s="207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207" t="s">
        <v>119</v>
      </c>
      <c r="D77" s="207"/>
      <c r="E77" s="35" t="s">
        <v>332</v>
      </c>
      <c r="F77" s="351" t="s">
        <v>410</v>
      </c>
      <c r="G77" s="351"/>
      <c r="H77" s="351"/>
      <c r="I77" s="351"/>
      <c r="J77" s="351"/>
      <c r="K77" s="365" t="s">
        <v>411</v>
      </c>
      <c r="L77" s="366"/>
      <c r="M77" s="366"/>
      <c r="N77" s="366"/>
      <c r="O77" s="366"/>
      <c r="P77" s="366"/>
      <c r="Q77" s="366"/>
      <c r="R77" s="366"/>
      <c r="S77" s="367"/>
      <c r="T77" s="368">
        <v>43022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207" t="s">
        <v>119</v>
      </c>
      <c r="D78" s="207"/>
      <c r="E78" s="35" t="s">
        <v>179</v>
      </c>
      <c r="F78" s="351" t="s">
        <v>412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207"/>
      <c r="D79" s="207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207"/>
      <c r="D80" s="207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207"/>
      <c r="D81" s="207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446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U13" sqref="U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447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0.44394063074907353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0.44394063074907353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5870</v>
      </c>
      <c r="K8" s="15">
        <f>L8+3338+5408+3735</f>
        <v>18343</v>
      </c>
      <c r="L8" s="15">
        <f>3066+2796</f>
        <v>5862</v>
      </c>
      <c r="M8" s="16">
        <f t="shared" si="0"/>
        <v>5862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0.99863713798977849</v>
      </c>
      <c r="AC8" s="9">
        <f t="shared" si="5"/>
        <v>1</v>
      </c>
      <c r="AD8" s="10">
        <f t="shared" si="6"/>
        <v>0.99863713798977849</v>
      </c>
      <c r="AE8" s="39">
        <f t="shared" si="7"/>
        <v>0.44394063074907353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448</v>
      </c>
      <c r="D9" s="55"/>
      <c r="E9" s="56" t="s">
        <v>449</v>
      </c>
      <c r="F9" s="12">
        <v>7301</v>
      </c>
      <c r="G9" s="233" t="s">
        <v>450</v>
      </c>
      <c r="H9" s="38">
        <v>25</v>
      </c>
      <c r="I9" s="34">
        <v>1000</v>
      </c>
      <c r="J9" s="5">
        <v>2290</v>
      </c>
      <c r="K9" s="15">
        <f>L9</f>
        <v>2286</v>
      </c>
      <c r="L9" s="15">
        <v>2286</v>
      </c>
      <c r="M9" s="16">
        <f t="shared" si="0"/>
        <v>2286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/>
      <c r="T9" s="17"/>
      <c r="U9" s="17"/>
      <c r="V9" s="18"/>
      <c r="W9" s="19">
        <v>10</v>
      </c>
      <c r="X9" s="17"/>
      <c r="Y9" s="20"/>
      <c r="Z9" s="20"/>
      <c r="AA9" s="21"/>
      <c r="AB9" s="8">
        <f t="shared" si="4"/>
        <v>0.99825327510917028</v>
      </c>
      <c r="AC9" s="9">
        <f t="shared" si="5"/>
        <v>0.58333333333333337</v>
      </c>
      <c r="AD9" s="10">
        <f t="shared" si="6"/>
        <v>0.58231441048034938</v>
      </c>
      <c r="AE9" s="39">
        <f t="shared" si="7"/>
        <v>0.44394063074907353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10630</v>
      </c>
      <c r="K10" s="15">
        <f>L10+5816+6288+3800+8500+8684</f>
        <v>43716</v>
      </c>
      <c r="L10" s="15">
        <f>2747*2+2567*2</f>
        <v>10628</v>
      </c>
      <c r="M10" s="16">
        <f t="shared" si="0"/>
        <v>10628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0.99981185324553157</v>
      </c>
      <c r="AC10" s="9">
        <f t="shared" si="5"/>
        <v>1</v>
      </c>
      <c r="AD10" s="10">
        <f t="shared" si="6"/>
        <v>0.99981185324553157</v>
      </c>
      <c r="AE10" s="39">
        <f t="shared" si="7"/>
        <v>0.44394063074907353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451</v>
      </c>
      <c r="E11" s="56" t="s">
        <v>452</v>
      </c>
      <c r="F11" s="12" t="s">
        <v>453</v>
      </c>
      <c r="G11" s="12">
        <v>1</v>
      </c>
      <c r="H11" s="13">
        <v>25</v>
      </c>
      <c r="I11" s="34">
        <v>7000</v>
      </c>
      <c r="J11" s="14">
        <v>4740</v>
      </c>
      <c r="K11" s="15">
        <f>L11</f>
        <v>4738</v>
      </c>
      <c r="L11" s="15">
        <f>1597+3141</f>
        <v>4738</v>
      </c>
      <c r="M11" s="16">
        <f t="shared" si="0"/>
        <v>4738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0.99957805907172992</v>
      </c>
      <c r="AC11" s="9">
        <f t="shared" si="5"/>
        <v>0.91666666666666663</v>
      </c>
      <c r="AD11" s="10">
        <f t="shared" si="6"/>
        <v>0.91627988748241906</v>
      </c>
      <c r="AE11" s="39">
        <f t="shared" si="7"/>
        <v>0.44394063074907353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454</v>
      </c>
      <c r="D12" s="55"/>
      <c r="E12" s="57" t="s">
        <v>455</v>
      </c>
      <c r="F12" s="12">
        <v>7301</v>
      </c>
      <c r="G12" s="12" t="s">
        <v>456</v>
      </c>
      <c r="H12" s="13">
        <v>25</v>
      </c>
      <c r="I12" s="7">
        <v>1000</v>
      </c>
      <c r="J12" s="14">
        <v>2270</v>
      </c>
      <c r="K12" s="15">
        <f>L12</f>
        <v>2261</v>
      </c>
      <c r="L12" s="15">
        <f>2261</f>
        <v>2261</v>
      </c>
      <c r="M12" s="16">
        <f t="shared" si="0"/>
        <v>2261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/>
      <c r="U12" s="17"/>
      <c r="V12" s="18"/>
      <c r="W12" s="19">
        <v>10</v>
      </c>
      <c r="X12" s="17"/>
      <c r="Y12" s="20"/>
      <c r="Z12" s="20"/>
      <c r="AA12" s="21"/>
      <c r="AB12" s="8">
        <f t="shared" si="4"/>
        <v>0.99603524229074891</v>
      </c>
      <c r="AC12" s="9">
        <f t="shared" si="5"/>
        <v>0.58333333333333337</v>
      </c>
      <c r="AD12" s="10">
        <f t="shared" si="6"/>
        <v>0.58102055800293695</v>
      </c>
      <c r="AE12" s="39">
        <f t="shared" si="7"/>
        <v>0.44394063074907353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156</v>
      </c>
      <c r="D13" s="55" t="s">
        <v>415</v>
      </c>
      <c r="E13" s="56" t="s">
        <v>416</v>
      </c>
      <c r="F13" s="12" t="s">
        <v>417</v>
      </c>
      <c r="G13" s="12">
        <v>1</v>
      </c>
      <c r="H13" s="13">
        <v>25</v>
      </c>
      <c r="I13" s="7">
        <v>1000</v>
      </c>
      <c r="J13" s="14">
        <v>2970</v>
      </c>
      <c r="K13" s="15">
        <f>L13+2967</f>
        <v>2967</v>
      </c>
      <c r="L13" s="15">
        <v>0</v>
      </c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0.44394063074907353</v>
      </c>
      <c r="AF13" s="94">
        <f t="shared" si="8"/>
        <v>8</v>
      </c>
    </row>
    <row r="14" spans="1:36" ht="27" customHeight="1">
      <c r="A14" s="109">
        <v>9</v>
      </c>
      <c r="B14" s="11"/>
      <c r="C14" s="37"/>
      <c r="D14" s="55"/>
      <c r="E14" s="57"/>
      <c r="F14" s="33"/>
      <c r="G14" s="36"/>
      <c r="H14" s="38"/>
      <c r="I14" s="7"/>
      <c r="J14" s="5"/>
      <c r="K14" s="15"/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0.44394063074907353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0.44394063074907353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</f>
        <v>7847</v>
      </c>
      <c r="L16" s="15">
        <f>2722+118</f>
        <v>2840</v>
      </c>
      <c r="M16" s="16">
        <f t="shared" si="0"/>
        <v>2840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>
        <v>10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9">
        <f t="shared" si="7"/>
        <v>0.44394063074907353</v>
      </c>
      <c r="AF16" s="94">
        <f>A16</f>
        <v>11</v>
      </c>
      <c r="AJ16" s="15"/>
    </row>
    <row r="17" spans="1:32" ht="27" customHeight="1">
      <c r="A17" s="109">
        <v>12</v>
      </c>
      <c r="B17" s="11"/>
      <c r="C17" s="37"/>
      <c r="D17" s="55"/>
      <c r="E17" s="56"/>
      <c r="F17" s="12"/>
      <c r="G17" s="12"/>
      <c r="H17" s="13"/>
      <c r="I17" s="34"/>
      <c r="J17" s="5"/>
      <c r="K17" s="15"/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 t="str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0.44394063074907353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373</v>
      </c>
      <c r="D18" s="55" t="s">
        <v>260</v>
      </c>
      <c r="E18" s="57" t="s">
        <v>374</v>
      </c>
      <c r="F18" s="33" t="s">
        <v>259</v>
      </c>
      <c r="G18" s="12">
        <v>1</v>
      </c>
      <c r="H18" s="13">
        <v>25</v>
      </c>
      <c r="I18" s="34">
        <v>40000</v>
      </c>
      <c r="J18" s="5">
        <v>11250</v>
      </c>
      <c r="K18" s="15">
        <f>L18+10802+7342</f>
        <v>29388</v>
      </c>
      <c r="L18" s="15">
        <f>2925*2+2697*2</f>
        <v>11244</v>
      </c>
      <c r="M18" s="16">
        <f t="shared" si="0"/>
        <v>11244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0.99946666666666661</v>
      </c>
      <c r="AC18" s="9">
        <f t="shared" si="5"/>
        <v>1</v>
      </c>
      <c r="AD18" s="10">
        <f t="shared" si="6"/>
        <v>0.99946666666666661</v>
      </c>
      <c r="AE18" s="39">
        <f t="shared" si="7"/>
        <v>0.44394063074907353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425</v>
      </c>
      <c r="F19" s="33" t="s">
        <v>132</v>
      </c>
      <c r="G19" s="36">
        <v>1</v>
      </c>
      <c r="H19" s="38">
        <v>25</v>
      </c>
      <c r="I19" s="7">
        <v>30000</v>
      </c>
      <c r="J19" s="5">
        <v>5130</v>
      </c>
      <c r="K19" s="15">
        <f>L19+4606</f>
        <v>9727</v>
      </c>
      <c r="L19" s="15">
        <f>2658+2463</f>
        <v>5121</v>
      </c>
      <c r="M19" s="16">
        <f t="shared" si="0"/>
        <v>5121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0.99824561403508771</v>
      </c>
      <c r="AC19" s="9">
        <f t="shared" si="5"/>
        <v>1</v>
      </c>
      <c r="AD19" s="10">
        <f t="shared" si="6"/>
        <v>0.99824561403508771</v>
      </c>
      <c r="AE19" s="39">
        <f t="shared" si="7"/>
        <v>0.44394063074907353</v>
      </c>
      <c r="AF19" s="94">
        <f t="shared" si="8"/>
        <v>14</v>
      </c>
    </row>
    <row r="20" spans="1:32" ht="27" customHeight="1" thickBot="1">
      <c r="A20" s="110">
        <v>15</v>
      </c>
      <c r="B20" s="11"/>
      <c r="C20" s="11"/>
      <c r="D20" s="55"/>
      <c r="E20" s="56"/>
      <c r="F20" s="12"/>
      <c r="G20" s="12"/>
      <c r="H20" s="38"/>
      <c r="I20" s="7"/>
      <c r="J20" s="14"/>
      <c r="K20" s="15"/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 t="str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0.44394063074907353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200000</v>
      </c>
      <c r="J21" s="22">
        <f t="shared" si="9"/>
        <v>68630</v>
      </c>
      <c r="K21" s="23">
        <f t="shared" si="9"/>
        <v>141913</v>
      </c>
      <c r="L21" s="24">
        <f t="shared" si="9"/>
        <v>44980</v>
      </c>
      <c r="M21" s="23">
        <f t="shared" si="9"/>
        <v>44980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160</v>
      </c>
      <c r="Q21" s="46">
        <f t="shared" si="10"/>
        <v>200</v>
      </c>
      <c r="R21" s="26">
        <f t="shared" si="10"/>
        <v>34</v>
      </c>
      <c r="S21" s="27">
        <f t="shared" si="10"/>
        <v>0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164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0.53266852322724756</v>
      </c>
      <c r="AC21" s="4">
        <f>SUM(AC6:AC20)/15</f>
        <v>0.44444444444444442</v>
      </c>
      <c r="AD21" s="4">
        <f>SUM(AD6:AD20)/15</f>
        <v>0.44394063074907353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457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464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19" t="s">
        <v>47</v>
      </c>
      <c r="D50" s="219" t="s">
        <v>48</v>
      </c>
      <c r="E50" s="219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19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119</v>
      </c>
      <c r="B51" s="410"/>
      <c r="C51" s="218" t="s">
        <v>458</v>
      </c>
      <c r="D51" s="215" t="s">
        <v>451</v>
      </c>
      <c r="E51" s="218" t="s">
        <v>452</v>
      </c>
      <c r="F51" s="394" t="s">
        <v>459</v>
      </c>
      <c r="G51" s="394"/>
      <c r="H51" s="394"/>
      <c r="I51" s="394"/>
      <c r="J51" s="394"/>
      <c r="K51" s="394"/>
      <c r="L51" s="394"/>
      <c r="M51" s="404"/>
      <c r="N51" s="214" t="s">
        <v>465</v>
      </c>
      <c r="O51" s="74" t="s">
        <v>466</v>
      </c>
      <c r="P51" s="411" t="s">
        <v>440</v>
      </c>
      <c r="Q51" s="412"/>
      <c r="R51" s="403" t="s">
        <v>467</v>
      </c>
      <c r="S51" s="403"/>
      <c r="T51" s="403"/>
      <c r="U51" s="403"/>
      <c r="V51" s="394" t="s">
        <v>177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460</v>
      </c>
      <c r="B52" s="410"/>
      <c r="C52" s="218" t="s">
        <v>461</v>
      </c>
      <c r="D52" s="215"/>
      <c r="E52" s="218" t="s">
        <v>449</v>
      </c>
      <c r="F52" s="394" t="s">
        <v>177</v>
      </c>
      <c r="G52" s="394"/>
      <c r="H52" s="394"/>
      <c r="I52" s="394"/>
      <c r="J52" s="394"/>
      <c r="K52" s="394"/>
      <c r="L52" s="394"/>
      <c r="M52" s="404"/>
      <c r="N52" s="214" t="s">
        <v>119</v>
      </c>
      <c r="O52" s="74" t="s">
        <v>468</v>
      </c>
      <c r="P52" s="411" t="s">
        <v>469</v>
      </c>
      <c r="Q52" s="412"/>
      <c r="R52" s="403" t="s">
        <v>470</v>
      </c>
      <c r="S52" s="403"/>
      <c r="T52" s="403"/>
      <c r="U52" s="403"/>
      <c r="V52" s="394" t="s">
        <v>177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460</v>
      </c>
      <c r="B53" s="410"/>
      <c r="C53" s="218" t="s">
        <v>462</v>
      </c>
      <c r="D53" s="215"/>
      <c r="E53" s="218" t="s">
        <v>463</v>
      </c>
      <c r="F53" s="394" t="s">
        <v>177</v>
      </c>
      <c r="G53" s="394"/>
      <c r="H53" s="394"/>
      <c r="I53" s="394"/>
      <c r="J53" s="394"/>
      <c r="K53" s="394"/>
      <c r="L53" s="394"/>
      <c r="M53" s="404"/>
      <c r="N53" s="214" t="s">
        <v>119</v>
      </c>
      <c r="O53" s="74" t="s">
        <v>461</v>
      </c>
      <c r="P53" s="411" t="s">
        <v>471</v>
      </c>
      <c r="Q53" s="412"/>
      <c r="R53" s="403" t="s">
        <v>472</v>
      </c>
      <c r="S53" s="403"/>
      <c r="T53" s="403"/>
      <c r="U53" s="403"/>
      <c r="V53" s="394" t="s">
        <v>177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/>
      <c r="B54" s="410"/>
      <c r="C54" s="218"/>
      <c r="D54" s="215"/>
      <c r="E54" s="218"/>
      <c r="F54" s="394"/>
      <c r="G54" s="394"/>
      <c r="H54" s="394"/>
      <c r="I54" s="394"/>
      <c r="J54" s="394"/>
      <c r="K54" s="394"/>
      <c r="L54" s="394"/>
      <c r="M54" s="404"/>
      <c r="N54" s="214" t="s">
        <v>474</v>
      </c>
      <c r="O54" s="74" t="s">
        <v>475</v>
      </c>
      <c r="P54" s="411"/>
      <c r="Q54" s="412"/>
      <c r="R54" s="403" t="s">
        <v>473</v>
      </c>
      <c r="S54" s="403"/>
      <c r="T54" s="403"/>
      <c r="U54" s="403"/>
      <c r="V54" s="394" t="s">
        <v>177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218"/>
      <c r="D55" s="215"/>
      <c r="E55" s="218"/>
      <c r="F55" s="394"/>
      <c r="G55" s="394"/>
      <c r="H55" s="394"/>
      <c r="I55" s="394"/>
      <c r="J55" s="394"/>
      <c r="K55" s="394"/>
      <c r="L55" s="394"/>
      <c r="M55" s="404"/>
      <c r="N55" s="214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18"/>
      <c r="D56" s="215"/>
      <c r="E56" s="218"/>
      <c r="F56" s="394"/>
      <c r="G56" s="394"/>
      <c r="H56" s="394"/>
      <c r="I56" s="394"/>
      <c r="J56" s="394"/>
      <c r="K56" s="394"/>
      <c r="L56" s="394"/>
      <c r="M56" s="404"/>
      <c r="N56" s="214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18"/>
      <c r="D57" s="215"/>
      <c r="E57" s="218"/>
      <c r="F57" s="394"/>
      <c r="G57" s="394"/>
      <c r="H57" s="394"/>
      <c r="I57" s="394"/>
      <c r="J57" s="394"/>
      <c r="K57" s="394"/>
      <c r="L57" s="394"/>
      <c r="M57" s="404"/>
      <c r="N57" s="214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18"/>
      <c r="D58" s="215"/>
      <c r="E58" s="218"/>
      <c r="F58" s="394"/>
      <c r="G58" s="394"/>
      <c r="H58" s="394"/>
      <c r="I58" s="394"/>
      <c r="J58" s="394"/>
      <c r="K58" s="394"/>
      <c r="L58" s="394"/>
      <c r="M58" s="404"/>
      <c r="N58" s="214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15"/>
      <c r="D59" s="215"/>
      <c r="E59" s="215"/>
      <c r="F59" s="394"/>
      <c r="G59" s="394"/>
      <c r="H59" s="394"/>
      <c r="I59" s="394"/>
      <c r="J59" s="394"/>
      <c r="K59" s="394"/>
      <c r="L59" s="394"/>
      <c r="M59" s="404"/>
      <c r="N59" s="214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17"/>
      <c r="D60" s="217"/>
      <c r="E60" s="217"/>
      <c r="F60" s="407"/>
      <c r="G60" s="407"/>
      <c r="H60" s="407"/>
      <c r="I60" s="407"/>
      <c r="J60" s="407"/>
      <c r="K60" s="407"/>
      <c r="L60" s="407"/>
      <c r="M60" s="408"/>
      <c r="N60" s="216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476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13" t="s">
        <v>2</v>
      </c>
      <c r="D62" s="213" t="s">
        <v>38</v>
      </c>
      <c r="E62" s="213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13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477</v>
      </c>
      <c r="D63" s="209"/>
      <c r="E63" s="211" t="s">
        <v>469</v>
      </c>
      <c r="F63" s="392" t="s">
        <v>478</v>
      </c>
      <c r="G63" s="382"/>
      <c r="H63" s="382"/>
      <c r="I63" s="382"/>
      <c r="J63" s="382"/>
      <c r="K63" s="382" t="s">
        <v>479</v>
      </c>
      <c r="L63" s="382"/>
      <c r="M63" s="54" t="s">
        <v>480</v>
      </c>
      <c r="N63" s="382">
        <v>7</v>
      </c>
      <c r="O63" s="382"/>
      <c r="P63" s="393">
        <v>50</v>
      </c>
      <c r="Q63" s="393"/>
      <c r="R63" s="394" t="s">
        <v>481</v>
      </c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482</v>
      </c>
      <c r="D64" s="209"/>
      <c r="E64" s="211" t="s">
        <v>179</v>
      </c>
      <c r="F64" s="392" t="s">
        <v>483</v>
      </c>
      <c r="G64" s="382"/>
      <c r="H64" s="382"/>
      <c r="I64" s="382"/>
      <c r="J64" s="382"/>
      <c r="K64" s="382" t="s">
        <v>479</v>
      </c>
      <c r="L64" s="382"/>
      <c r="M64" s="54" t="s">
        <v>480</v>
      </c>
      <c r="N64" s="382">
        <v>7</v>
      </c>
      <c r="O64" s="382"/>
      <c r="P64" s="393">
        <v>50</v>
      </c>
      <c r="Q64" s="393"/>
      <c r="R64" s="394" t="s">
        <v>481</v>
      </c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 t="s">
        <v>119</v>
      </c>
      <c r="D65" s="209"/>
      <c r="E65" s="211" t="s">
        <v>484</v>
      </c>
      <c r="F65" s="392">
        <v>3159016</v>
      </c>
      <c r="G65" s="382"/>
      <c r="H65" s="382"/>
      <c r="I65" s="382"/>
      <c r="J65" s="382"/>
      <c r="K65" s="382" t="s">
        <v>485</v>
      </c>
      <c r="L65" s="382"/>
      <c r="M65" s="54" t="s">
        <v>486</v>
      </c>
      <c r="N65" s="382">
        <v>4</v>
      </c>
      <c r="O65" s="382"/>
      <c r="P65" s="393">
        <v>200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 t="s">
        <v>482</v>
      </c>
      <c r="D66" s="209"/>
      <c r="E66" s="211" t="s">
        <v>487</v>
      </c>
      <c r="F66" s="392" t="s">
        <v>488</v>
      </c>
      <c r="G66" s="382"/>
      <c r="H66" s="382"/>
      <c r="I66" s="382"/>
      <c r="J66" s="382"/>
      <c r="K66" s="382">
        <v>8301</v>
      </c>
      <c r="L66" s="382"/>
      <c r="M66" s="54" t="s">
        <v>491</v>
      </c>
      <c r="N66" s="382">
        <v>12</v>
      </c>
      <c r="O66" s="382"/>
      <c r="P66" s="393">
        <v>50</v>
      </c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 t="s">
        <v>482</v>
      </c>
      <c r="D67" s="209"/>
      <c r="E67" s="211" t="s">
        <v>179</v>
      </c>
      <c r="F67" s="392" t="s">
        <v>489</v>
      </c>
      <c r="G67" s="382"/>
      <c r="H67" s="382"/>
      <c r="I67" s="382"/>
      <c r="J67" s="382"/>
      <c r="K67" s="382" t="s">
        <v>490</v>
      </c>
      <c r="L67" s="382"/>
      <c r="M67" s="54" t="s">
        <v>491</v>
      </c>
      <c r="N67" s="382">
        <v>8</v>
      </c>
      <c r="O67" s="382"/>
      <c r="P67" s="393">
        <v>50</v>
      </c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09"/>
      <c r="E68" s="211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09"/>
      <c r="E69" s="211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09"/>
      <c r="E70" s="211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492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12" t="s">
        <v>2</v>
      </c>
      <c r="D72" s="212" t="s">
        <v>38</v>
      </c>
      <c r="E72" s="212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10" t="s">
        <v>118</v>
      </c>
      <c r="D73" s="210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09" t="s">
        <v>118</v>
      </c>
      <c r="D74" s="209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209" t="s">
        <v>137</v>
      </c>
      <c r="D75" s="209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209" t="s">
        <v>119</v>
      </c>
      <c r="D76" s="209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209" t="s">
        <v>119</v>
      </c>
      <c r="D77" s="209"/>
      <c r="E77" s="35" t="s">
        <v>332</v>
      </c>
      <c r="F77" s="351" t="s">
        <v>410</v>
      </c>
      <c r="G77" s="351"/>
      <c r="H77" s="351"/>
      <c r="I77" s="351"/>
      <c r="J77" s="351"/>
      <c r="K77" s="365" t="s">
        <v>411</v>
      </c>
      <c r="L77" s="366"/>
      <c r="M77" s="366"/>
      <c r="N77" s="366"/>
      <c r="O77" s="366"/>
      <c r="P77" s="366"/>
      <c r="Q77" s="366"/>
      <c r="R77" s="366"/>
      <c r="S77" s="367"/>
      <c r="T77" s="368">
        <v>43022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209" t="s">
        <v>119</v>
      </c>
      <c r="D78" s="209"/>
      <c r="E78" s="35" t="s">
        <v>179</v>
      </c>
      <c r="F78" s="351" t="s">
        <v>412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209"/>
      <c r="D79" s="209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209"/>
      <c r="D80" s="209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209"/>
      <c r="D81" s="209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493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64" t="s">
        <v>37</v>
      </c>
      <c r="B83" s="35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19" sqref="A19:XFD1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494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0.40221866574588361</v>
      </c>
      <c r="AF6" s="94">
        <f t="shared" ref="AF6:AF21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0.40221866574588361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5840</v>
      </c>
      <c r="K8" s="15">
        <f>L8+3338+5408+3735+5862</f>
        <v>24174</v>
      </c>
      <c r="L8" s="15">
        <f>3072+2759</f>
        <v>5831</v>
      </c>
      <c r="M8" s="16">
        <f t="shared" si="0"/>
        <v>5831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0.99845890410958904</v>
      </c>
      <c r="AC8" s="9">
        <f t="shared" si="5"/>
        <v>1</v>
      </c>
      <c r="AD8" s="10">
        <f t="shared" si="6"/>
        <v>0.99845890410958904</v>
      </c>
      <c r="AE8" s="39">
        <f t="shared" si="7"/>
        <v>0.40221866574588361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495</v>
      </c>
      <c r="E9" s="56" t="s">
        <v>496</v>
      </c>
      <c r="F9" s="12">
        <v>7301</v>
      </c>
      <c r="G9" s="12">
        <v>1</v>
      </c>
      <c r="H9" s="38">
        <v>25</v>
      </c>
      <c r="I9" s="34">
        <v>5000</v>
      </c>
      <c r="J9" s="5">
        <v>4080</v>
      </c>
      <c r="K9" s="15">
        <f>L9</f>
        <v>4071</v>
      </c>
      <c r="L9" s="15">
        <f>2928+1143</f>
        <v>4071</v>
      </c>
      <c r="M9" s="16">
        <f t="shared" si="0"/>
        <v>4071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0.99779411764705883</v>
      </c>
      <c r="AC9" s="9">
        <f t="shared" si="5"/>
        <v>0.95833333333333337</v>
      </c>
      <c r="AD9" s="10">
        <f t="shared" si="6"/>
        <v>0.95621936274509811</v>
      </c>
      <c r="AE9" s="39">
        <f t="shared" si="7"/>
        <v>0.40221866574588361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50000</v>
      </c>
      <c r="J10" s="14">
        <v>900</v>
      </c>
      <c r="K10" s="15">
        <f>L10+5816+6288+3800+8500+8684+10628</f>
        <v>44608</v>
      </c>
      <c r="L10" s="15">
        <f>446*2</f>
        <v>892</v>
      </c>
      <c r="M10" s="16">
        <f t="shared" si="0"/>
        <v>892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>
        <v>20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0.99111111111111116</v>
      </c>
      <c r="AC10" s="9">
        <f t="shared" si="5"/>
        <v>0.16666666666666666</v>
      </c>
      <c r="AD10" s="10">
        <f t="shared" si="6"/>
        <v>0.16518518518518518</v>
      </c>
      <c r="AE10" s="39">
        <f t="shared" si="7"/>
        <v>0.40221866574588361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451</v>
      </c>
      <c r="E11" s="56" t="s">
        <v>452</v>
      </c>
      <c r="F11" s="12" t="s">
        <v>453</v>
      </c>
      <c r="G11" s="12">
        <v>1</v>
      </c>
      <c r="H11" s="13">
        <v>25</v>
      </c>
      <c r="I11" s="34">
        <v>7000</v>
      </c>
      <c r="J11" s="14">
        <v>3840</v>
      </c>
      <c r="K11" s="15">
        <f>L11+4738</f>
        <v>8577</v>
      </c>
      <c r="L11" s="15">
        <f>1000+2839</f>
        <v>3839</v>
      </c>
      <c r="M11" s="16">
        <f t="shared" si="0"/>
        <v>3839</v>
      </c>
      <c r="N11" s="16">
        <v>0</v>
      </c>
      <c r="O11" s="62">
        <f t="shared" si="1"/>
        <v>0</v>
      </c>
      <c r="P11" s="42">
        <f t="shared" si="2"/>
        <v>17</v>
      </c>
      <c r="Q11" s="43">
        <f t="shared" si="3"/>
        <v>7</v>
      </c>
      <c r="R11" s="7"/>
      <c r="S11" s="6"/>
      <c r="T11" s="17"/>
      <c r="U11" s="17"/>
      <c r="V11" s="18"/>
      <c r="W11" s="19">
        <v>7</v>
      </c>
      <c r="X11" s="17"/>
      <c r="Y11" s="20"/>
      <c r="Z11" s="20"/>
      <c r="AA11" s="21"/>
      <c r="AB11" s="8">
        <f t="shared" si="4"/>
        <v>0.99973958333333335</v>
      </c>
      <c r="AC11" s="9">
        <f t="shared" si="5"/>
        <v>0.70833333333333337</v>
      </c>
      <c r="AD11" s="10">
        <f t="shared" si="6"/>
        <v>0.70814887152777783</v>
      </c>
      <c r="AE11" s="39">
        <f t="shared" si="7"/>
        <v>0.40221866574588361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454</v>
      </c>
      <c r="D12" s="55"/>
      <c r="E12" s="57" t="s">
        <v>455</v>
      </c>
      <c r="F12" s="12">
        <v>7301</v>
      </c>
      <c r="G12" s="12" t="s">
        <v>456</v>
      </c>
      <c r="H12" s="13">
        <v>25</v>
      </c>
      <c r="I12" s="7">
        <v>1000</v>
      </c>
      <c r="J12" s="14">
        <v>2270</v>
      </c>
      <c r="K12" s="15">
        <f>L12+2261</f>
        <v>2261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0.40221866574588361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156</v>
      </c>
      <c r="D13" s="55" t="s">
        <v>415</v>
      </c>
      <c r="E13" s="56" t="s">
        <v>416</v>
      </c>
      <c r="F13" s="12" t="s">
        <v>417</v>
      </c>
      <c r="G13" s="12">
        <v>1</v>
      </c>
      <c r="H13" s="13">
        <v>25</v>
      </c>
      <c r="I13" s="7">
        <v>1000</v>
      </c>
      <c r="J13" s="14">
        <v>2970</v>
      </c>
      <c r="K13" s="15">
        <f>L13+2967</f>
        <v>2967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0.40221866574588361</v>
      </c>
      <c r="AF13" s="94">
        <f t="shared" si="8"/>
        <v>8</v>
      </c>
    </row>
    <row r="14" spans="1:36" ht="27" customHeight="1">
      <c r="A14" s="109">
        <v>9</v>
      </c>
      <c r="B14" s="11" t="s">
        <v>497</v>
      </c>
      <c r="C14" s="37" t="s">
        <v>498</v>
      </c>
      <c r="D14" s="55" t="s">
        <v>499</v>
      </c>
      <c r="E14" s="57" t="s">
        <v>500</v>
      </c>
      <c r="F14" s="33" t="s">
        <v>501</v>
      </c>
      <c r="G14" s="36">
        <v>1</v>
      </c>
      <c r="H14" s="38">
        <v>25</v>
      </c>
      <c r="I14" s="7">
        <v>7000</v>
      </c>
      <c r="J14" s="5">
        <v>4000</v>
      </c>
      <c r="K14" s="15">
        <f>L14</f>
        <v>4000</v>
      </c>
      <c r="L14" s="15">
        <f>2368+1632</f>
        <v>4000</v>
      </c>
      <c r="M14" s="16">
        <f t="shared" si="0"/>
        <v>4000</v>
      </c>
      <c r="N14" s="16">
        <v>0</v>
      </c>
      <c r="O14" s="62">
        <f t="shared" si="1"/>
        <v>0</v>
      </c>
      <c r="P14" s="42">
        <f t="shared" si="2"/>
        <v>22</v>
      </c>
      <c r="Q14" s="43">
        <f t="shared" si="3"/>
        <v>2</v>
      </c>
      <c r="R14" s="7"/>
      <c r="S14" s="6"/>
      <c r="T14" s="17">
        <v>2</v>
      </c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0.91666666666666663</v>
      </c>
      <c r="AD14" s="10">
        <f t="shared" si="6"/>
        <v>0.91666666666666663</v>
      </c>
      <c r="AE14" s="39">
        <f t="shared" si="7"/>
        <v>0.40221866574588361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0.40221866574588361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L16+5007+2840</f>
        <v>7847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0.40221866574588361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502</v>
      </c>
      <c r="C17" s="37" t="s">
        <v>503</v>
      </c>
      <c r="D17" s="55"/>
      <c r="E17" s="56" t="s">
        <v>504</v>
      </c>
      <c r="F17" s="12">
        <v>8301</v>
      </c>
      <c r="G17" s="12" t="s">
        <v>505</v>
      </c>
      <c r="H17" s="13">
        <v>25</v>
      </c>
      <c r="I17" s="34">
        <v>500</v>
      </c>
      <c r="J17" s="5">
        <v>1260</v>
      </c>
      <c r="K17" s="15">
        <f>L17</f>
        <v>1256</v>
      </c>
      <c r="L17" s="15">
        <f>1256</f>
        <v>1256</v>
      </c>
      <c r="M17" s="16">
        <f t="shared" si="0"/>
        <v>1256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0.99682539682539684</v>
      </c>
      <c r="AC17" s="9">
        <f t="shared" si="5"/>
        <v>0.41666666666666669</v>
      </c>
      <c r="AD17" s="10">
        <f t="shared" si="6"/>
        <v>0.41534391534391535</v>
      </c>
      <c r="AE17" s="39">
        <f t="shared" si="7"/>
        <v>0.40221866574588361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373</v>
      </c>
      <c r="D18" s="55" t="s">
        <v>260</v>
      </c>
      <c r="E18" s="57" t="s">
        <v>374</v>
      </c>
      <c r="F18" s="33" t="s">
        <v>259</v>
      </c>
      <c r="G18" s="12">
        <v>1</v>
      </c>
      <c r="H18" s="13">
        <v>25</v>
      </c>
      <c r="I18" s="34">
        <v>40000</v>
      </c>
      <c r="J18" s="5">
        <v>11170</v>
      </c>
      <c r="K18" s="15">
        <f>L18+10802+7342+11244</f>
        <v>40558</v>
      </c>
      <c r="L18" s="15">
        <f>2942*2+2643*2</f>
        <v>11170</v>
      </c>
      <c r="M18" s="16">
        <f t="shared" si="0"/>
        <v>11170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0.40221866574588361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506</v>
      </c>
      <c r="F19" s="33" t="s">
        <v>507</v>
      </c>
      <c r="G19" s="36">
        <v>1</v>
      </c>
      <c r="H19" s="38">
        <v>25</v>
      </c>
      <c r="I19" s="7">
        <v>7000</v>
      </c>
      <c r="J19" s="5">
        <v>630</v>
      </c>
      <c r="K19" s="15">
        <f>L19</f>
        <v>630</v>
      </c>
      <c r="L19" s="15">
        <v>630</v>
      </c>
      <c r="M19" s="16">
        <f t="shared" ref="M19" si="9">L19-N19</f>
        <v>630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5</v>
      </c>
      <c r="Q19" s="43">
        <f t="shared" ref="Q19" si="12">SUM(R19:AA19)</f>
        <v>19</v>
      </c>
      <c r="R19" s="7"/>
      <c r="S19" s="6">
        <v>19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9">
        <f t="shared" si="7"/>
        <v>0.40221866574588361</v>
      </c>
      <c r="AF19" s="94">
        <f t="shared" ref="AF19" si="16">A19</f>
        <v>14</v>
      </c>
    </row>
    <row r="20" spans="1:32" ht="27" customHeight="1">
      <c r="A20" s="110">
        <v>14</v>
      </c>
      <c r="B20" s="11" t="s">
        <v>59</v>
      </c>
      <c r="C20" s="37" t="s">
        <v>119</v>
      </c>
      <c r="D20" s="55" t="s">
        <v>508</v>
      </c>
      <c r="E20" s="57" t="s">
        <v>509</v>
      </c>
      <c r="F20" s="33" t="s">
        <v>507</v>
      </c>
      <c r="G20" s="36">
        <v>1</v>
      </c>
      <c r="H20" s="38">
        <v>25</v>
      </c>
      <c r="I20" s="7">
        <v>7000</v>
      </c>
      <c r="J20" s="5">
        <v>3060</v>
      </c>
      <c r="K20" s="15">
        <f>L20</f>
        <v>3052</v>
      </c>
      <c r="L20" s="15">
        <v>3052</v>
      </c>
      <c r="M20" s="16">
        <f t="shared" si="0"/>
        <v>3052</v>
      </c>
      <c r="N20" s="16">
        <v>0</v>
      </c>
      <c r="O20" s="62">
        <f t="shared" si="1"/>
        <v>0</v>
      </c>
      <c r="P20" s="42">
        <f t="shared" si="2"/>
        <v>16</v>
      </c>
      <c r="Q20" s="43">
        <f t="shared" si="3"/>
        <v>8</v>
      </c>
      <c r="R20" s="7"/>
      <c r="S20" s="6"/>
      <c r="T20" s="17">
        <v>8</v>
      </c>
      <c r="U20" s="17"/>
      <c r="V20" s="18"/>
      <c r="W20" s="19"/>
      <c r="X20" s="17"/>
      <c r="Y20" s="20"/>
      <c r="Z20" s="20"/>
      <c r="AA20" s="21"/>
      <c r="AB20" s="8">
        <f t="shared" si="4"/>
        <v>0.99738562091503269</v>
      </c>
      <c r="AC20" s="9">
        <f t="shared" si="5"/>
        <v>0.66666666666666663</v>
      </c>
      <c r="AD20" s="10">
        <f t="shared" si="6"/>
        <v>0.66492374727668846</v>
      </c>
      <c r="AE20" s="39">
        <f t="shared" si="7"/>
        <v>0.40221866574588361</v>
      </c>
      <c r="AF20" s="94">
        <f t="shared" si="8"/>
        <v>14</v>
      </c>
    </row>
    <row r="21" spans="1:32" ht="27" customHeight="1" thickBot="1">
      <c r="A21" s="110">
        <v>15</v>
      </c>
      <c r="B21" s="11"/>
      <c r="C21" s="11"/>
      <c r="D21" s="55"/>
      <c r="E21" s="56"/>
      <c r="F21" s="12"/>
      <c r="G21" s="12"/>
      <c r="H21" s="38"/>
      <c r="I21" s="7"/>
      <c r="J21" s="14"/>
      <c r="K21" s="15"/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 t="str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0.40221866574588361</v>
      </c>
      <c r="AF21" s="94">
        <f t="shared" si="8"/>
        <v>15</v>
      </c>
    </row>
    <row r="22" spans="1:32" ht="31.5" customHeight="1" thickBot="1">
      <c r="A22" s="415" t="s">
        <v>34</v>
      </c>
      <c r="B22" s="416"/>
      <c r="C22" s="416"/>
      <c r="D22" s="416"/>
      <c r="E22" s="416"/>
      <c r="F22" s="416"/>
      <c r="G22" s="416"/>
      <c r="H22" s="417"/>
      <c r="I22" s="25">
        <f t="shared" ref="I22:N22" si="17">SUM(I6:I21)</f>
        <v>195500</v>
      </c>
      <c r="J22" s="22">
        <f t="shared" si="17"/>
        <v>63500</v>
      </c>
      <c r="K22" s="23">
        <f t="shared" si="17"/>
        <v>164641</v>
      </c>
      <c r="L22" s="24">
        <f t="shared" si="17"/>
        <v>34741</v>
      </c>
      <c r="M22" s="23">
        <f t="shared" si="17"/>
        <v>34741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145</v>
      </c>
      <c r="Q22" s="46">
        <f t="shared" si="18"/>
        <v>239</v>
      </c>
      <c r="R22" s="26">
        <f t="shared" si="18"/>
        <v>48</v>
      </c>
      <c r="S22" s="27">
        <f t="shared" si="18"/>
        <v>39</v>
      </c>
      <c r="T22" s="27">
        <f t="shared" si="18"/>
        <v>11</v>
      </c>
      <c r="U22" s="27">
        <f t="shared" si="18"/>
        <v>0</v>
      </c>
      <c r="V22" s="28">
        <f t="shared" si="18"/>
        <v>0</v>
      </c>
      <c r="W22" s="29">
        <f t="shared" si="18"/>
        <v>141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0.59875431559610148</v>
      </c>
      <c r="AC22" s="4">
        <f>SUM(AC6:AC21)/15</f>
        <v>0.40277777777777779</v>
      </c>
      <c r="AD22" s="4">
        <f>SUM(AD6:AD21)/15</f>
        <v>0.40221866574588361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8" t="s">
        <v>46</v>
      </c>
      <c r="B49" s="418"/>
      <c r="C49" s="418"/>
      <c r="D49" s="418"/>
      <c r="E49" s="418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9" t="s">
        <v>510</v>
      </c>
      <c r="B50" s="420"/>
      <c r="C50" s="420"/>
      <c r="D50" s="420"/>
      <c r="E50" s="420"/>
      <c r="F50" s="420"/>
      <c r="G50" s="420"/>
      <c r="H50" s="420"/>
      <c r="I50" s="420"/>
      <c r="J50" s="420"/>
      <c r="K50" s="420"/>
      <c r="L50" s="420"/>
      <c r="M50" s="421"/>
      <c r="N50" s="422" t="s">
        <v>528</v>
      </c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25" t="s">
        <v>2</v>
      </c>
      <c r="B51" s="426"/>
      <c r="C51" s="222" t="s">
        <v>47</v>
      </c>
      <c r="D51" s="222" t="s">
        <v>48</v>
      </c>
      <c r="E51" s="222" t="s">
        <v>110</v>
      </c>
      <c r="F51" s="426" t="s">
        <v>109</v>
      </c>
      <c r="G51" s="426"/>
      <c r="H51" s="426"/>
      <c r="I51" s="426"/>
      <c r="J51" s="426"/>
      <c r="K51" s="426"/>
      <c r="L51" s="426"/>
      <c r="M51" s="427"/>
      <c r="N51" s="73" t="s">
        <v>114</v>
      </c>
      <c r="O51" s="222" t="s">
        <v>47</v>
      </c>
      <c r="P51" s="428" t="s">
        <v>48</v>
      </c>
      <c r="Q51" s="429"/>
      <c r="R51" s="428" t="s">
        <v>39</v>
      </c>
      <c r="S51" s="430"/>
      <c r="T51" s="430"/>
      <c r="U51" s="429"/>
      <c r="V51" s="428" t="s">
        <v>49</v>
      </c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09" t="s">
        <v>119</v>
      </c>
      <c r="B52" s="410"/>
      <c r="C52" s="223" t="s">
        <v>511</v>
      </c>
      <c r="D52" s="224" t="s">
        <v>512</v>
      </c>
      <c r="E52" s="223" t="s">
        <v>513</v>
      </c>
      <c r="F52" s="394" t="s">
        <v>459</v>
      </c>
      <c r="G52" s="394"/>
      <c r="H52" s="394"/>
      <c r="I52" s="394"/>
      <c r="J52" s="394"/>
      <c r="K52" s="394"/>
      <c r="L52" s="394"/>
      <c r="M52" s="404"/>
      <c r="N52" s="228" t="s">
        <v>119</v>
      </c>
      <c r="O52" s="74" t="s">
        <v>386</v>
      </c>
      <c r="P52" s="411" t="s">
        <v>469</v>
      </c>
      <c r="Q52" s="412"/>
      <c r="R52" s="403" t="s">
        <v>470</v>
      </c>
      <c r="S52" s="403"/>
      <c r="T52" s="403"/>
      <c r="U52" s="403"/>
      <c r="V52" s="394" t="s">
        <v>531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514</v>
      </c>
      <c r="B53" s="410"/>
      <c r="C53" s="223" t="s">
        <v>515</v>
      </c>
      <c r="D53" s="224" t="s">
        <v>516</v>
      </c>
      <c r="E53" s="223" t="s">
        <v>506</v>
      </c>
      <c r="F53" s="394" t="s">
        <v>517</v>
      </c>
      <c r="G53" s="394"/>
      <c r="H53" s="394"/>
      <c r="I53" s="394"/>
      <c r="J53" s="394"/>
      <c r="K53" s="394"/>
      <c r="L53" s="394"/>
      <c r="M53" s="404"/>
      <c r="N53" s="228" t="s">
        <v>119</v>
      </c>
      <c r="O53" s="74" t="s">
        <v>532</v>
      </c>
      <c r="P53" s="411" t="s">
        <v>533</v>
      </c>
      <c r="Q53" s="412"/>
      <c r="R53" s="403" t="s">
        <v>534</v>
      </c>
      <c r="S53" s="403"/>
      <c r="T53" s="403"/>
      <c r="U53" s="403"/>
      <c r="V53" s="394" t="s">
        <v>177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514</v>
      </c>
      <c r="B54" s="410"/>
      <c r="C54" s="223" t="s">
        <v>515</v>
      </c>
      <c r="D54" s="224" t="s">
        <v>518</v>
      </c>
      <c r="E54" s="223" t="s">
        <v>519</v>
      </c>
      <c r="F54" s="394" t="s">
        <v>520</v>
      </c>
      <c r="G54" s="394"/>
      <c r="H54" s="394"/>
      <c r="I54" s="394"/>
      <c r="J54" s="394"/>
      <c r="K54" s="394"/>
      <c r="L54" s="394"/>
      <c r="M54" s="404"/>
      <c r="N54" s="228" t="s">
        <v>535</v>
      </c>
      <c r="O54" s="74" t="s">
        <v>536</v>
      </c>
      <c r="P54" s="411" t="s">
        <v>537</v>
      </c>
      <c r="Q54" s="412"/>
      <c r="R54" s="403"/>
      <c r="S54" s="403"/>
      <c r="T54" s="403"/>
      <c r="U54" s="403"/>
      <c r="V54" s="394" t="s">
        <v>177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503</v>
      </c>
      <c r="B55" s="410"/>
      <c r="C55" s="223" t="s">
        <v>521</v>
      </c>
      <c r="D55" s="224"/>
      <c r="E55" s="223" t="s">
        <v>522</v>
      </c>
      <c r="F55" s="394" t="s">
        <v>520</v>
      </c>
      <c r="G55" s="394"/>
      <c r="H55" s="394"/>
      <c r="I55" s="394"/>
      <c r="J55" s="394"/>
      <c r="K55" s="394"/>
      <c r="L55" s="394"/>
      <c r="M55" s="404"/>
      <c r="N55" s="228" t="s">
        <v>538</v>
      </c>
      <c r="O55" s="74" t="s">
        <v>524</v>
      </c>
      <c r="P55" s="411" t="s">
        <v>525</v>
      </c>
      <c r="Q55" s="412"/>
      <c r="R55" s="403" t="s">
        <v>539</v>
      </c>
      <c r="S55" s="403"/>
      <c r="T55" s="403"/>
      <c r="U55" s="403"/>
      <c r="V55" s="394" t="s">
        <v>540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523</v>
      </c>
      <c r="B56" s="410"/>
      <c r="C56" s="223" t="s">
        <v>524</v>
      </c>
      <c r="D56" s="224" t="s">
        <v>525</v>
      </c>
      <c r="E56" s="223" t="s">
        <v>526</v>
      </c>
      <c r="F56" s="394" t="s">
        <v>527</v>
      </c>
      <c r="G56" s="394"/>
      <c r="H56" s="394"/>
      <c r="I56" s="394"/>
      <c r="J56" s="394"/>
      <c r="K56" s="394"/>
      <c r="L56" s="394"/>
      <c r="M56" s="404"/>
      <c r="N56" s="228"/>
      <c r="O56" s="74"/>
      <c r="P56" s="411"/>
      <c r="Q56" s="412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 t="s">
        <v>119</v>
      </c>
      <c r="B57" s="410"/>
      <c r="C57" s="223" t="s">
        <v>529</v>
      </c>
      <c r="D57" s="224" t="s">
        <v>499</v>
      </c>
      <c r="E57" s="223" t="s">
        <v>530</v>
      </c>
      <c r="F57" s="394" t="s">
        <v>520</v>
      </c>
      <c r="G57" s="394"/>
      <c r="H57" s="394"/>
      <c r="I57" s="394"/>
      <c r="J57" s="394"/>
      <c r="K57" s="394"/>
      <c r="L57" s="394"/>
      <c r="M57" s="404"/>
      <c r="N57" s="228"/>
      <c r="O57" s="74"/>
      <c r="P57" s="403"/>
      <c r="Q57" s="403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23"/>
      <c r="D58" s="224"/>
      <c r="E58" s="223"/>
      <c r="F58" s="394"/>
      <c r="G58" s="394"/>
      <c r="H58" s="394"/>
      <c r="I58" s="394"/>
      <c r="J58" s="394"/>
      <c r="K58" s="394"/>
      <c r="L58" s="394"/>
      <c r="M58" s="404"/>
      <c r="N58" s="228"/>
      <c r="O58" s="74"/>
      <c r="P58" s="411"/>
      <c r="Q58" s="412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9"/>
      <c r="B59" s="410"/>
      <c r="C59" s="223"/>
      <c r="D59" s="224"/>
      <c r="E59" s="223"/>
      <c r="F59" s="394"/>
      <c r="G59" s="394"/>
      <c r="H59" s="394"/>
      <c r="I59" s="394"/>
      <c r="J59" s="394"/>
      <c r="K59" s="394"/>
      <c r="L59" s="394"/>
      <c r="M59" s="404"/>
      <c r="N59" s="228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</row>
    <row r="60" spans="1:32" ht="27" customHeight="1">
      <c r="A60" s="402"/>
      <c r="B60" s="403"/>
      <c r="C60" s="224"/>
      <c r="D60" s="224"/>
      <c r="E60" s="224"/>
      <c r="F60" s="394"/>
      <c r="G60" s="394"/>
      <c r="H60" s="394"/>
      <c r="I60" s="394"/>
      <c r="J60" s="394"/>
      <c r="K60" s="394"/>
      <c r="L60" s="394"/>
      <c r="M60" s="404"/>
      <c r="N60" s="228"/>
      <c r="O60" s="74"/>
      <c r="P60" s="403"/>
      <c r="Q60" s="403"/>
      <c r="R60" s="403"/>
      <c r="S60" s="403"/>
      <c r="T60" s="403"/>
      <c r="U60" s="403"/>
      <c r="V60" s="394"/>
      <c r="W60" s="394"/>
      <c r="X60" s="394"/>
      <c r="Y60" s="394"/>
      <c r="Z60" s="394"/>
      <c r="AA60" s="394"/>
      <c r="AB60" s="394"/>
      <c r="AC60" s="394"/>
      <c r="AD60" s="404"/>
      <c r="AF60" s="94">
        <f>8*3000</f>
        <v>24000</v>
      </c>
    </row>
    <row r="61" spans="1:32" ht="27" customHeight="1" thickBot="1">
      <c r="A61" s="405"/>
      <c r="B61" s="406"/>
      <c r="C61" s="226"/>
      <c r="D61" s="226"/>
      <c r="E61" s="226"/>
      <c r="F61" s="407"/>
      <c r="G61" s="407"/>
      <c r="H61" s="407"/>
      <c r="I61" s="407"/>
      <c r="J61" s="407"/>
      <c r="K61" s="407"/>
      <c r="L61" s="407"/>
      <c r="M61" s="408"/>
      <c r="N61" s="225"/>
      <c r="O61" s="121"/>
      <c r="P61" s="406"/>
      <c r="Q61" s="406"/>
      <c r="R61" s="406"/>
      <c r="S61" s="406"/>
      <c r="T61" s="406"/>
      <c r="U61" s="406"/>
      <c r="V61" s="407"/>
      <c r="W61" s="407"/>
      <c r="X61" s="407"/>
      <c r="Y61" s="407"/>
      <c r="Z61" s="407"/>
      <c r="AA61" s="407"/>
      <c r="AB61" s="407"/>
      <c r="AC61" s="407"/>
      <c r="AD61" s="408"/>
      <c r="AF61" s="94">
        <f>16*3000</f>
        <v>48000</v>
      </c>
    </row>
    <row r="62" spans="1:32" ht="27.75" thickBot="1">
      <c r="A62" s="400" t="s">
        <v>541</v>
      </c>
      <c r="B62" s="400"/>
      <c r="C62" s="400"/>
      <c r="D62" s="400"/>
      <c r="E62" s="400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1" t="s">
        <v>115</v>
      </c>
      <c r="B63" s="398"/>
      <c r="C63" s="227" t="s">
        <v>2</v>
      </c>
      <c r="D63" s="227" t="s">
        <v>38</v>
      </c>
      <c r="E63" s="227" t="s">
        <v>3</v>
      </c>
      <c r="F63" s="398" t="s">
        <v>112</v>
      </c>
      <c r="G63" s="398"/>
      <c r="H63" s="398"/>
      <c r="I63" s="398"/>
      <c r="J63" s="398"/>
      <c r="K63" s="398" t="s">
        <v>40</v>
      </c>
      <c r="L63" s="398"/>
      <c r="M63" s="227" t="s">
        <v>41</v>
      </c>
      <c r="N63" s="398" t="s">
        <v>42</v>
      </c>
      <c r="O63" s="398"/>
      <c r="P63" s="395" t="s">
        <v>43</v>
      </c>
      <c r="Q63" s="397"/>
      <c r="R63" s="395" t="s">
        <v>44</v>
      </c>
      <c r="S63" s="396"/>
      <c r="T63" s="396"/>
      <c r="U63" s="396"/>
      <c r="V63" s="396"/>
      <c r="W63" s="396"/>
      <c r="X63" s="396"/>
      <c r="Y63" s="396"/>
      <c r="Z63" s="396"/>
      <c r="AA63" s="397"/>
      <c r="AB63" s="398" t="s">
        <v>45</v>
      </c>
      <c r="AC63" s="398"/>
      <c r="AD63" s="399"/>
      <c r="AF63" s="94">
        <f>SUM(AF60:AF62)</f>
        <v>96000</v>
      </c>
    </row>
    <row r="64" spans="1:32" ht="25.5" customHeight="1">
      <c r="A64" s="390">
        <v>1</v>
      </c>
      <c r="B64" s="391"/>
      <c r="C64" s="124" t="s">
        <v>542</v>
      </c>
      <c r="D64" s="231"/>
      <c r="E64" s="229" t="s">
        <v>543</v>
      </c>
      <c r="F64" s="392" t="s">
        <v>544</v>
      </c>
      <c r="G64" s="382"/>
      <c r="H64" s="382"/>
      <c r="I64" s="382"/>
      <c r="J64" s="382"/>
      <c r="K64" s="382" t="s">
        <v>545</v>
      </c>
      <c r="L64" s="382"/>
      <c r="M64" s="54" t="s">
        <v>546</v>
      </c>
      <c r="N64" s="382">
        <v>7</v>
      </c>
      <c r="O64" s="382"/>
      <c r="P64" s="393">
        <v>50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2</v>
      </c>
      <c r="B65" s="391"/>
      <c r="C65" s="124" t="s">
        <v>547</v>
      </c>
      <c r="D65" s="231"/>
      <c r="E65" s="229" t="s">
        <v>548</v>
      </c>
      <c r="F65" s="392" t="s">
        <v>549</v>
      </c>
      <c r="G65" s="382"/>
      <c r="H65" s="382"/>
      <c r="I65" s="382"/>
      <c r="J65" s="382"/>
      <c r="K65" s="382" t="s">
        <v>550</v>
      </c>
      <c r="L65" s="382"/>
      <c r="M65" s="54" t="s">
        <v>551</v>
      </c>
      <c r="N65" s="382">
        <v>7</v>
      </c>
      <c r="O65" s="382"/>
      <c r="P65" s="393">
        <v>300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3</v>
      </c>
      <c r="B66" s="391"/>
      <c r="C66" s="124" t="s">
        <v>547</v>
      </c>
      <c r="D66" s="231"/>
      <c r="E66" s="229" t="s">
        <v>552</v>
      </c>
      <c r="F66" s="392" t="s">
        <v>553</v>
      </c>
      <c r="G66" s="382"/>
      <c r="H66" s="382"/>
      <c r="I66" s="382"/>
      <c r="J66" s="382"/>
      <c r="K66" s="382" t="s">
        <v>554</v>
      </c>
      <c r="L66" s="382"/>
      <c r="M66" s="54" t="s">
        <v>555</v>
      </c>
      <c r="N66" s="382">
        <v>8</v>
      </c>
      <c r="O66" s="382"/>
      <c r="P66" s="393"/>
      <c r="Q66" s="393"/>
      <c r="R66" s="394" t="s">
        <v>556</v>
      </c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4</v>
      </c>
      <c r="B67" s="391"/>
      <c r="C67" s="124"/>
      <c r="D67" s="231"/>
      <c r="E67" s="229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5</v>
      </c>
      <c r="B68" s="391"/>
      <c r="C68" s="124"/>
      <c r="D68" s="231"/>
      <c r="E68" s="229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6</v>
      </c>
      <c r="B69" s="391"/>
      <c r="C69" s="124"/>
      <c r="D69" s="231"/>
      <c r="E69" s="229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7</v>
      </c>
      <c r="B70" s="391"/>
      <c r="C70" s="124"/>
      <c r="D70" s="231"/>
      <c r="E70" s="229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5.5" customHeight="1">
      <c r="A71" s="390">
        <v>8</v>
      </c>
      <c r="B71" s="391"/>
      <c r="C71" s="124"/>
      <c r="D71" s="231"/>
      <c r="E71" s="229"/>
      <c r="F71" s="392"/>
      <c r="G71" s="382"/>
      <c r="H71" s="382"/>
      <c r="I71" s="382"/>
      <c r="J71" s="382"/>
      <c r="K71" s="382"/>
      <c r="L71" s="382"/>
      <c r="M71" s="54"/>
      <c r="N71" s="382"/>
      <c r="O71" s="382"/>
      <c r="P71" s="393"/>
      <c r="Q71" s="393"/>
      <c r="R71" s="394"/>
      <c r="S71" s="394"/>
      <c r="T71" s="394"/>
      <c r="U71" s="394"/>
      <c r="V71" s="394"/>
      <c r="W71" s="394"/>
      <c r="X71" s="394"/>
      <c r="Y71" s="394"/>
      <c r="Z71" s="394"/>
      <c r="AA71" s="394"/>
      <c r="AB71" s="382"/>
      <c r="AC71" s="382"/>
      <c r="AD71" s="383"/>
      <c r="AF71" s="53"/>
    </row>
    <row r="72" spans="1:32" ht="26.25" customHeight="1" thickBot="1">
      <c r="A72" s="363" t="s">
        <v>557</v>
      </c>
      <c r="B72" s="363"/>
      <c r="C72" s="363"/>
      <c r="D72" s="363"/>
      <c r="E72" s="363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84" t="s">
        <v>115</v>
      </c>
      <c r="B73" s="385"/>
      <c r="C73" s="230" t="s">
        <v>2</v>
      </c>
      <c r="D73" s="230" t="s">
        <v>38</v>
      </c>
      <c r="E73" s="230" t="s">
        <v>3</v>
      </c>
      <c r="F73" s="385" t="s">
        <v>39</v>
      </c>
      <c r="G73" s="385"/>
      <c r="H73" s="385"/>
      <c r="I73" s="385"/>
      <c r="J73" s="385"/>
      <c r="K73" s="386" t="s">
        <v>60</v>
      </c>
      <c r="L73" s="387"/>
      <c r="M73" s="387"/>
      <c r="N73" s="387"/>
      <c r="O73" s="387"/>
      <c r="P73" s="387"/>
      <c r="Q73" s="387"/>
      <c r="R73" s="387"/>
      <c r="S73" s="388"/>
      <c r="T73" s="385" t="s">
        <v>50</v>
      </c>
      <c r="U73" s="385"/>
      <c r="V73" s="386" t="s">
        <v>51</v>
      </c>
      <c r="W73" s="388"/>
      <c r="X73" s="387" t="s">
        <v>52</v>
      </c>
      <c r="Y73" s="387"/>
      <c r="Z73" s="387"/>
      <c r="AA73" s="387"/>
      <c r="AB73" s="387"/>
      <c r="AC73" s="387"/>
      <c r="AD73" s="389"/>
      <c r="AF73" s="53"/>
    </row>
    <row r="74" spans="1:32" ht="33.75" customHeight="1">
      <c r="A74" s="357">
        <v>1</v>
      </c>
      <c r="B74" s="358"/>
      <c r="C74" s="232" t="s">
        <v>118</v>
      </c>
      <c r="D74" s="232"/>
      <c r="E74" s="71" t="s">
        <v>124</v>
      </c>
      <c r="F74" s="371" t="s">
        <v>125</v>
      </c>
      <c r="G74" s="372"/>
      <c r="H74" s="372"/>
      <c r="I74" s="372"/>
      <c r="J74" s="373"/>
      <c r="K74" s="374" t="s">
        <v>120</v>
      </c>
      <c r="L74" s="375"/>
      <c r="M74" s="375"/>
      <c r="N74" s="375"/>
      <c r="O74" s="375"/>
      <c r="P74" s="375"/>
      <c r="Q74" s="375"/>
      <c r="R74" s="375"/>
      <c r="S74" s="376"/>
      <c r="T74" s="377">
        <v>42901</v>
      </c>
      <c r="U74" s="378"/>
      <c r="V74" s="379"/>
      <c r="W74" s="379"/>
      <c r="X74" s="380"/>
      <c r="Y74" s="380"/>
      <c r="Z74" s="380"/>
      <c r="AA74" s="380"/>
      <c r="AB74" s="380"/>
      <c r="AC74" s="380"/>
      <c r="AD74" s="381"/>
      <c r="AF74" s="53"/>
    </row>
    <row r="75" spans="1:32" ht="30" customHeight="1">
      <c r="A75" s="350">
        <f>A74+1</f>
        <v>2</v>
      </c>
      <c r="B75" s="351"/>
      <c r="C75" s="231" t="s">
        <v>118</v>
      </c>
      <c r="D75" s="231"/>
      <c r="E75" s="35" t="s">
        <v>121</v>
      </c>
      <c r="F75" s="351" t="s">
        <v>122</v>
      </c>
      <c r="G75" s="351"/>
      <c r="H75" s="351"/>
      <c r="I75" s="351"/>
      <c r="J75" s="351"/>
      <c r="K75" s="365" t="s">
        <v>123</v>
      </c>
      <c r="L75" s="366"/>
      <c r="M75" s="366"/>
      <c r="N75" s="366"/>
      <c r="O75" s="366"/>
      <c r="P75" s="366"/>
      <c r="Q75" s="366"/>
      <c r="R75" s="366"/>
      <c r="S75" s="367"/>
      <c r="T75" s="368">
        <v>42867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ref="A76:A82" si="19">A75+1</f>
        <v>3</v>
      </c>
      <c r="B76" s="351"/>
      <c r="C76" s="231" t="s">
        <v>137</v>
      </c>
      <c r="D76" s="231"/>
      <c r="E76" s="35" t="s">
        <v>135</v>
      </c>
      <c r="F76" s="351" t="s">
        <v>138</v>
      </c>
      <c r="G76" s="351"/>
      <c r="H76" s="351"/>
      <c r="I76" s="351"/>
      <c r="J76" s="351"/>
      <c r="K76" s="365" t="s">
        <v>120</v>
      </c>
      <c r="L76" s="366"/>
      <c r="M76" s="366"/>
      <c r="N76" s="366"/>
      <c r="O76" s="366"/>
      <c r="P76" s="366"/>
      <c r="Q76" s="366"/>
      <c r="R76" s="366"/>
      <c r="S76" s="367"/>
      <c r="T76" s="368">
        <v>42937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9"/>
        <v>4</v>
      </c>
      <c r="B77" s="351"/>
      <c r="C77" s="231" t="s">
        <v>119</v>
      </c>
      <c r="D77" s="231"/>
      <c r="E77" s="35" t="s">
        <v>133</v>
      </c>
      <c r="F77" s="351" t="s">
        <v>134</v>
      </c>
      <c r="G77" s="351"/>
      <c r="H77" s="351"/>
      <c r="I77" s="351"/>
      <c r="J77" s="351"/>
      <c r="K77" s="365" t="s">
        <v>136</v>
      </c>
      <c r="L77" s="366"/>
      <c r="M77" s="366"/>
      <c r="N77" s="366"/>
      <c r="O77" s="366"/>
      <c r="P77" s="366"/>
      <c r="Q77" s="366"/>
      <c r="R77" s="366"/>
      <c r="S77" s="367"/>
      <c r="T77" s="368">
        <v>42920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9"/>
        <v>5</v>
      </c>
      <c r="B78" s="351"/>
      <c r="C78" s="231" t="s">
        <v>119</v>
      </c>
      <c r="D78" s="231"/>
      <c r="E78" s="35" t="s">
        <v>332</v>
      </c>
      <c r="F78" s="351" t="s">
        <v>410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9"/>
        <v>6</v>
      </c>
      <c r="B79" s="351"/>
      <c r="C79" s="231" t="s">
        <v>119</v>
      </c>
      <c r="D79" s="231"/>
      <c r="E79" s="35" t="s">
        <v>179</v>
      </c>
      <c r="F79" s="351" t="s">
        <v>412</v>
      </c>
      <c r="G79" s="351"/>
      <c r="H79" s="351"/>
      <c r="I79" s="351"/>
      <c r="J79" s="351"/>
      <c r="K79" s="365" t="s">
        <v>411</v>
      </c>
      <c r="L79" s="366"/>
      <c r="M79" s="366"/>
      <c r="N79" s="366"/>
      <c r="O79" s="366"/>
      <c r="P79" s="366"/>
      <c r="Q79" s="366"/>
      <c r="R79" s="366"/>
      <c r="S79" s="367"/>
      <c r="T79" s="368">
        <v>43022</v>
      </c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9"/>
        <v>7</v>
      </c>
      <c r="B80" s="351"/>
      <c r="C80" s="231"/>
      <c r="D80" s="231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9"/>
        <v>8</v>
      </c>
      <c r="B81" s="351"/>
      <c r="C81" s="231"/>
      <c r="D81" s="231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0" customHeight="1">
      <c r="A82" s="350">
        <f t="shared" si="19"/>
        <v>9</v>
      </c>
      <c r="B82" s="351"/>
      <c r="C82" s="231"/>
      <c r="D82" s="231"/>
      <c r="E82" s="35"/>
      <c r="F82" s="351"/>
      <c r="G82" s="351"/>
      <c r="H82" s="351"/>
      <c r="I82" s="351"/>
      <c r="J82" s="351"/>
      <c r="K82" s="365"/>
      <c r="L82" s="366"/>
      <c r="M82" s="366"/>
      <c r="N82" s="366"/>
      <c r="O82" s="366"/>
      <c r="P82" s="366"/>
      <c r="Q82" s="366"/>
      <c r="R82" s="366"/>
      <c r="S82" s="367"/>
      <c r="T82" s="368"/>
      <c r="U82" s="368"/>
      <c r="V82" s="368"/>
      <c r="W82" s="368"/>
      <c r="X82" s="369"/>
      <c r="Y82" s="369"/>
      <c r="Z82" s="369"/>
      <c r="AA82" s="369"/>
      <c r="AB82" s="369"/>
      <c r="AC82" s="369"/>
      <c r="AD82" s="370"/>
      <c r="AF82" s="53"/>
    </row>
    <row r="83" spans="1:32" ht="36" thickBot="1">
      <c r="A83" s="363" t="s">
        <v>558</v>
      </c>
      <c r="B83" s="363"/>
      <c r="C83" s="363"/>
      <c r="D83" s="363"/>
      <c r="E83" s="363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4" t="s">
        <v>37</v>
      </c>
      <c r="B84" s="455"/>
      <c r="C84" s="355" t="s">
        <v>53</v>
      </c>
      <c r="D84" s="355"/>
      <c r="E84" s="355" t="s">
        <v>54</v>
      </c>
      <c r="F84" s="355"/>
      <c r="G84" s="355"/>
      <c r="H84" s="355"/>
      <c r="I84" s="355"/>
      <c r="J84" s="355"/>
      <c r="K84" s="355" t="s">
        <v>55</v>
      </c>
      <c r="L84" s="355"/>
      <c r="M84" s="355"/>
      <c r="N84" s="355"/>
      <c r="O84" s="355"/>
      <c r="P84" s="355"/>
      <c r="Q84" s="355"/>
      <c r="R84" s="355"/>
      <c r="S84" s="355"/>
      <c r="T84" s="355" t="s">
        <v>56</v>
      </c>
      <c r="U84" s="355"/>
      <c r="V84" s="355" t="s">
        <v>57</v>
      </c>
      <c r="W84" s="355"/>
      <c r="X84" s="355"/>
      <c r="Y84" s="355" t="s">
        <v>52</v>
      </c>
      <c r="Z84" s="355"/>
      <c r="AA84" s="355"/>
      <c r="AB84" s="355"/>
      <c r="AC84" s="355"/>
      <c r="AD84" s="356"/>
      <c r="AF84" s="53"/>
    </row>
    <row r="85" spans="1:32" ht="30.75" customHeight="1">
      <c r="A85" s="357">
        <v>1</v>
      </c>
      <c r="B85" s="358"/>
      <c r="C85" s="359">
        <v>1</v>
      </c>
      <c r="D85" s="359"/>
      <c r="E85" s="359" t="s">
        <v>128</v>
      </c>
      <c r="F85" s="359"/>
      <c r="G85" s="359"/>
      <c r="H85" s="359"/>
      <c r="I85" s="359"/>
      <c r="J85" s="359"/>
      <c r="K85" s="359" t="s">
        <v>129</v>
      </c>
      <c r="L85" s="359"/>
      <c r="M85" s="359"/>
      <c r="N85" s="359"/>
      <c r="O85" s="359"/>
      <c r="P85" s="359"/>
      <c r="Q85" s="359"/>
      <c r="R85" s="359"/>
      <c r="S85" s="359"/>
      <c r="T85" s="359" t="s">
        <v>130</v>
      </c>
      <c r="U85" s="359"/>
      <c r="V85" s="360">
        <v>1500000</v>
      </c>
      <c r="W85" s="360"/>
      <c r="X85" s="360"/>
      <c r="Y85" s="361" t="s">
        <v>131</v>
      </c>
      <c r="Z85" s="361"/>
      <c r="AA85" s="361"/>
      <c r="AB85" s="361"/>
      <c r="AC85" s="361"/>
      <c r="AD85" s="362"/>
      <c r="AF85" s="53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3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559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0.51070617203115254</v>
      </c>
      <c r="AF6" s="94">
        <f t="shared" ref="AF6:AF21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0.51070617203115254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5860</v>
      </c>
      <c r="K8" s="15">
        <f>L8+3338+5408+3735+5862+5831</f>
        <v>30030</v>
      </c>
      <c r="L8" s="15">
        <f>3058+2798</f>
        <v>5856</v>
      </c>
      <c r="M8" s="16">
        <f t="shared" si="0"/>
        <v>5856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0.99931740614334474</v>
      </c>
      <c r="AC8" s="9">
        <f t="shared" si="5"/>
        <v>1</v>
      </c>
      <c r="AD8" s="10">
        <f t="shared" si="6"/>
        <v>0.99931740614334474</v>
      </c>
      <c r="AE8" s="39">
        <f t="shared" si="7"/>
        <v>0.51070617203115254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495</v>
      </c>
      <c r="E9" s="56" t="s">
        <v>496</v>
      </c>
      <c r="F9" s="12">
        <v>7301</v>
      </c>
      <c r="G9" s="12">
        <v>1</v>
      </c>
      <c r="H9" s="38">
        <v>25</v>
      </c>
      <c r="I9" s="34">
        <v>5000</v>
      </c>
      <c r="J9" s="5">
        <v>5240</v>
      </c>
      <c r="K9" s="15">
        <f>L9+4071</f>
        <v>9308</v>
      </c>
      <c r="L9" s="15">
        <f>2636+2601</f>
        <v>5237</v>
      </c>
      <c r="M9" s="16">
        <f t="shared" si="0"/>
        <v>5237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0.99942748091603051</v>
      </c>
      <c r="AC9" s="9">
        <f t="shared" si="5"/>
        <v>1</v>
      </c>
      <c r="AD9" s="10">
        <f t="shared" si="6"/>
        <v>0.99942748091603051</v>
      </c>
      <c r="AE9" s="39">
        <f t="shared" si="7"/>
        <v>0.51070617203115254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60000</v>
      </c>
      <c r="J10" s="14">
        <v>8680</v>
      </c>
      <c r="K10" s="15">
        <f>L10+5816+6288+3800+8500+8684+10628+892</f>
        <v>53282</v>
      </c>
      <c r="L10" s="15">
        <f>2714*2+1623*2</f>
        <v>8674</v>
      </c>
      <c r="M10" s="16">
        <f t="shared" si="0"/>
        <v>8674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>
        <v>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0.99930875576036871</v>
      </c>
      <c r="AC10" s="9">
        <f t="shared" si="5"/>
        <v>0.91666666666666663</v>
      </c>
      <c r="AD10" s="10">
        <f t="shared" si="6"/>
        <v>0.91603302611367132</v>
      </c>
      <c r="AE10" s="39">
        <f t="shared" si="7"/>
        <v>0.51070617203115254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560</v>
      </c>
      <c r="E11" s="56" t="s">
        <v>561</v>
      </c>
      <c r="F11" s="12" t="s">
        <v>453</v>
      </c>
      <c r="G11" s="12">
        <v>1</v>
      </c>
      <c r="H11" s="13">
        <v>25</v>
      </c>
      <c r="I11" s="34">
        <v>55000</v>
      </c>
      <c r="J11" s="14">
        <v>2930</v>
      </c>
      <c r="K11" s="15">
        <f>L11</f>
        <v>2928</v>
      </c>
      <c r="L11" s="15">
        <f>2928</f>
        <v>2928</v>
      </c>
      <c r="M11" s="16">
        <f t="shared" si="0"/>
        <v>2928</v>
      </c>
      <c r="N11" s="16">
        <v>0</v>
      </c>
      <c r="O11" s="62">
        <f t="shared" si="1"/>
        <v>0</v>
      </c>
      <c r="P11" s="42">
        <f t="shared" si="2"/>
        <v>15</v>
      </c>
      <c r="Q11" s="43">
        <f t="shared" si="3"/>
        <v>9</v>
      </c>
      <c r="R11" s="7"/>
      <c r="S11" s="6">
        <v>9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0.99931740614334474</v>
      </c>
      <c r="AC11" s="9">
        <f t="shared" si="5"/>
        <v>0.625</v>
      </c>
      <c r="AD11" s="10">
        <f t="shared" si="6"/>
        <v>0.62457337883959041</v>
      </c>
      <c r="AE11" s="39">
        <f t="shared" si="7"/>
        <v>0.51070617203115254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454</v>
      </c>
      <c r="D12" s="55"/>
      <c r="E12" s="57" t="s">
        <v>455</v>
      </c>
      <c r="F12" s="12">
        <v>7301</v>
      </c>
      <c r="G12" s="12" t="s">
        <v>456</v>
      </c>
      <c r="H12" s="13">
        <v>25</v>
      </c>
      <c r="I12" s="7">
        <v>1000</v>
      </c>
      <c r="J12" s="14">
        <v>2270</v>
      </c>
      <c r="K12" s="15">
        <f>L12+2261</f>
        <v>2261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0.51070617203115254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562</v>
      </c>
      <c r="E13" s="56" t="s">
        <v>563</v>
      </c>
      <c r="F13" s="12" t="s">
        <v>564</v>
      </c>
      <c r="G13" s="12">
        <v>1</v>
      </c>
      <c r="H13" s="13">
        <v>25</v>
      </c>
      <c r="I13" s="7">
        <v>7000</v>
      </c>
      <c r="J13" s="14">
        <v>2610</v>
      </c>
      <c r="K13" s="15">
        <f>L13</f>
        <v>2605</v>
      </c>
      <c r="L13" s="15">
        <f>2605</f>
        <v>2605</v>
      </c>
      <c r="M13" s="16">
        <f t="shared" si="0"/>
        <v>2605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10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0.99808429118773945</v>
      </c>
      <c r="AC13" s="9">
        <f t="shared" si="5"/>
        <v>0.58333333333333337</v>
      </c>
      <c r="AD13" s="10">
        <f t="shared" si="6"/>
        <v>0.58221583652618136</v>
      </c>
      <c r="AE13" s="39">
        <f t="shared" si="7"/>
        <v>0.51070617203115254</v>
      </c>
      <c r="AF13" s="94">
        <f t="shared" si="8"/>
        <v>8</v>
      </c>
    </row>
    <row r="14" spans="1:36" ht="27" customHeight="1">
      <c r="A14" s="109">
        <v>9</v>
      </c>
      <c r="B14" s="11" t="s">
        <v>497</v>
      </c>
      <c r="C14" s="37" t="s">
        <v>498</v>
      </c>
      <c r="D14" s="55" t="s">
        <v>499</v>
      </c>
      <c r="E14" s="57" t="s">
        <v>500</v>
      </c>
      <c r="F14" s="33" t="s">
        <v>501</v>
      </c>
      <c r="G14" s="36">
        <v>1</v>
      </c>
      <c r="H14" s="38">
        <v>25</v>
      </c>
      <c r="I14" s="7">
        <v>7000</v>
      </c>
      <c r="J14" s="5">
        <v>4180</v>
      </c>
      <c r="K14" s="15">
        <f>L14+4000</f>
        <v>8176</v>
      </c>
      <c r="L14" s="15">
        <f>1984+2192</f>
        <v>4176</v>
      </c>
      <c r="M14" s="16">
        <f t="shared" si="0"/>
        <v>4176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0.99904306220095696</v>
      </c>
      <c r="AC14" s="9">
        <f t="shared" si="5"/>
        <v>1</v>
      </c>
      <c r="AD14" s="10">
        <f t="shared" si="6"/>
        <v>0.99904306220095696</v>
      </c>
      <c r="AE14" s="39">
        <f t="shared" si="7"/>
        <v>0.51070617203115254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0.51070617203115254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L16+5007+2840</f>
        <v>7847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0.51070617203115254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502</v>
      </c>
      <c r="C17" s="37" t="s">
        <v>503</v>
      </c>
      <c r="D17" s="55"/>
      <c r="E17" s="56" t="s">
        <v>504</v>
      </c>
      <c r="F17" s="12">
        <v>8301</v>
      </c>
      <c r="G17" s="12" t="s">
        <v>505</v>
      </c>
      <c r="H17" s="13">
        <v>25</v>
      </c>
      <c r="I17" s="34">
        <v>500</v>
      </c>
      <c r="J17" s="5">
        <v>1260</v>
      </c>
      <c r="K17" s="15">
        <f>L17+1256</f>
        <v>1256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0.51070617203115254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373</v>
      </c>
      <c r="D18" s="55" t="s">
        <v>260</v>
      </c>
      <c r="E18" s="57" t="s">
        <v>374</v>
      </c>
      <c r="F18" s="33" t="s">
        <v>259</v>
      </c>
      <c r="G18" s="12">
        <v>1</v>
      </c>
      <c r="H18" s="13">
        <v>25</v>
      </c>
      <c r="I18" s="34">
        <v>40000</v>
      </c>
      <c r="J18" s="5">
        <v>2210</v>
      </c>
      <c r="K18" s="15">
        <f>L18+10802+7342+11244+11170</f>
        <v>42764</v>
      </c>
      <c r="L18" s="15">
        <f>1103*2</f>
        <v>2206</v>
      </c>
      <c r="M18" s="16">
        <f t="shared" si="0"/>
        <v>2206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si="4"/>
        <v>0.99819004524886878</v>
      </c>
      <c r="AC18" s="9">
        <f t="shared" si="5"/>
        <v>0.16666666666666666</v>
      </c>
      <c r="AD18" s="10">
        <f t="shared" si="6"/>
        <v>0.16636500754147812</v>
      </c>
      <c r="AE18" s="39">
        <f t="shared" si="7"/>
        <v>0.51070617203115254</v>
      </c>
      <c r="AF18" s="94">
        <f t="shared" si="8"/>
        <v>13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565</v>
      </c>
      <c r="E19" s="57" t="s">
        <v>566</v>
      </c>
      <c r="F19" s="33" t="s">
        <v>567</v>
      </c>
      <c r="G19" s="12">
        <v>1</v>
      </c>
      <c r="H19" s="13">
        <v>25</v>
      </c>
      <c r="I19" s="34">
        <v>7000</v>
      </c>
      <c r="J19" s="5">
        <v>3860</v>
      </c>
      <c r="K19" s="15">
        <f>L19</f>
        <v>3855</v>
      </c>
      <c r="L19" s="15">
        <f>2918+937</f>
        <v>3855</v>
      </c>
      <c r="M19" s="16">
        <f t="shared" ref="M19" si="9">L19-N19</f>
        <v>3855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19</v>
      </c>
      <c r="Q19" s="43">
        <f t="shared" ref="Q19" si="12">SUM(R19:AA19)</f>
        <v>5</v>
      </c>
      <c r="R19" s="7"/>
      <c r="S19" s="6"/>
      <c r="T19" s="17">
        <v>5</v>
      </c>
      <c r="U19" s="17"/>
      <c r="V19" s="18"/>
      <c r="W19" s="19"/>
      <c r="X19" s="17"/>
      <c r="Y19" s="20"/>
      <c r="Z19" s="20"/>
      <c r="AA19" s="21"/>
      <c r="AB19" s="8">
        <f t="shared" ref="AB19" si="13">IF(J19=0,"0",(L19/J19))</f>
        <v>0.99870466321243523</v>
      </c>
      <c r="AC19" s="9">
        <f t="shared" ref="AC19" si="14">IF(P19=0,"0",(P19/24))</f>
        <v>0.79166666666666663</v>
      </c>
      <c r="AD19" s="10">
        <f t="shared" ref="AD19" si="15">AC19*AB19*(1-O19)</f>
        <v>0.79064119170984448</v>
      </c>
      <c r="AE19" s="39">
        <f t="shared" si="7"/>
        <v>0.51070617203115254</v>
      </c>
      <c r="AF19" s="94">
        <f t="shared" ref="AF19" si="16">A19</f>
        <v>13</v>
      </c>
    </row>
    <row r="20" spans="1:32" ht="27" customHeight="1">
      <c r="A20" s="110">
        <v>14</v>
      </c>
      <c r="B20" s="11" t="s">
        <v>59</v>
      </c>
      <c r="C20" s="37" t="s">
        <v>119</v>
      </c>
      <c r="D20" s="55" t="s">
        <v>508</v>
      </c>
      <c r="E20" s="57" t="s">
        <v>509</v>
      </c>
      <c r="F20" s="33" t="s">
        <v>507</v>
      </c>
      <c r="G20" s="36">
        <v>1</v>
      </c>
      <c r="H20" s="38">
        <v>25</v>
      </c>
      <c r="I20" s="7">
        <v>7000</v>
      </c>
      <c r="J20" s="5">
        <v>5600</v>
      </c>
      <c r="K20" s="15">
        <f>L20+3052</f>
        <v>8650</v>
      </c>
      <c r="L20" s="15">
        <f>2910+2688</f>
        <v>5598</v>
      </c>
      <c r="M20" s="16">
        <f t="shared" si="0"/>
        <v>5598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0.99964285714285717</v>
      </c>
      <c r="AC20" s="9">
        <f t="shared" si="5"/>
        <v>1</v>
      </c>
      <c r="AD20" s="10">
        <f t="shared" si="6"/>
        <v>0.99964285714285717</v>
      </c>
      <c r="AE20" s="39">
        <f t="shared" si="7"/>
        <v>0.51070617203115254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568</v>
      </c>
      <c r="C21" s="11" t="s">
        <v>569</v>
      </c>
      <c r="D21" s="55"/>
      <c r="E21" s="56" t="s">
        <v>570</v>
      </c>
      <c r="F21" s="12" t="s">
        <v>571</v>
      </c>
      <c r="G21" s="12">
        <v>4</v>
      </c>
      <c r="H21" s="38">
        <v>15</v>
      </c>
      <c r="I21" s="7">
        <v>300000</v>
      </c>
      <c r="J21" s="14">
        <v>28820</v>
      </c>
      <c r="K21" s="15">
        <f>L21</f>
        <v>28820</v>
      </c>
      <c r="L21" s="15">
        <f>7205*4</f>
        <v>28820</v>
      </c>
      <c r="M21" s="16">
        <f t="shared" si="0"/>
        <v>28820</v>
      </c>
      <c r="N21" s="16">
        <v>0</v>
      </c>
      <c r="O21" s="62">
        <f t="shared" si="1"/>
        <v>0</v>
      </c>
      <c r="P21" s="42">
        <f t="shared" si="2"/>
        <v>14</v>
      </c>
      <c r="Q21" s="43">
        <f t="shared" si="3"/>
        <v>10</v>
      </c>
      <c r="R21" s="7"/>
      <c r="S21" s="6">
        <v>10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9">
        <f t="shared" si="7"/>
        <v>0.51070617203115254</v>
      </c>
      <c r="AF21" s="94">
        <f t="shared" si="8"/>
        <v>15</v>
      </c>
    </row>
    <row r="22" spans="1:32" ht="31.5" customHeight="1" thickBot="1">
      <c r="A22" s="415" t="s">
        <v>34</v>
      </c>
      <c r="B22" s="416"/>
      <c r="C22" s="416"/>
      <c r="D22" s="416"/>
      <c r="E22" s="416"/>
      <c r="F22" s="416"/>
      <c r="G22" s="416"/>
      <c r="H22" s="417"/>
      <c r="I22" s="25">
        <f t="shared" ref="I22:N22" si="17">SUM(I6:I21)</f>
        <v>559500</v>
      </c>
      <c r="J22" s="22">
        <f t="shared" si="17"/>
        <v>97000</v>
      </c>
      <c r="K22" s="23">
        <f t="shared" si="17"/>
        <v>222422</v>
      </c>
      <c r="L22" s="24">
        <f t="shared" si="17"/>
        <v>69955</v>
      </c>
      <c r="M22" s="23">
        <f t="shared" si="17"/>
        <v>69955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184</v>
      </c>
      <c r="Q22" s="46">
        <f t="shared" si="18"/>
        <v>190</v>
      </c>
      <c r="R22" s="26">
        <f t="shared" si="18"/>
        <v>48</v>
      </c>
      <c r="S22" s="27">
        <f t="shared" si="18"/>
        <v>31</v>
      </c>
      <c r="T22" s="27">
        <f t="shared" si="18"/>
        <v>5</v>
      </c>
      <c r="U22" s="27">
        <f t="shared" si="18"/>
        <v>0</v>
      </c>
      <c r="V22" s="28">
        <f t="shared" si="18"/>
        <v>0</v>
      </c>
      <c r="W22" s="29">
        <f t="shared" si="18"/>
        <v>106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0.66606906453039649</v>
      </c>
      <c r="AC22" s="4">
        <f>SUM(AC6:AC21)/15</f>
        <v>0.51111111111111118</v>
      </c>
      <c r="AD22" s="4">
        <f>SUM(AD6:AD21)/15</f>
        <v>0.51070617203115254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8" t="s">
        <v>46</v>
      </c>
      <c r="B49" s="418"/>
      <c r="C49" s="418"/>
      <c r="D49" s="418"/>
      <c r="E49" s="418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9" t="s">
        <v>572</v>
      </c>
      <c r="B50" s="420"/>
      <c r="C50" s="420"/>
      <c r="D50" s="420"/>
      <c r="E50" s="420"/>
      <c r="F50" s="420"/>
      <c r="G50" s="420"/>
      <c r="H50" s="420"/>
      <c r="I50" s="420"/>
      <c r="J50" s="420"/>
      <c r="K50" s="420"/>
      <c r="L50" s="420"/>
      <c r="M50" s="421"/>
      <c r="N50" s="422" t="s">
        <v>583</v>
      </c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25" t="s">
        <v>2</v>
      </c>
      <c r="B51" s="426"/>
      <c r="C51" s="244" t="s">
        <v>47</v>
      </c>
      <c r="D51" s="244" t="s">
        <v>48</v>
      </c>
      <c r="E51" s="244" t="s">
        <v>110</v>
      </c>
      <c r="F51" s="426" t="s">
        <v>109</v>
      </c>
      <c r="G51" s="426"/>
      <c r="H51" s="426"/>
      <c r="I51" s="426"/>
      <c r="J51" s="426"/>
      <c r="K51" s="426"/>
      <c r="L51" s="426"/>
      <c r="M51" s="427"/>
      <c r="N51" s="73" t="s">
        <v>114</v>
      </c>
      <c r="O51" s="244" t="s">
        <v>47</v>
      </c>
      <c r="P51" s="428" t="s">
        <v>48</v>
      </c>
      <c r="Q51" s="429"/>
      <c r="R51" s="428" t="s">
        <v>39</v>
      </c>
      <c r="S51" s="430"/>
      <c r="T51" s="430"/>
      <c r="U51" s="429"/>
      <c r="V51" s="428" t="s">
        <v>49</v>
      </c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09" t="s">
        <v>523</v>
      </c>
      <c r="B52" s="410"/>
      <c r="C52" s="243" t="s">
        <v>524</v>
      </c>
      <c r="D52" s="240" t="s">
        <v>525</v>
      </c>
      <c r="E52" s="243" t="s">
        <v>526</v>
      </c>
      <c r="F52" s="394" t="s">
        <v>573</v>
      </c>
      <c r="G52" s="394"/>
      <c r="H52" s="394"/>
      <c r="I52" s="394"/>
      <c r="J52" s="394"/>
      <c r="K52" s="394"/>
      <c r="L52" s="394"/>
      <c r="M52" s="404"/>
      <c r="N52" s="239" t="s">
        <v>119</v>
      </c>
      <c r="O52" s="74" t="s">
        <v>584</v>
      </c>
      <c r="P52" s="411" t="s">
        <v>469</v>
      </c>
      <c r="Q52" s="412"/>
      <c r="R52" s="403" t="s">
        <v>470</v>
      </c>
      <c r="S52" s="403"/>
      <c r="T52" s="403"/>
      <c r="U52" s="403"/>
      <c r="V52" s="394" t="s">
        <v>531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119</v>
      </c>
      <c r="B53" s="410"/>
      <c r="C53" s="243" t="s">
        <v>574</v>
      </c>
      <c r="D53" s="240" t="s">
        <v>575</v>
      </c>
      <c r="E53" s="243" t="s">
        <v>576</v>
      </c>
      <c r="F53" s="394" t="s">
        <v>520</v>
      </c>
      <c r="G53" s="394"/>
      <c r="H53" s="394"/>
      <c r="I53" s="394"/>
      <c r="J53" s="394"/>
      <c r="K53" s="394"/>
      <c r="L53" s="394"/>
      <c r="M53" s="404"/>
      <c r="N53" s="239" t="s">
        <v>119</v>
      </c>
      <c r="O53" s="74" t="s">
        <v>585</v>
      </c>
      <c r="P53" s="411" t="s">
        <v>586</v>
      </c>
      <c r="Q53" s="412"/>
      <c r="R53" s="403" t="s">
        <v>587</v>
      </c>
      <c r="S53" s="403"/>
      <c r="T53" s="403"/>
      <c r="U53" s="403"/>
      <c r="V53" s="394" t="s">
        <v>177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137</v>
      </c>
      <c r="B54" s="410"/>
      <c r="C54" s="243" t="s">
        <v>577</v>
      </c>
      <c r="D54" s="240" t="s">
        <v>578</v>
      </c>
      <c r="E54" s="243" t="s">
        <v>579</v>
      </c>
      <c r="F54" s="394" t="s">
        <v>520</v>
      </c>
      <c r="G54" s="394"/>
      <c r="H54" s="394"/>
      <c r="I54" s="394"/>
      <c r="J54" s="394"/>
      <c r="K54" s="394"/>
      <c r="L54" s="394"/>
      <c r="M54" s="404"/>
      <c r="N54" s="239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119</v>
      </c>
      <c r="B55" s="410"/>
      <c r="C55" s="243" t="s">
        <v>580</v>
      </c>
      <c r="D55" s="240" t="s">
        <v>581</v>
      </c>
      <c r="E55" s="243" t="s">
        <v>582</v>
      </c>
      <c r="F55" s="394" t="s">
        <v>520</v>
      </c>
      <c r="G55" s="394"/>
      <c r="H55" s="394"/>
      <c r="I55" s="394"/>
      <c r="J55" s="394"/>
      <c r="K55" s="394"/>
      <c r="L55" s="394"/>
      <c r="M55" s="404"/>
      <c r="N55" s="239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569</v>
      </c>
      <c r="B56" s="410"/>
      <c r="C56" s="243" t="s">
        <v>588</v>
      </c>
      <c r="D56" s="240"/>
      <c r="E56" s="243" t="s">
        <v>589</v>
      </c>
      <c r="F56" s="394" t="s">
        <v>520</v>
      </c>
      <c r="G56" s="394"/>
      <c r="H56" s="394"/>
      <c r="I56" s="394"/>
      <c r="J56" s="394"/>
      <c r="K56" s="394"/>
      <c r="L56" s="394"/>
      <c r="M56" s="404"/>
      <c r="N56" s="239"/>
      <c r="O56" s="74"/>
      <c r="P56" s="411"/>
      <c r="Q56" s="412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43"/>
      <c r="D57" s="240"/>
      <c r="E57" s="243"/>
      <c r="F57" s="394"/>
      <c r="G57" s="394"/>
      <c r="H57" s="394"/>
      <c r="I57" s="394"/>
      <c r="J57" s="394"/>
      <c r="K57" s="394"/>
      <c r="L57" s="394"/>
      <c r="M57" s="404"/>
      <c r="N57" s="239"/>
      <c r="O57" s="74"/>
      <c r="P57" s="403"/>
      <c r="Q57" s="403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43"/>
      <c r="D58" s="240"/>
      <c r="E58" s="243"/>
      <c r="F58" s="394"/>
      <c r="G58" s="394"/>
      <c r="H58" s="394"/>
      <c r="I58" s="394"/>
      <c r="J58" s="394"/>
      <c r="K58" s="394"/>
      <c r="L58" s="394"/>
      <c r="M58" s="404"/>
      <c r="N58" s="239"/>
      <c r="O58" s="74"/>
      <c r="P58" s="411"/>
      <c r="Q58" s="412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9"/>
      <c r="B59" s="410"/>
      <c r="C59" s="243"/>
      <c r="D59" s="240"/>
      <c r="E59" s="243"/>
      <c r="F59" s="394"/>
      <c r="G59" s="394"/>
      <c r="H59" s="394"/>
      <c r="I59" s="394"/>
      <c r="J59" s="394"/>
      <c r="K59" s="394"/>
      <c r="L59" s="394"/>
      <c r="M59" s="404"/>
      <c r="N59" s="23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</row>
    <row r="60" spans="1:32" ht="27" customHeight="1">
      <c r="A60" s="402"/>
      <c r="B60" s="403"/>
      <c r="C60" s="240"/>
      <c r="D60" s="240"/>
      <c r="E60" s="240"/>
      <c r="F60" s="394"/>
      <c r="G60" s="394"/>
      <c r="H60" s="394"/>
      <c r="I60" s="394"/>
      <c r="J60" s="394"/>
      <c r="K60" s="394"/>
      <c r="L60" s="394"/>
      <c r="M60" s="404"/>
      <c r="N60" s="239"/>
      <c r="O60" s="74"/>
      <c r="P60" s="403"/>
      <c r="Q60" s="403"/>
      <c r="R60" s="403"/>
      <c r="S60" s="403"/>
      <c r="T60" s="403"/>
      <c r="U60" s="403"/>
      <c r="V60" s="394"/>
      <c r="W60" s="394"/>
      <c r="X60" s="394"/>
      <c r="Y60" s="394"/>
      <c r="Z60" s="394"/>
      <c r="AA60" s="394"/>
      <c r="AB60" s="394"/>
      <c r="AC60" s="394"/>
      <c r="AD60" s="404"/>
      <c r="AF60" s="94">
        <f>8*3000</f>
        <v>24000</v>
      </c>
    </row>
    <row r="61" spans="1:32" ht="27" customHeight="1" thickBot="1">
      <c r="A61" s="405"/>
      <c r="B61" s="406"/>
      <c r="C61" s="242"/>
      <c r="D61" s="242"/>
      <c r="E61" s="242"/>
      <c r="F61" s="407"/>
      <c r="G61" s="407"/>
      <c r="H61" s="407"/>
      <c r="I61" s="407"/>
      <c r="J61" s="407"/>
      <c r="K61" s="407"/>
      <c r="L61" s="407"/>
      <c r="M61" s="408"/>
      <c r="N61" s="241"/>
      <c r="O61" s="121"/>
      <c r="P61" s="406"/>
      <c r="Q61" s="406"/>
      <c r="R61" s="406"/>
      <c r="S61" s="406"/>
      <c r="T61" s="406"/>
      <c r="U61" s="406"/>
      <c r="V61" s="407"/>
      <c r="W61" s="407"/>
      <c r="X61" s="407"/>
      <c r="Y61" s="407"/>
      <c r="Z61" s="407"/>
      <c r="AA61" s="407"/>
      <c r="AB61" s="407"/>
      <c r="AC61" s="407"/>
      <c r="AD61" s="408"/>
      <c r="AF61" s="94">
        <f>16*3000</f>
        <v>48000</v>
      </c>
    </row>
    <row r="62" spans="1:32" ht="27.75" thickBot="1">
      <c r="A62" s="400" t="s">
        <v>590</v>
      </c>
      <c r="B62" s="400"/>
      <c r="C62" s="400"/>
      <c r="D62" s="400"/>
      <c r="E62" s="400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1" t="s">
        <v>115</v>
      </c>
      <c r="B63" s="398"/>
      <c r="C63" s="238" t="s">
        <v>2</v>
      </c>
      <c r="D63" s="238" t="s">
        <v>38</v>
      </c>
      <c r="E63" s="238" t="s">
        <v>3</v>
      </c>
      <c r="F63" s="398" t="s">
        <v>112</v>
      </c>
      <c r="G63" s="398"/>
      <c r="H63" s="398"/>
      <c r="I63" s="398"/>
      <c r="J63" s="398"/>
      <c r="K63" s="398" t="s">
        <v>40</v>
      </c>
      <c r="L63" s="398"/>
      <c r="M63" s="238" t="s">
        <v>41</v>
      </c>
      <c r="N63" s="398" t="s">
        <v>42</v>
      </c>
      <c r="O63" s="398"/>
      <c r="P63" s="395" t="s">
        <v>43</v>
      </c>
      <c r="Q63" s="397"/>
      <c r="R63" s="395" t="s">
        <v>44</v>
      </c>
      <c r="S63" s="396"/>
      <c r="T63" s="396"/>
      <c r="U63" s="396"/>
      <c r="V63" s="396"/>
      <c r="W63" s="396"/>
      <c r="X63" s="396"/>
      <c r="Y63" s="396"/>
      <c r="Z63" s="396"/>
      <c r="AA63" s="397"/>
      <c r="AB63" s="398" t="s">
        <v>45</v>
      </c>
      <c r="AC63" s="398"/>
      <c r="AD63" s="399"/>
      <c r="AF63" s="94">
        <f>SUM(AF60:AF62)</f>
        <v>96000</v>
      </c>
    </row>
    <row r="64" spans="1:32" ht="25.5" customHeight="1">
      <c r="A64" s="390">
        <v>1</v>
      </c>
      <c r="B64" s="391"/>
      <c r="C64" s="124" t="s">
        <v>542</v>
      </c>
      <c r="D64" s="234"/>
      <c r="E64" s="236" t="s">
        <v>591</v>
      </c>
      <c r="F64" s="392" t="s">
        <v>592</v>
      </c>
      <c r="G64" s="382"/>
      <c r="H64" s="382"/>
      <c r="I64" s="382"/>
      <c r="J64" s="382"/>
      <c r="K64" s="382" t="s">
        <v>593</v>
      </c>
      <c r="L64" s="382"/>
      <c r="M64" s="54" t="s">
        <v>594</v>
      </c>
      <c r="N64" s="382">
        <v>6</v>
      </c>
      <c r="O64" s="382"/>
      <c r="P64" s="393">
        <v>300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2</v>
      </c>
      <c r="B65" s="391"/>
      <c r="C65" s="124" t="s">
        <v>547</v>
      </c>
      <c r="D65" s="234"/>
      <c r="E65" s="236" t="s">
        <v>595</v>
      </c>
      <c r="F65" s="392" t="s">
        <v>596</v>
      </c>
      <c r="G65" s="382"/>
      <c r="H65" s="382"/>
      <c r="I65" s="382"/>
      <c r="J65" s="382"/>
      <c r="K65" s="382" t="s">
        <v>550</v>
      </c>
      <c r="L65" s="382"/>
      <c r="M65" s="54" t="s">
        <v>551</v>
      </c>
      <c r="N65" s="382">
        <v>7</v>
      </c>
      <c r="O65" s="382"/>
      <c r="P65" s="393">
        <v>300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3</v>
      </c>
      <c r="B66" s="391"/>
      <c r="C66" s="124" t="s">
        <v>547</v>
      </c>
      <c r="D66" s="234"/>
      <c r="E66" s="236" t="s">
        <v>552</v>
      </c>
      <c r="F66" s="392" t="s">
        <v>553</v>
      </c>
      <c r="G66" s="382"/>
      <c r="H66" s="382"/>
      <c r="I66" s="382"/>
      <c r="J66" s="382"/>
      <c r="K66" s="382" t="s">
        <v>554</v>
      </c>
      <c r="L66" s="382"/>
      <c r="M66" s="54" t="s">
        <v>555</v>
      </c>
      <c r="N66" s="382">
        <v>8</v>
      </c>
      <c r="O66" s="382"/>
      <c r="P66" s="393"/>
      <c r="Q66" s="393"/>
      <c r="R66" s="394" t="s">
        <v>597</v>
      </c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4</v>
      </c>
      <c r="B67" s="391"/>
      <c r="C67" s="124" t="s">
        <v>598</v>
      </c>
      <c r="D67" s="234"/>
      <c r="E67" s="236" t="s">
        <v>595</v>
      </c>
      <c r="F67" s="392" t="s">
        <v>599</v>
      </c>
      <c r="G67" s="382"/>
      <c r="H67" s="382"/>
      <c r="I67" s="382"/>
      <c r="J67" s="382"/>
      <c r="K67" s="382" t="s">
        <v>600</v>
      </c>
      <c r="L67" s="382"/>
      <c r="M67" s="54" t="s">
        <v>601</v>
      </c>
      <c r="N67" s="382">
        <v>7</v>
      </c>
      <c r="O67" s="382"/>
      <c r="P67" s="393">
        <v>50</v>
      </c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5</v>
      </c>
      <c r="B68" s="391"/>
      <c r="C68" s="124" t="s">
        <v>598</v>
      </c>
      <c r="D68" s="234"/>
      <c r="E68" s="236" t="s">
        <v>595</v>
      </c>
      <c r="F68" s="392" t="s">
        <v>602</v>
      </c>
      <c r="G68" s="382"/>
      <c r="H68" s="382"/>
      <c r="I68" s="382"/>
      <c r="J68" s="382"/>
      <c r="K68" s="382" t="s">
        <v>600</v>
      </c>
      <c r="L68" s="382"/>
      <c r="M68" s="54" t="s">
        <v>601</v>
      </c>
      <c r="N68" s="382">
        <v>7</v>
      </c>
      <c r="O68" s="382"/>
      <c r="P68" s="393">
        <v>50</v>
      </c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6</v>
      </c>
      <c r="B69" s="391"/>
      <c r="C69" s="124"/>
      <c r="D69" s="234"/>
      <c r="E69" s="236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7</v>
      </c>
      <c r="B70" s="391"/>
      <c r="C70" s="124"/>
      <c r="D70" s="234"/>
      <c r="E70" s="236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5.5" customHeight="1">
      <c r="A71" s="390">
        <v>8</v>
      </c>
      <c r="B71" s="391"/>
      <c r="C71" s="124"/>
      <c r="D71" s="234"/>
      <c r="E71" s="236"/>
      <c r="F71" s="392"/>
      <c r="G71" s="382"/>
      <c r="H71" s="382"/>
      <c r="I71" s="382"/>
      <c r="J71" s="382"/>
      <c r="K71" s="382"/>
      <c r="L71" s="382"/>
      <c r="M71" s="54"/>
      <c r="N71" s="382"/>
      <c r="O71" s="382"/>
      <c r="P71" s="393"/>
      <c r="Q71" s="393"/>
      <c r="R71" s="394"/>
      <c r="S71" s="394"/>
      <c r="T71" s="394"/>
      <c r="U71" s="394"/>
      <c r="V71" s="394"/>
      <c r="W71" s="394"/>
      <c r="X71" s="394"/>
      <c r="Y71" s="394"/>
      <c r="Z71" s="394"/>
      <c r="AA71" s="394"/>
      <c r="AB71" s="382"/>
      <c r="AC71" s="382"/>
      <c r="AD71" s="383"/>
      <c r="AF71" s="53"/>
    </row>
    <row r="72" spans="1:32" ht="26.25" customHeight="1" thickBot="1">
      <c r="A72" s="363" t="s">
        <v>603</v>
      </c>
      <c r="B72" s="363"/>
      <c r="C72" s="363"/>
      <c r="D72" s="363"/>
      <c r="E72" s="363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84" t="s">
        <v>115</v>
      </c>
      <c r="B73" s="385"/>
      <c r="C73" s="237" t="s">
        <v>2</v>
      </c>
      <c r="D73" s="237" t="s">
        <v>38</v>
      </c>
      <c r="E73" s="237" t="s">
        <v>3</v>
      </c>
      <c r="F73" s="385" t="s">
        <v>39</v>
      </c>
      <c r="G73" s="385"/>
      <c r="H73" s="385"/>
      <c r="I73" s="385"/>
      <c r="J73" s="385"/>
      <c r="K73" s="386" t="s">
        <v>60</v>
      </c>
      <c r="L73" s="387"/>
      <c r="M73" s="387"/>
      <c r="N73" s="387"/>
      <c r="O73" s="387"/>
      <c r="P73" s="387"/>
      <c r="Q73" s="387"/>
      <c r="R73" s="387"/>
      <c r="S73" s="388"/>
      <c r="T73" s="385" t="s">
        <v>50</v>
      </c>
      <c r="U73" s="385"/>
      <c r="V73" s="386" t="s">
        <v>51</v>
      </c>
      <c r="W73" s="388"/>
      <c r="X73" s="387" t="s">
        <v>52</v>
      </c>
      <c r="Y73" s="387"/>
      <c r="Z73" s="387"/>
      <c r="AA73" s="387"/>
      <c r="AB73" s="387"/>
      <c r="AC73" s="387"/>
      <c r="AD73" s="389"/>
      <c r="AF73" s="53"/>
    </row>
    <row r="74" spans="1:32" ht="33.75" customHeight="1">
      <c r="A74" s="357">
        <v>1</v>
      </c>
      <c r="B74" s="358"/>
      <c r="C74" s="235" t="s">
        <v>118</v>
      </c>
      <c r="D74" s="235"/>
      <c r="E74" s="71" t="s">
        <v>124</v>
      </c>
      <c r="F74" s="371" t="s">
        <v>125</v>
      </c>
      <c r="G74" s="372"/>
      <c r="H74" s="372"/>
      <c r="I74" s="372"/>
      <c r="J74" s="373"/>
      <c r="K74" s="374" t="s">
        <v>120</v>
      </c>
      <c r="L74" s="375"/>
      <c r="M74" s="375"/>
      <c r="N74" s="375"/>
      <c r="O74" s="375"/>
      <c r="P74" s="375"/>
      <c r="Q74" s="375"/>
      <c r="R74" s="375"/>
      <c r="S74" s="376"/>
      <c r="T74" s="377">
        <v>42901</v>
      </c>
      <c r="U74" s="378"/>
      <c r="V74" s="379"/>
      <c r="W74" s="379"/>
      <c r="X74" s="380"/>
      <c r="Y74" s="380"/>
      <c r="Z74" s="380"/>
      <c r="AA74" s="380"/>
      <c r="AB74" s="380"/>
      <c r="AC74" s="380"/>
      <c r="AD74" s="381"/>
      <c r="AF74" s="53"/>
    </row>
    <row r="75" spans="1:32" ht="30" customHeight="1">
      <c r="A75" s="350">
        <f>A74+1</f>
        <v>2</v>
      </c>
      <c r="B75" s="351"/>
      <c r="C75" s="234" t="s">
        <v>118</v>
      </c>
      <c r="D75" s="234"/>
      <c r="E75" s="35" t="s">
        <v>121</v>
      </c>
      <c r="F75" s="351" t="s">
        <v>122</v>
      </c>
      <c r="G75" s="351"/>
      <c r="H75" s="351"/>
      <c r="I75" s="351"/>
      <c r="J75" s="351"/>
      <c r="K75" s="365" t="s">
        <v>123</v>
      </c>
      <c r="L75" s="366"/>
      <c r="M75" s="366"/>
      <c r="N75" s="366"/>
      <c r="O75" s="366"/>
      <c r="P75" s="366"/>
      <c r="Q75" s="366"/>
      <c r="R75" s="366"/>
      <c r="S75" s="367"/>
      <c r="T75" s="368">
        <v>42867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ref="A76:A82" si="19">A75+1</f>
        <v>3</v>
      </c>
      <c r="B76" s="351"/>
      <c r="C76" s="234" t="s">
        <v>137</v>
      </c>
      <c r="D76" s="234"/>
      <c r="E76" s="35" t="s">
        <v>135</v>
      </c>
      <c r="F76" s="351" t="s">
        <v>138</v>
      </c>
      <c r="G76" s="351"/>
      <c r="H76" s="351"/>
      <c r="I76" s="351"/>
      <c r="J76" s="351"/>
      <c r="K76" s="365" t="s">
        <v>120</v>
      </c>
      <c r="L76" s="366"/>
      <c r="M76" s="366"/>
      <c r="N76" s="366"/>
      <c r="O76" s="366"/>
      <c r="P76" s="366"/>
      <c r="Q76" s="366"/>
      <c r="R76" s="366"/>
      <c r="S76" s="367"/>
      <c r="T76" s="368">
        <v>42937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9"/>
        <v>4</v>
      </c>
      <c r="B77" s="351"/>
      <c r="C77" s="234" t="s">
        <v>119</v>
      </c>
      <c r="D77" s="234"/>
      <c r="E77" s="35" t="s">
        <v>133</v>
      </c>
      <c r="F77" s="351" t="s">
        <v>134</v>
      </c>
      <c r="G77" s="351"/>
      <c r="H77" s="351"/>
      <c r="I77" s="351"/>
      <c r="J77" s="351"/>
      <c r="K77" s="365" t="s">
        <v>136</v>
      </c>
      <c r="L77" s="366"/>
      <c r="M77" s="366"/>
      <c r="N77" s="366"/>
      <c r="O77" s="366"/>
      <c r="P77" s="366"/>
      <c r="Q77" s="366"/>
      <c r="R77" s="366"/>
      <c r="S77" s="367"/>
      <c r="T77" s="368">
        <v>42920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9"/>
        <v>5</v>
      </c>
      <c r="B78" s="351"/>
      <c r="C78" s="234" t="s">
        <v>119</v>
      </c>
      <c r="D78" s="234"/>
      <c r="E78" s="35" t="s">
        <v>332</v>
      </c>
      <c r="F78" s="351" t="s">
        <v>410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9"/>
        <v>6</v>
      </c>
      <c r="B79" s="351"/>
      <c r="C79" s="234" t="s">
        <v>119</v>
      </c>
      <c r="D79" s="234"/>
      <c r="E79" s="35" t="s">
        <v>179</v>
      </c>
      <c r="F79" s="351" t="s">
        <v>412</v>
      </c>
      <c r="G79" s="351"/>
      <c r="H79" s="351"/>
      <c r="I79" s="351"/>
      <c r="J79" s="351"/>
      <c r="K79" s="365" t="s">
        <v>411</v>
      </c>
      <c r="L79" s="366"/>
      <c r="M79" s="366"/>
      <c r="N79" s="366"/>
      <c r="O79" s="366"/>
      <c r="P79" s="366"/>
      <c r="Q79" s="366"/>
      <c r="R79" s="366"/>
      <c r="S79" s="367"/>
      <c r="T79" s="368">
        <v>43022</v>
      </c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9"/>
        <v>7</v>
      </c>
      <c r="B80" s="351"/>
      <c r="C80" s="234"/>
      <c r="D80" s="234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9"/>
        <v>8</v>
      </c>
      <c r="B81" s="351"/>
      <c r="C81" s="234"/>
      <c r="D81" s="234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0" customHeight="1">
      <c r="A82" s="350">
        <f t="shared" si="19"/>
        <v>9</v>
      </c>
      <c r="B82" s="351"/>
      <c r="C82" s="234"/>
      <c r="D82" s="234"/>
      <c r="E82" s="35"/>
      <c r="F82" s="351"/>
      <c r="G82" s="351"/>
      <c r="H82" s="351"/>
      <c r="I82" s="351"/>
      <c r="J82" s="351"/>
      <c r="K82" s="365"/>
      <c r="L82" s="366"/>
      <c r="M82" s="366"/>
      <c r="N82" s="366"/>
      <c r="O82" s="366"/>
      <c r="P82" s="366"/>
      <c r="Q82" s="366"/>
      <c r="R82" s="366"/>
      <c r="S82" s="367"/>
      <c r="T82" s="368"/>
      <c r="U82" s="368"/>
      <c r="V82" s="368"/>
      <c r="W82" s="368"/>
      <c r="X82" s="369"/>
      <c r="Y82" s="369"/>
      <c r="Z82" s="369"/>
      <c r="AA82" s="369"/>
      <c r="AB82" s="369"/>
      <c r="AC82" s="369"/>
      <c r="AD82" s="370"/>
      <c r="AF82" s="53"/>
    </row>
    <row r="83" spans="1:32" ht="36" thickBot="1">
      <c r="A83" s="363" t="s">
        <v>604</v>
      </c>
      <c r="B83" s="363"/>
      <c r="C83" s="363"/>
      <c r="D83" s="363"/>
      <c r="E83" s="363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4" t="s">
        <v>37</v>
      </c>
      <c r="B84" s="455"/>
      <c r="C84" s="355" t="s">
        <v>53</v>
      </c>
      <c r="D84" s="355"/>
      <c r="E84" s="355" t="s">
        <v>54</v>
      </c>
      <c r="F84" s="355"/>
      <c r="G84" s="355"/>
      <c r="H84" s="355"/>
      <c r="I84" s="355"/>
      <c r="J84" s="355"/>
      <c r="K84" s="355" t="s">
        <v>55</v>
      </c>
      <c r="L84" s="355"/>
      <c r="M84" s="355"/>
      <c r="N84" s="355"/>
      <c r="O84" s="355"/>
      <c r="P84" s="355"/>
      <c r="Q84" s="355"/>
      <c r="R84" s="355"/>
      <c r="S84" s="355"/>
      <c r="T84" s="355" t="s">
        <v>56</v>
      </c>
      <c r="U84" s="355"/>
      <c r="V84" s="355" t="s">
        <v>57</v>
      </c>
      <c r="W84" s="355"/>
      <c r="X84" s="355"/>
      <c r="Y84" s="355" t="s">
        <v>52</v>
      </c>
      <c r="Z84" s="355"/>
      <c r="AA84" s="355"/>
      <c r="AB84" s="355"/>
      <c r="AC84" s="355"/>
      <c r="AD84" s="356"/>
      <c r="AF84" s="53"/>
    </row>
    <row r="85" spans="1:32" ht="30.75" customHeight="1">
      <c r="A85" s="357">
        <v>1</v>
      </c>
      <c r="B85" s="358"/>
      <c r="C85" s="359">
        <v>1</v>
      </c>
      <c r="D85" s="359"/>
      <c r="E85" s="359" t="s">
        <v>128</v>
      </c>
      <c r="F85" s="359"/>
      <c r="G85" s="359"/>
      <c r="H85" s="359"/>
      <c r="I85" s="359"/>
      <c r="J85" s="359"/>
      <c r="K85" s="359" t="s">
        <v>129</v>
      </c>
      <c r="L85" s="359"/>
      <c r="M85" s="359"/>
      <c r="N85" s="359"/>
      <c r="O85" s="359"/>
      <c r="P85" s="359"/>
      <c r="Q85" s="359"/>
      <c r="R85" s="359"/>
      <c r="S85" s="359"/>
      <c r="T85" s="359" t="s">
        <v>130</v>
      </c>
      <c r="U85" s="359"/>
      <c r="V85" s="360">
        <v>1500000</v>
      </c>
      <c r="W85" s="360"/>
      <c r="X85" s="360"/>
      <c r="Y85" s="361" t="s">
        <v>131</v>
      </c>
      <c r="Z85" s="361"/>
      <c r="AA85" s="361"/>
      <c r="AB85" s="361"/>
      <c r="AC85" s="361"/>
      <c r="AD85" s="362"/>
      <c r="AF85" s="53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3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L14" sqref="L1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605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6" si="7">$AD$21</f>
        <v>0.46906389225296558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0.46906389225296558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5250</v>
      </c>
      <c r="K8" s="15">
        <f>L8+3338+5408+3735+5862+5831+5856</f>
        <v>35276</v>
      </c>
      <c r="L8" s="15">
        <f>2442+2804</f>
        <v>5246</v>
      </c>
      <c r="M8" s="16">
        <f t="shared" si="0"/>
        <v>5246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0.99923809523809526</v>
      </c>
      <c r="AC8" s="9">
        <f t="shared" si="5"/>
        <v>1</v>
      </c>
      <c r="AD8" s="10">
        <f t="shared" si="6"/>
        <v>0.99923809523809526</v>
      </c>
      <c r="AE8" s="39">
        <f t="shared" si="7"/>
        <v>0.46906389225296558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606</v>
      </c>
      <c r="E9" s="56" t="s">
        <v>607</v>
      </c>
      <c r="F9" s="12" t="s">
        <v>608</v>
      </c>
      <c r="G9" s="12">
        <v>1</v>
      </c>
      <c r="H9" s="38">
        <v>25</v>
      </c>
      <c r="I9" s="34">
        <v>7000</v>
      </c>
      <c r="J9" s="5">
        <v>1930</v>
      </c>
      <c r="K9" s="15">
        <f>L9</f>
        <v>1924</v>
      </c>
      <c r="L9" s="15">
        <v>1924</v>
      </c>
      <c r="M9" s="16">
        <f t="shared" si="0"/>
        <v>1924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>
        <v>14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0.99689119170984453</v>
      </c>
      <c r="AC9" s="9">
        <f t="shared" si="5"/>
        <v>0.41666666666666669</v>
      </c>
      <c r="AD9" s="10">
        <f t="shared" si="6"/>
        <v>0.41537132987910191</v>
      </c>
      <c r="AE9" s="39">
        <f t="shared" si="7"/>
        <v>0.46906389225296558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60000</v>
      </c>
      <c r="J10" s="14">
        <v>10400</v>
      </c>
      <c r="K10" s="15">
        <f>L10+5816+6288+3800+8500+8684+10628+892+8674</f>
        <v>63680</v>
      </c>
      <c r="L10" s="15">
        <f>2707*2+2492*2</f>
        <v>10398</v>
      </c>
      <c r="M10" s="16">
        <f t="shared" si="0"/>
        <v>10398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0.99980769230769229</v>
      </c>
      <c r="AC10" s="9">
        <f t="shared" si="5"/>
        <v>1</v>
      </c>
      <c r="AD10" s="10">
        <f t="shared" si="6"/>
        <v>0.99980769230769229</v>
      </c>
      <c r="AE10" s="39">
        <f t="shared" si="7"/>
        <v>0.46906389225296558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561</v>
      </c>
      <c r="F11" s="12" t="s">
        <v>453</v>
      </c>
      <c r="G11" s="12">
        <v>1</v>
      </c>
      <c r="H11" s="13">
        <v>25</v>
      </c>
      <c r="I11" s="34">
        <v>55000</v>
      </c>
      <c r="J11" s="14">
        <v>5700</v>
      </c>
      <c r="K11" s="15">
        <f>L11+2928</f>
        <v>8625</v>
      </c>
      <c r="L11" s="15">
        <f>2949+2748</f>
        <v>5697</v>
      </c>
      <c r="M11" s="16">
        <f t="shared" si="0"/>
        <v>5697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0.99947368421052629</v>
      </c>
      <c r="AC11" s="9">
        <f t="shared" si="5"/>
        <v>1</v>
      </c>
      <c r="AD11" s="10">
        <f t="shared" si="6"/>
        <v>0.99947368421052629</v>
      </c>
      <c r="AE11" s="39">
        <f t="shared" si="7"/>
        <v>0.46906389225296558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609</v>
      </c>
      <c r="D12" s="55" t="s">
        <v>610</v>
      </c>
      <c r="E12" s="57" t="s">
        <v>611</v>
      </c>
      <c r="F12" s="12">
        <v>7301</v>
      </c>
      <c r="G12" s="12">
        <v>1</v>
      </c>
      <c r="H12" s="13">
        <v>25</v>
      </c>
      <c r="I12" s="7">
        <v>2000</v>
      </c>
      <c r="J12" s="14">
        <v>2230</v>
      </c>
      <c r="K12" s="15">
        <f>L12</f>
        <v>2223</v>
      </c>
      <c r="L12" s="15">
        <v>2223</v>
      </c>
      <c r="M12" s="16">
        <f t="shared" si="0"/>
        <v>2223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/>
      <c r="W12" s="19">
        <v>12</v>
      </c>
      <c r="X12" s="17"/>
      <c r="Y12" s="20"/>
      <c r="Z12" s="20"/>
      <c r="AA12" s="21"/>
      <c r="AB12" s="8">
        <f t="shared" si="4"/>
        <v>0.99686098654708521</v>
      </c>
      <c r="AC12" s="9">
        <f t="shared" si="5"/>
        <v>0.5</v>
      </c>
      <c r="AD12" s="10">
        <f t="shared" si="6"/>
        <v>0.49843049327354261</v>
      </c>
      <c r="AE12" s="39">
        <f t="shared" si="7"/>
        <v>0.46906389225296558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562</v>
      </c>
      <c r="E13" s="56" t="s">
        <v>563</v>
      </c>
      <c r="F13" s="12" t="s">
        <v>564</v>
      </c>
      <c r="G13" s="12">
        <v>1</v>
      </c>
      <c r="H13" s="13">
        <v>25</v>
      </c>
      <c r="I13" s="7">
        <v>7000</v>
      </c>
      <c r="J13" s="14">
        <v>5170</v>
      </c>
      <c r="K13" s="15">
        <f>L13+2605</f>
        <v>7774</v>
      </c>
      <c r="L13" s="15">
        <f>2353+2816</f>
        <v>5169</v>
      </c>
      <c r="M13" s="16">
        <f t="shared" si="0"/>
        <v>5169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0.99980657640232107</v>
      </c>
      <c r="AC13" s="9">
        <f t="shared" si="5"/>
        <v>0.875</v>
      </c>
      <c r="AD13" s="10">
        <f t="shared" si="6"/>
        <v>0.87483075435203095</v>
      </c>
      <c r="AE13" s="39">
        <f t="shared" si="7"/>
        <v>0.46906389225296558</v>
      </c>
      <c r="AF13" s="94">
        <f t="shared" si="8"/>
        <v>8</v>
      </c>
    </row>
    <row r="14" spans="1:36" ht="27" customHeight="1">
      <c r="A14" s="109">
        <v>9</v>
      </c>
      <c r="B14" s="11" t="s">
        <v>497</v>
      </c>
      <c r="C14" s="37" t="s">
        <v>498</v>
      </c>
      <c r="D14" s="55" t="s">
        <v>499</v>
      </c>
      <c r="E14" s="57" t="s">
        <v>500</v>
      </c>
      <c r="F14" s="33" t="s">
        <v>501</v>
      </c>
      <c r="G14" s="36">
        <v>1</v>
      </c>
      <c r="H14" s="38">
        <v>25</v>
      </c>
      <c r="I14" s="7">
        <v>7000</v>
      </c>
      <c r="J14" s="5">
        <v>4180</v>
      </c>
      <c r="K14" s="15">
        <f>L14+4000+4176</f>
        <v>8176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0.46906389225296558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0.46906389225296558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L16+5007+2840</f>
        <v>7847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0.46906389225296558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502</v>
      </c>
      <c r="C17" s="37" t="s">
        <v>503</v>
      </c>
      <c r="D17" s="55"/>
      <c r="E17" s="56" t="s">
        <v>504</v>
      </c>
      <c r="F17" s="12">
        <v>8301</v>
      </c>
      <c r="G17" s="12" t="s">
        <v>505</v>
      </c>
      <c r="H17" s="13">
        <v>25</v>
      </c>
      <c r="I17" s="34">
        <v>500</v>
      </c>
      <c r="J17" s="5">
        <v>1260</v>
      </c>
      <c r="K17" s="15">
        <f>L17+1256</f>
        <v>1256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ref="AE17:AE19" si="9">$AD$21</f>
        <v>0.46906389225296558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565</v>
      </c>
      <c r="E18" s="57" t="s">
        <v>566</v>
      </c>
      <c r="F18" s="33" t="s">
        <v>567</v>
      </c>
      <c r="G18" s="12">
        <v>1</v>
      </c>
      <c r="H18" s="13">
        <v>25</v>
      </c>
      <c r="I18" s="34">
        <v>7000</v>
      </c>
      <c r="J18" s="5">
        <v>5610</v>
      </c>
      <c r="K18" s="15">
        <f>L18+3855</f>
        <v>9460</v>
      </c>
      <c r="L18" s="15">
        <f>2933+2672</f>
        <v>5605</v>
      </c>
      <c r="M18" s="16">
        <f t="shared" si="0"/>
        <v>5605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0.99910873440285208</v>
      </c>
      <c r="AC18" s="9">
        <f t="shared" si="5"/>
        <v>1</v>
      </c>
      <c r="AD18" s="10">
        <f t="shared" si="6"/>
        <v>0.99910873440285208</v>
      </c>
      <c r="AE18" s="39">
        <f t="shared" si="9"/>
        <v>0.46906389225296558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506</v>
      </c>
      <c r="F19" s="33" t="s">
        <v>507</v>
      </c>
      <c r="G19" s="36">
        <v>1</v>
      </c>
      <c r="H19" s="38">
        <v>25</v>
      </c>
      <c r="I19" s="7">
        <v>7000</v>
      </c>
      <c r="J19" s="5">
        <v>920</v>
      </c>
      <c r="K19" s="15">
        <f>L19+630</f>
        <v>1549</v>
      </c>
      <c r="L19" s="15">
        <v>919</v>
      </c>
      <c r="M19" s="16">
        <f t="shared" si="0"/>
        <v>919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>
        <v>18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0.99891304347826082</v>
      </c>
      <c r="AC19" s="9">
        <f t="shared" si="5"/>
        <v>0.25</v>
      </c>
      <c r="AD19" s="10">
        <f t="shared" si="6"/>
        <v>0.24972826086956521</v>
      </c>
      <c r="AE19" s="39">
        <f t="shared" si="9"/>
        <v>0.46906389225296558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568</v>
      </c>
      <c r="C20" s="11" t="s">
        <v>569</v>
      </c>
      <c r="D20" s="55"/>
      <c r="E20" s="56" t="s">
        <v>570</v>
      </c>
      <c r="F20" s="12" t="s">
        <v>571</v>
      </c>
      <c r="G20" s="12">
        <v>4</v>
      </c>
      <c r="H20" s="38">
        <v>15</v>
      </c>
      <c r="I20" s="7">
        <v>300000</v>
      </c>
      <c r="J20" s="14">
        <v>65230</v>
      </c>
      <c r="K20" s="15">
        <f>L20+28820</f>
        <v>94048</v>
      </c>
      <c r="L20" s="15">
        <f>8938*4+7369*4</f>
        <v>65228</v>
      </c>
      <c r="M20" s="16">
        <f t="shared" si="0"/>
        <v>65228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0.99996933926107623</v>
      </c>
      <c r="AC20" s="9">
        <f t="shared" si="5"/>
        <v>1</v>
      </c>
      <c r="AD20" s="10">
        <f t="shared" si="6"/>
        <v>0.99996933926107623</v>
      </c>
      <c r="AE20" s="39">
        <f>$AD$21</f>
        <v>0.46906389225296558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0">SUM(I6:I20)</f>
        <v>522500</v>
      </c>
      <c r="J21" s="22">
        <f t="shared" si="10"/>
        <v>131360</v>
      </c>
      <c r="K21" s="23">
        <f t="shared" si="10"/>
        <v>262478</v>
      </c>
      <c r="L21" s="24">
        <f t="shared" si="10"/>
        <v>102409</v>
      </c>
      <c r="M21" s="23">
        <f t="shared" si="10"/>
        <v>102409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169</v>
      </c>
      <c r="Q21" s="46">
        <f t="shared" si="11"/>
        <v>191</v>
      </c>
      <c r="R21" s="26">
        <f t="shared" si="11"/>
        <v>48</v>
      </c>
      <c r="S21" s="27">
        <f t="shared" si="11"/>
        <v>35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108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0.59933795623718356</v>
      </c>
      <c r="AC21" s="4">
        <f>SUM(AC6:AC20)/15</f>
        <v>0.46944444444444444</v>
      </c>
      <c r="AD21" s="4">
        <f>SUM(AD6:AD20)/15</f>
        <v>0.46906389225296558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612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636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47" t="s">
        <v>47</v>
      </c>
      <c r="D50" s="247" t="s">
        <v>48</v>
      </c>
      <c r="E50" s="247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47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613</v>
      </c>
      <c r="B51" s="410"/>
      <c r="C51" s="248" t="s">
        <v>196</v>
      </c>
      <c r="D51" s="249" t="s">
        <v>614</v>
      </c>
      <c r="E51" s="248" t="s">
        <v>615</v>
      </c>
      <c r="F51" s="394" t="s">
        <v>617</v>
      </c>
      <c r="G51" s="394"/>
      <c r="H51" s="394"/>
      <c r="I51" s="394"/>
      <c r="J51" s="394"/>
      <c r="K51" s="394"/>
      <c r="L51" s="394"/>
      <c r="M51" s="404"/>
      <c r="N51" s="253" t="s">
        <v>119</v>
      </c>
      <c r="O51" s="74" t="s">
        <v>178</v>
      </c>
      <c r="P51" s="411" t="s">
        <v>469</v>
      </c>
      <c r="Q51" s="412"/>
      <c r="R51" s="403" t="s">
        <v>624</v>
      </c>
      <c r="S51" s="403"/>
      <c r="T51" s="403"/>
      <c r="U51" s="403"/>
      <c r="V51" s="394" t="s">
        <v>531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119</v>
      </c>
      <c r="B52" s="410"/>
      <c r="C52" s="248" t="s">
        <v>574</v>
      </c>
      <c r="D52" s="249" t="s">
        <v>575</v>
      </c>
      <c r="E52" s="248" t="s">
        <v>621</v>
      </c>
      <c r="F52" s="394" t="s">
        <v>618</v>
      </c>
      <c r="G52" s="394"/>
      <c r="H52" s="394"/>
      <c r="I52" s="394"/>
      <c r="J52" s="394"/>
      <c r="K52" s="394"/>
      <c r="L52" s="394"/>
      <c r="M52" s="404"/>
      <c r="N52" s="253" t="s">
        <v>119</v>
      </c>
      <c r="O52" s="74" t="s">
        <v>585</v>
      </c>
      <c r="P52" s="411" t="s">
        <v>586</v>
      </c>
      <c r="Q52" s="412"/>
      <c r="R52" s="403" t="s">
        <v>587</v>
      </c>
      <c r="S52" s="403"/>
      <c r="T52" s="403"/>
      <c r="U52" s="403"/>
      <c r="V52" s="394" t="s">
        <v>531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119</v>
      </c>
      <c r="B53" s="410"/>
      <c r="C53" s="248" t="s">
        <v>200</v>
      </c>
      <c r="D53" s="249" t="s">
        <v>623</v>
      </c>
      <c r="E53" s="248" t="s">
        <v>624</v>
      </c>
      <c r="F53" s="394" t="s">
        <v>625</v>
      </c>
      <c r="G53" s="394"/>
      <c r="H53" s="394"/>
      <c r="I53" s="394"/>
      <c r="J53" s="394"/>
      <c r="K53" s="394"/>
      <c r="L53" s="394"/>
      <c r="M53" s="404"/>
      <c r="N53" s="253" t="s">
        <v>119</v>
      </c>
      <c r="O53" s="74" t="s">
        <v>619</v>
      </c>
      <c r="P53" s="411" t="s">
        <v>620</v>
      </c>
      <c r="Q53" s="412"/>
      <c r="R53" s="403" t="s">
        <v>563</v>
      </c>
      <c r="S53" s="403"/>
      <c r="T53" s="403"/>
      <c r="U53" s="403"/>
      <c r="V53" s="394" t="s">
        <v>622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609</v>
      </c>
      <c r="B54" s="410"/>
      <c r="C54" s="248" t="s">
        <v>140</v>
      </c>
      <c r="D54" s="249" t="s">
        <v>623</v>
      </c>
      <c r="E54" s="248" t="s">
        <v>630</v>
      </c>
      <c r="F54" s="394" t="s">
        <v>631</v>
      </c>
      <c r="G54" s="394"/>
      <c r="H54" s="394"/>
      <c r="I54" s="394"/>
      <c r="J54" s="394"/>
      <c r="K54" s="394"/>
      <c r="L54" s="394"/>
      <c r="M54" s="404"/>
      <c r="N54" s="253" t="s">
        <v>626</v>
      </c>
      <c r="O54" s="74" t="s">
        <v>627</v>
      </c>
      <c r="P54" s="411" t="s">
        <v>623</v>
      </c>
      <c r="Q54" s="412"/>
      <c r="R54" s="403" t="s">
        <v>628</v>
      </c>
      <c r="S54" s="403"/>
      <c r="T54" s="403"/>
      <c r="U54" s="403"/>
      <c r="V54" s="394" t="s">
        <v>629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118</v>
      </c>
      <c r="B55" s="410"/>
      <c r="C55" s="248" t="s">
        <v>619</v>
      </c>
      <c r="D55" s="249" t="s">
        <v>610</v>
      </c>
      <c r="E55" s="248" t="s">
        <v>611</v>
      </c>
      <c r="F55" s="394" t="s">
        <v>616</v>
      </c>
      <c r="G55" s="394"/>
      <c r="H55" s="394"/>
      <c r="I55" s="394"/>
      <c r="J55" s="394"/>
      <c r="K55" s="394"/>
      <c r="L55" s="394"/>
      <c r="M55" s="404"/>
      <c r="N55" s="253" t="s">
        <v>609</v>
      </c>
      <c r="O55" s="74" t="s">
        <v>632</v>
      </c>
      <c r="P55" s="411" t="s">
        <v>623</v>
      </c>
      <c r="Q55" s="412"/>
      <c r="R55" s="403" t="s">
        <v>630</v>
      </c>
      <c r="S55" s="403"/>
      <c r="T55" s="403"/>
      <c r="U55" s="403"/>
      <c r="V55" s="394" t="s">
        <v>622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48"/>
      <c r="D56" s="249"/>
      <c r="E56" s="248"/>
      <c r="F56" s="394"/>
      <c r="G56" s="394"/>
      <c r="H56" s="394"/>
      <c r="I56" s="394"/>
      <c r="J56" s="394"/>
      <c r="K56" s="394"/>
      <c r="L56" s="394"/>
      <c r="M56" s="404"/>
      <c r="N56" s="253" t="s">
        <v>633</v>
      </c>
      <c r="O56" s="74" t="s">
        <v>634</v>
      </c>
      <c r="P56" s="403" t="s">
        <v>58</v>
      </c>
      <c r="Q56" s="403"/>
      <c r="R56" s="403" t="s">
        <v>635</v>
      </c>
      <c r="S56" s="403"/>
      <c r="T56" s="403"/>
      <c r="U56" s="403"/>
      <c r="V56" s="394" t="s">
        <v>177</v>
      </c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48"/>
      <c r="D57" s="249"/>
      <c r="E57" s="248"/>
      <c r="F57" s="394"/>
      <c r="G57" s="394"/>
      <c r="H57" s="394"/>
      <c r="I57" s="394"/>
      <c r="J57" s="394"/>
      <c r="K57" s="394"/>
      <c r="L57" s="394"/>
      <c r="M57" s="404"/>
      <c r="N57" s="253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48"/>
      <c r="D58" s="249"/>
      <c r="E58" s="248"/>
      <c r="F58" s="394"/>
      <c r="G58" s="394"/>
      <c r="H58" s="394"/>
      <c r="I58" s="394"/>
      <c r="J58" s="394"/>
      <c r="K58" s="394"/>
      <c r="L58" s="394"/>
      <c r="M58" s="404"/>
      <c r="N58" s="253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49"/>
      <c r="D59" s="249"/>
      <c r="E59" s="249"/>
      <c r="F59" s="394"/>
      <c r="G59" s="394"/>
      <c r="H59" s="394"/>
      <c r="I59" s="394"/>
      <c r="J59" s="394"/>
      <c r="K59" s="394"/>
      <c r="L59" s="394"/>
      <c r="M59" s="404"/>
      <c r="N59" s="253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51"/>
      <c r="D60" s="251"/>
      <c r="E60" s="251"/>
      <c r="F60" s="407"/>
      <c r="G60" s="407"/>
      <c r="H60" s="407"/>
      <c r="I60" s="407"/>
      <c r="J60" s="407"/>
      <c r="K60" s="407"/>
      <c r="L60" s="407"/>
      <c r="M60" s="408"/>
      <c r="N60" s="250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637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52" t="s">
        <v>2</v>
      </c>
      <c r="D62" s="252" t="s">
        <v>38</v>
      </c>
      <c r="E62" s="252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52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542</v>
      </c>
      <c r="D63" s="256"/>
      <c r="E63" s="254" t="s">
        <v>58</v>
      </c>
      <c r="F63" s="392" t="s">
        <v>638</v>
      </c>
      <c r="G63" s="382"/>
      <c r="H63" s="382"/>
      <c r="I63" s="382"/>
      <c r="J63" s="382"/>
      <c r="K63" s="382" t="s">
        <v>639</v>
      </c>
      <c r="L63" s="382"/>
      <c r="M63" s="54" t="s">
        <v>640</v>
      </c>
      <c r="N63" s="382">
        <v>7</v>
      </c>
      <c r="O63" s="382"/>
      <c r="P63" s="393">
        <v>50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641</v>
      </c>
      <c r="D64" s="256"/>
      <c r="E64" s="254" t="s">
        <v>642</v>
      </c>
      <c r="F64" s="392" t="s">
        <v>643</v>
      </c>
      <c r="G64" s="382"/>
      <c r="H64" s="382"/>
      <c r="I64" s="382"/>
      <c r="J64" s="382"/>
      <c r="K64" s="382" t="s">
        <v>644</v>
      </c>
      <c r="L64" s="382"/>
      <c r="M64" s="54" t="s">
        <v>640</v>
      </c>
      <c r="N64" s="382">
        <v>4</v>
      </c>
      <c r="O64" s="382"/>
      <c r="P64" s="393">
        <v>30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56"/>
      <c r="E65" s="254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56"/>
      <c r="E66" s="254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56"/>
      <c r="E67" s="254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56"/>
      <c r="E68" s="254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56"/>
      <c r="E69" s="254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56"/>
      <c r="E70" s="254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645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55" t="s">
        <v>2</v>
      </c>
      <c r="D72" s="255" t="s">
        <v>38</v>
      </c>
      <c r="E72" s="255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57" t="s">
        <v>118</v>
      </c>
      <c r="D73" s="257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56" t="s">
        <v>118</v>
      </c>
      <c r="D74" s="256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2">A74+1</f>
        <v>3</v>
      </c>
      <c r="B75" s="351"/>
      <c r="C75" s="256" t="s">
        <v>137</v>
      </c>
      <c r="D75" s="256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2"/>
        <v>4</v>
      </c>
      <c r="B76" s="351"/>
      <c r="C76" s="256" t="s">
        <v>119</v>
      </c>
      <c r="D76" s="256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2"/>
        <v>5</v>
      </c>
      <c r="B77" s="351"/>
      <c r="C77" s="256" t="s">
        <v>119</v>
      </c>
      <c r="D77" s="256"/>
      <c r="E77" s="35" t="s">
        <v>332</v>
      </c>
      <c r="F77" s="351" t="s">
        <v>410</v>
      </c>
      <c r="G77" s="351"/>
      <c r="H77" s="351"/>
      <c r="I77" s="351"/>
      <c r="J77" s="351"/>
      <c r="K77" s="365" t="s">
        <v>411</v>
      </c>
      <c r="L77" s="366"/>
      <c r="M77" s="366"/>
      <c r="N77" s="366"/>
      <c r="O77" s="366"/>
      <c r="P77" s="366"/>
      <c r="Q77" s="366"/>
      <c r="R77" s="366"/>
      <c r="S77" s="367"/>
      <c r="T77" s="368">
        <v>43022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2"/>
        <v>6</v>
      </c>
      <c r="B78" s="351"/>
      <c r="C78" s="256" t="s">
        <v>119</v>
      </c>
      <c r="D78" s="256"/>
      <c r="E78" s="35" t="s">
        <v>58</v>
      </c>
      <c r="F78" s="351" t="s">
        <v>412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2"/>
        <v>7</v>
      </c>
      <c r="B79" s="351"/>
      <c r="C79" s="256"/>
      <c r="D79" s="256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2"/>
        <v>8</v>
      </c>
      <c r="B80" s="351"/>
      <c r="C80" s="256"/>
      <c r="D80" s="256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2"/>
        <v>9</v>
      </c>
      <c r="B81" s="351"/>
      <c r="C81" s="256"/>
      <c r="D81" s="256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646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647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9" si="7">$AD$21</f>
        <v>0.22430802967419436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0.22430802967419436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5250</v>
      </c>
      <c r="K8" s="15">
        <f>L8+3338+5408+3735+5862+5831+5856+5246</f>
        <v>35276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0.22430802967419436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606</v>
      </c>
      <c r="E9" s="56" t="s">
        <v>607</v>
      </c>
      <c r="F9" s="12" t="s">
        <v>227</v>
      </c>
      <c r="G9" s="12">
        <v>1</v>
      </c>
      <c r="H9" s="38">
        <v>25</v>
      </c>
      <c r="I9" s="34">
        <v>7000</v>
      </c>
      <c r="J9" s="5">
        <v>1630</v>
      </c>
      <c r="K9" s="15">
        <f>L9+1924</f>
        <v>3550</v>
      </c>
      <c r="L9" s="15">
        <f>1626</f>
        <v>1626</v>
      </c>
      <c r="M9" s="16">
        <f t="shared" si="0"/>
        <v>1626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>
        <v>2</v>
      </c>
      <c r="T9" s="17"/>
      <c r="U9" s="17"/>
      <c r="V9" s="18">
        <v>14</v>
      </c>
      <c r="W9" s="19"/>
      <c r="X9" s="17"/>
      <c r="Y9" s="20"/>
      <c r="Z9" s="20"/>
      <c r="AA9" s="21"/>
      <c r="AB9" s="8">
        <f t="shared" si="4"/>
        <v>0.99754601226993866</v>
      </c>
      <c r="AC9" s="9">
        <f t="shared" si="5"/>
        <v>0.33333333333333331</v>
      </c>
      <c r="AD9" s="10">
        <f t="shared" si="6"/>
        <v>0.33251533742331285</v>
      </c>
      <c r="AE9" s="39">
        <f t="shared" si="7"/>
        <v>0.22430802967419436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58</v>
      </c>
      <c r="E10" s="57" t="s">
        <v>258</v>
      </c>
      <c r="F10" s="12" t="s">
        <v>132</v>
      </c>
      <c r="G10" s="12">
        <v>2</v>
      </c>
      <c r="H10" s="13">
        <v>25</v>
      </c>
      <c r="I10" s="34">
        <v>60000</v>
      </c>
      <c r="J10" s="14">
        <v>4720</v>
      </c>
      <c r="K10" s="15">
        <f>L10+5816+6288+3800+8500+8684+10628+892+8674+10398</f>
        <v>68394</v>
      </c>
      <c r="L10" s="15">
        <f>2357*2</f>
        <v>4714</v>
      </c>
      <c r="M10" s="16">
        <f t="shared" si="0"/>
        <v>4714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>
        <v>14</v>
      </c>
      <c r="W10" s="19"/>
      <c r="X10" s="17"/>
      <c r="Y10" s="20"/>
      <c r="Z10" s="20"/>
      <c r="AA10" s="21"/>
      <c r="AB10" s="8">
        <f t="shared" si="4"/>
        <v>0.99872881355932208</v>
      </c>
      <c r="AC10" s="9">
        <f t="shared" si="5"/>
        <v>0.41666666666666669</v>
      </c>
      <c r="AD10" s="10">
        <f t="shared" si="6"/>
        <v>0.41613700564971756</v>
      </c>
      <c r="AE10" s="39">
        <f t="shared" si="7"/>
        <v>0.22430802967419436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561</v>
      </c>
      <c r="F11" s="12" t="s">
        <v>453</v>
      </c>
      <c r="G11" s="12">
        <v>1</v>
      </c>
      <c r="H11" s="13">
        <v>25</v>
      </c>
      <c r="I11" s="34">
        <v>55000</v>
      </c>
      <c r="J11" s="14">
        <v>2840</v>
      </c>
      <c r="K11" s="15">
        <f>L11+2928+5697</f>
        <v>11456</v>
      </c>
      <c r="L11" s="15">
        <v>2831</v>
      </c>
      <c r="M11" s="16">
        <f t="shared" si="0"/>
        <v>2831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>
        <v>14</v>
      </c>
      <c r="W11" s="19"/>
      <c r="X11" s="17"/>
      <c r="Y11" s="20"/>
      <c r="Z11" s="20"/>
      <c r="AA11" s="21"/>
      <c r="AB11" s="8">
        <f t="shared" si="4"/>
        <v>0.99683098591549291</v>
      </c>
      <c r="AC11" s="9">
        <f t="shared" si="5"/>
        <v>0.41666666666666669</v>
      </c>
      <c r="AD11" s="10">
        <f t="shared" si="6"/>
        <v>0.41534624413145538</v>
      </c>
      <c r="AE11" s="39">
        <f t="shared" si="7"/>
        <v>0.22430802967419436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137</v>
      </c>
      <c r="D12" s="55" t="s">
        <v>648</v>
      </c>
      <c r="E12" s="57" t="s">
        <v>649</v>
      </c>
      <c r="F12" s="12" t="s">
        <v>650</v>
      </c>
      <c r="G12" s="12">
        <v>2</v>
      </c>
      <c r="H12" s="13">
        <v>25</v>
      </c>
      <c r="I12" s="7">
        <v>25000</v>
      </c>
      <c r="J12" s="14">
        <v>2910</v>
      </c>
      <c r="K12" s="15">
        <f>L12</f>
        <v>2908</v>
      </c>
      <c r="L12" s="15">
        <f>1454*2</f>
        <v>2908</v>
      </c>
      <c r="M12" s="16">
        <f t="shared" si="0"/>
        <v>2908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>
        <v>14</v>
      </c>
      <c r="W12" s="19"/>
      <c r="X12" s="17"/>
      <c r="Y12" s="20"/>
      <c r="Z12" s="20"/>
      <c r="AA12" s="21"/>
      <c r="AB12" s="8">
        <f t="shared" si="4"/>
        <v>0.9993127147766323</v>
      </c>
      <c r="AC12" s="9">
        <f t="shared" si="5"/>
        <v>0.41666666666666669</v>
      </c>
      <c r="AD12" s="10">
        <f t="shared" si="6"/>
        <v>0.41638029782359681</v>
      </c>
      <c r="AE12" s="39">
        <f t="shared" si="7"/>
        <v>0.22430802967419436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562</v>
      </c>
      <c r="E13" s="56" t="s">
        <v>563</v>
      </c>
      <c r="F13" s="12" t="s">
        <v>182</v>
      </c>
      <c r="G13" s="12">
        <v>1</v>
      </c>
      <c r="H13" s="13">
        <v>25</v>
      </c>
      <c r="I13" s="7">
        <v>7000</v>
      </c>
      <c r="J13" s="14">
        <v>1540</v>
      </c>
      <c r="K13" s="15">
        <f>L13+2605+5169</f>
        <v>9307</v>
      </c>
      <c r="L13" s="15">
        <v>1533</v>
      </c>
      <c r="M13" s="16">
        <f t="shared" si="0"/>
        <v>1533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0.99545454545454548</v>
      </c>
      <c r="AC13" s="9">
        <f t="shared" si="5"/>
        <v>0.41666666666666669</v>
      </c>
      <c r="AD13" s="10">
        <f t="shared" si="6"/>
        <v>0.41477272727272729</v>
      </c>
      <c r="AE13" s="39">
        <f t="shared" si="7"/>
        <v>0.22430802967419436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651</v>
      </c>
      <c r="D14" s="55" t="s">
        <v>58</v>
      </c>
      <c r="E14" s="57" t="s">
        <v>652</v>
      </c>
      <c r="F14" s="33" t="s">
        <v>653</v>
      </c>
      <c r="G14" s="36">
        <v>1</v>
      </c>
      <c r="H14" s="38">
        <v>25</v>
      </c>
      <c r="I14" s="7">
        <v>500</v>
      </c>
      <c r="J14" s="5">
        <v>280</v>
      </c>
      <c r="K14" s="15">
        <f>L14</f>
        <v>278</v>
      </c>
      <c r="L14" s="15">
        <v>278</v>
      </c>
      <c r="M14" s="16">
        <f t="shared" si="0"/>
        <v>278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/>
      <c r="T14" s="17"/>
      <c r="U14" s="17"/>
      <c r="V14" s="18">
        <v>16</v>
      </c>
      <c r="W14" s="19"/>
      <c r="X14" s="17"/>
      <c r="Y14" s="20"/>
      <c r="Z14" s="20"/>
      <c r="AA14" s="21"/>
      <c r="AB14" s="8">
        <f t="shared" si="4"/>
        <v>0.99285714285714288</v>
      </c>
      <c r="AC14" s="9">
        <f t="shared" si="5"/>
        <v>0.33333333333333331</v>
      </c>
      <c r="AD14" s="10">
        <f t="shared" si="6"/>
        <v>0.33095238095238094</v>
      </c>
      <c r="AE14" s="39">
        <f t="shared" si="7"/>
        <v>0.22430802967419436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0.22430802967419436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L16+5007+2840</f>
        <v>7847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0.22430802967419436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503</v>
      </c>
      <c r="D17" s="55"/>
      <c r="E17" s="56" t="s">
        <v>504</v>
      </c>
      <c r="F17" s="12">
        <v>8301</v>
      </c>
      <c r="G17" s="12" t="s">
        <v>150</v>
      </c>
      <c r="H17" s="13">
        <v>25</v>
      </c>
      <c r="I17" s="34">
        <v>500</v>
      </c>
      <c r="J17" s="5">
        <v>1260</v>
      </c>
      <c r="K17" s="15">
        <f>L17+1256</f>
        <v>1256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0.22430802967419436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58</v>
      </c>
      <c r="E18" s="57" t="s">
        <v>181</v>
      </c>
      <c r="F18" s="33" t="s">
        <v>507</v>
      </c>
      <c r="G18" s="36">
        <v>1</v>
      </c>
      <c r="H18" s="38">
        <v>25</v>
      </c>
      <c r="I18" s="7">
        <v>7000</v>
      </c>
      <c r="J18" s="5">
        <v>550</v>
      </c>
      <c r="K18" s="15">
        <f>L18+630+919</f>
        <v>2098</v>
      </c>
      <c r="L18" s="15">
        <v>549</v>
      </c>
      <c r="M18" s="16">
        <f t="shared" ref="M18" si="9">L18-N18</f>
        <v>549</v>
      </c>
      <c r="N18" s="16">
        <v>0</v>
      </c>
      <c r="O18" s="62">
        <f t="shared" ref="O18" si="10">IF(L18=0,"0",N18/L18)</f>
        <v>0</v>
      </c>
      <c r="P18" s="42">
        <f t="shared" ref="P18" si="11">IF(L18=0,"0",(24-Q18))</f>
        <v>6</v>
      </c>
      <c r="Q18" s="43">
        <f t="shared" ref="Q18" si="12">SUM(R18:AA18)</f>
        <v>18</v>
      </c>
      <c r="R18" s="7"/>
      <c r="S18" s="6">
        <v>4</v>
      </c>
      <c r="T18" s="17"/>
      <c r="U18" s="17"/>
      <c r="V18" s="18">
        <v>14</v>
      </c>
      <c r="W18" s="19"/>
      <c r="X18" s="17"/>
      <c r="Y18" s="20"/>
      <c r="Z18" s="20"/>
      <c r="AA18" s="21"/>
      <c r="AB18" s="8">
        <f t="shared" ref="AB18" si="13">IF(J18=0,"0",(L18/J18))</f>
        <v>0.99818181818181817</v>
      </c>
      <c r="AC18" s="9">
        <f t="shared" ref="AC18" si="14">IF(P18=0,"0",(P18/24))</f>
        <v>0.25</v>
      </c>
      <c r="AD18" s="10">
        <f t="shared" ref="AD18" si="15">AC18*AB18*(1-O18)</f>
        <v>0.24954545454545454</v>
      </c>
      <c r="AE18" s="39">
        <f t="shared" si="7"/>
        <v>0.22430802967419436</v>
      </c>
      <c r="AF18" s="94">
        <f t="shared" ref="AF18" si="16">A18</f>
        <v>13</v>
      </c>
    </row>
    <row r="19" spans="1:32" ht="27" customHeight="1">
      <c r="A19" s="110">
        <v>14</v>
      </c>
      <c r="B19" s="11" t="s">
        <v>59</v>
      </c>
      <c r="C19" s="37" t="s">
        <v>654</v>
      </c>
      <c r="D19" s="55" t="s">
        <v>58</v>
      </c>
      <c r="E19" s="57" t="s">
        <v>655</v>
      </c>
      <c r="F19" s="33" t="s">
        <v>656</v>
      </c>
      <c r="G19" s="36">
        <v>1</v>
      </c>
      <c r="H19" s="38">
        <v>25</v>
      </c>
      <c r="I19" s="7">
        <v>2000</v>
      </c>
      <c r="J19" s="5">
        <v>1290</v>
      </c>
      <c r="K19" s="15">
        <f>L19</f>
        <v>1281</v>
      </c>
      <c r="L19" s="15">
        <v>1281</v>
      </c>
      <c r="M19" s="16">
        <f t="shared" si="0"/>
        <v>1281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/>
      <c r="T19" s="17"/>
      <c r="U19" s="17"/>
      <c r="V19" s="18">
        <v>15</v>
      </c>
      <c r="W19" s="19"/>
      <c r="X19" s="17"/>
      <c r="Y19" s="20"/>
      <c r="Z19" s="20"/>
      <c r="AA19" s="21"/>
      <c r="AB19" s="8">
        <f t="shared" si="4"/>
        <v>0.99302325581395345</v>
      </c>
      <c r="AC19" s="9">
        <f t="shared" si="5"/>
        <v>0.375</v>
      </c>
      <c r="AD19" s="10">
        <f t="shared" si="6"/>
        <v>0.37238372093023253</v>
      </c>
      <c r="AE19" s="39">
        <f t="shared" si="7"/>
        <v>0.22430802967419436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31490</v>
      </c>
      <c r="K20" s="15">
        <f>L20+28820+65228</f>
        <v>125532</v>
      </c>
      <c r="L20" s="15">
        <f>7871*4</f>
        <v>31484</v>
      </c>
      <c r="M20" s="16">
        <f t="shared" si="0"/>
        <v>31484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/>
      <c r="T20" s="17"/>
      <c r="U20" s="17"/>
      <c r="V20" s="18">
        <v>14</v>
      </c>
      <c r="W20" s="19"/>
      <c r="X20" s="17"/>
      <c r="Y20" s="20"/>
      <c r="Z20" s="20"/>
      <c r="AA20" s="21"/>
      <c r="AB20" s="8">
        <f t="shared" si="4"/>
        <v>0.99980946332168941</v>
      </c>
      <c r="AC20" s="9">
        <f t="shared" si="5"/>
        <v>0.41666666666666669</v>
      </c>
      <c r="AD20" s="10">
        <f t="shared" si="6"/>
        <v>0.41658727638403725</v>
      </c>
      <c r="AE20" s="39">
        <f>$AD$21</f>
        <v>0.22430802967419436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7">SUM(I6:I20)</f>
        <v>534000</v>
      </c>
      <c r="J21" s="22">
        <f t="shared" si="17"/>
        <v>77240</v>
      </c>
      <c r="K21" s="23">
        <f t="shared" si="17"/>
        <v>289823</v>
      </c>
      <c r="L21" s="24">
        <f t="shared" si="17"/>
        <v>47204</v>
      </c>
      <c r="M21" s="23">
        <f t="shared" si="17"/>
        <v>47204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81</v>
      </c>
      <c r="Q21" s="46">
        <f t="shared" si="18"/>
        <v>279</v>
      </c>
      <c r="R21" s="26">
        <f t="shared" si="18"/>
        <v>48</v>
      </c>
      <c r="S21" s="27">
        <f t="shared" si="18"/>
        <v>6</v>
      </c>
      <c r="T21" s="27">
        <f t="shared" si="18"/>
        <v>0</v>
      </c>
      <c r="U21" s="27">
        <f t="shared" si="18"/>
        <v>0</v>
      </c>
      <c r="V21" s="28">
        <f t="shared" si="18"/>
        <v>115</v>
      </c>
      <c r="W21" s="29">
        <f t="shared" si="18"/>
        <v>110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0</v>
      </c>
      <c r="AB21" s="31">
        <f>SUM(AB6:AB20)/15</f>
        <v>0.59811631681003563</v>
      </c>
      <c r="AC21" s="4">
        <f>SUM(AC6:AC20)/15</f>
        <v>0.22500000000000001</v>
      </c>
      <c r="AD21" s="4">
        <f>SUM(AD6:AD20)/15</f>
        <v>0.22430802967419436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657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662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68" t="s">
        <v>47</v>
      </c>
      <c r="D50" s="268" t="s">
        <v>48</v>
      </c>
      <c r="E50" s="268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68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119</v>
      </c>
      <c r="B51" s="410"/>
      <c r="C51" s="267" t="s">
        <v>196</v>
      </c>
      <c r="D51" s="264" t="s">
        <v>433</v>
      </c>
      <c r="E51" s="267" t="s">
        <v>615</v>
      </c>
      <c r="F51" s="394" t="s">
        <v>658</v>
      </c>
      <c r="G51" s="394"/>
      <c r="H51" s="394"/>
      <c r="I51" s="394"/>
      <c r="J51" s="394"/>
      <c r="K51" s="394"/>
      <c r="L51" s="394"/>
      <c r="M51" s="404"/>
      <c r="N51" s="263" t="s">
        <v>137</v>
      </c>
      <c r="O51" s="74" t="s">
        <v>458</v>
      </c>
      <c r="P51" s="411" t="s">
        <v>663</v>
      </c>
      <c r="Q51" s="412"/>
      <c r="R51" s="403" t="s">
        <v>667</v>
      </c>
      <c r="S51" s="403"/>
      <c r="T51" s="403"/>
      <c r="U51" s="403"/>
      <c r="V51" s="394" t="s">
        <v>661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659</v>
      </c>
      <c r="B52" s="410"/>
      <c r="C52" s="267" t="s">
        <v>140</v>
      </c>
      <c r="D52" s="264" t="s">
        <v>648</v>
      </c>
      <c r="E52" s="267" t="s">
        <v>660</v>
      </c>
      <c r="F52" s="394" t="s">
        <v>661</v>
      </c>
      <c r="G52" s="394"/>
      <c r="H52" s="394"/>
      <c r="I52" s="394"/>
      <c r="J52" s="394"/>
      <c r="K52" s="394"/>
      <c r="L52" s="394"/>
      <c r="M52" s="404"/>
      <c r="N52" s="263" t="s">
        <v>137</v>
      </c>
      <c r="O52" s="74" t="s">
        <v>144</v>
      </c>
      <c r="P52" s="411" t="s">
        <v>664</v>
      </c>
      <c r="Q52" s="412"/>
      <c r="R52" s="403" t="s">
        <v>561</v>
      </c>
      <c r="S52" s="403"/>
      <c r="T52" s="403"/>
      <c r="U52" s="403"/>
      <c r="V52" s="394" t="s">
        <v>665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119</v>
      </c>
      <c r="B53" s="410"/>
      <c r="C53" s="267" t="s">
        <v>178</v>
      </c>
      <c r="D53" s="264" t="s">
        <v>623</v>
      </c>
      <c r="E53" s="267" t="s">
        <v>624</v>
      </c>
      <c r="F53" s="394" t="s">
        <v>658</v>
      </c>
      <c r="G53" s="394"/>
      <c r="H53" s="394"/>
      <c r="I53" s="394"/>
      <c r="J53" s="394"/>
      <c r="K53" s="394"/>
      <c r="L53" s="394"/>
      <c r="M53" s="404"/>
      <c r="N53" s="263" t="s">
        <v>668</v>
      </c>
      <c r="O53" s="74" t="s">
        <v>308</v>
      </c>
      <c r="P53" s="411" t="s">
        <v>669</v>
      </c>
      <c r="Q53" s="412"/>
      <c r="R53" s="403" t="s">
        <v>666</v>
      </c>
      <c r="S53" s="403"/>
      <c r="T53" s="403"/>
      <c r="U53" s="403"/>
      <c r="V53" s="394" t="s">
        <v>430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609</v>
      </c>
      <c r="B54" s="410"/>
      <c r="C54" s="267" t="s">
        <v>200</v>
      </c>
      <c r="D54" s="264" t="s">
        <v>623</v>
      </c>
      <c r="E54" s="267" t="s">
        <v>630</v>
      </c>
      <c r="F54" s="394" t="s">
        <v>658</v>
      </c>
      <c r="G54" s="394"/>
      <c r="H54" s="394"/>
      <c r="I54" s="394"/>
      <c r="J54" s="394"/>
      <c r="K54" s="394"/>
      <c r="L54" s="394"/>
      <c r="M54" s="404"/>
      <c r="N54" s="263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267"/>
      <c r="D55" s="264"/>
      <c r="E55" s="267"/>
      <c r="F55" s="394"/>
      <c r="G55" s="394"/>
      <c r="H55" s="394"/>
      <c r="I55" s="394"/>
      <c r="J55" s="394"/>
      <c r="K55" s="394"/>
      <c r="L55" s="394"/>
      <c r="M55" s="404"/>
      <c r="N55" s="263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67"/>
      <c r="D56" s="264"/>
      <c r="E56" s="267"/>
      <c r="F56" s="394"/>
      <c r="G56" s="394"/>
      <c r="H56" s="394"/>
      <c r="I56" s="394"/>
      <c r="J56" s="394"/>
      <c r="K56" s="394"/>
      <c r="L56" s="394"/>
      <c r="M56" s="404"/>
      <c r="N56" s="263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67"/>
      <c r="D57" s="264"/>
      <c r="E57" s="267"/>
      <c r="F57" s="394"/>
      <c r="G57" s="394"/>
      <c r="H57" s="394"/>
      <c r="I57" s="394"/>
      <c r="J57" s="394"/>
      <c r="K57" s="394"/>
      <c r="L57" s="394"/>
      <c r="M57" s="404"/>
      <c r="N57" s="263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67"/>
      <c r="D58" s="264"/>
      <c r="E58" s="267"/>
      <c r="F58" s="394"/>
      <c r="G58" s="394"/>
      <c r="H58" s="394"/>
      <c r="I58" s="394"/>
      <c r="J58" s="394"/>
      <c r="K58" s="394"/>
      <c r="L58" s="394"/>
      <c r="M58" s="404"/>
      <c r="N58" s="263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64"/>
      <c r="D59" s="264"/>
      <c r="E59" s="264"/>
      <c r="F59" s="394"/>
      <c r="G59" s="394"/>
      <c r="H59" s="394"/>
      <c r="I59" s="394"/>
      <c r="J59" s="394"/>
      <c r="K59" s="394"/>
      <c r="L59" s="394"/>
      <c r="M59" s="404"/>
      <c r="N59" s="263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66"/>
      <c r="D60" s="266"/>
      <c r="E60" s="266"/>
      <c r="F60" s="407"/>
      <c r="G60" s="407"/>
      <c r="H60" s="407"/>
      <c r="I60" s="407"/>
      <c r="J60" s="407"/>
      <c r="K60" s="407"/>
      <c r="L60" s="407"/>
      <c r="M60" s="408"/>
      <c r="N60" s="265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670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62" t="s">
        <v>2</v>
      </c>
      <c r="D62" s="262" t="s">
        <v>38</v>
      </c>
      <c r="E62" s="262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62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258"/>
      <c r="E63" s="260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258"/>
      <c r="E64" s="260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58"/>
      <c r="E65" s="260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58"/>
      <c r="E66" s="260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58"/>
      <c r="E67" s="260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58"/>
      <c r="E68" s="260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58"/>
      <c r="E69" s="260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58"/>
      <c r="E70" s="260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671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61" t="s">
        <v>2</v>
      </c>
      <c r="D72" s="261" t="s">
        <v>38</v>
      </c>
      <c r="E72" s="261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59" t="s">
        <v>118</v>
      </c>
      <c r="D73" s="259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58" t="s">
        <v>118</v>
      </c>
      <c r="D74" s="258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9">A74+1</f>
        <v>3</v>
      </c>
      <c r="B75" s="351"/>
      <c r="C75" s="258" t="s">
        <v>137</v>
      </c>
      <c r="D75" s="258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9"/>
        <v>4</v>
      </c>
      <c r="B76" s="351"/>
      <c r="C76" s="258" t="s">
        <v>119</v>
      </c>
      <c r="D76" s="258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9"/>
        <v>5</v>
      </c>
      <c r="B77" s="351"/>
      <c r="C77" s="258" t="s">
        <v>119</v>
      </c>
      <c r="D77" s="258"/>
      <c r="E77" s="35" t="s">
        <v>332</v>
      </c>
      <c r="F77" s="351" t="s">
        <v>410</v>
      </c>
      <c r="G77" s="351"/>
      <c r="H77" s="351"/>
      <c r="I77" s="351"/>
      <c r="J77" s="351"/>
      <c r="K77" s="365" t="s">
        <v>411</v>
      </c>
      <c r="L77" s="366"/>
      <c r="M77" s="366"/>
      <c r="N77" s="366"/>
      <c r="O77" s="366"/>
      <c r="P77" s="366"/>
      <c r="Q77" s="366"/>
      <c r="R77" s="366"/>
      <c r="S77" s="367"/>
      <c r="T77" s="368">
        <v>43022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9"/>
        <v>6</v>
      </c>
      <c r="B78" s="351"/>
      <c r="C78" s="258" t="s">
        <v>119</v>
      </c>
      <c r="D78" s="258"/>
      <c r="E78" s="35" t="s">
        <v>58</v>
      </c>
      <c r="F78" s="351" t="s">
        <v>139</v>
      </c>
      <c r="G78" s="351"/>
      <c r="H78" s="351"/>
      <c r="I78" s="351"/>
      <c r="J78" s="351"/>
      <c r="K78" s="365" t="s">
        <v>411</v>
      </c>
      <c r="L78" s="366"/>
      <c r="M78" s="366"/>
      <c r="N78" s="366"/>
      <c r="O78" s="366"/>
      <c r="P78" s="366"/>
      <c r="Q78" s="366"/>
      <c r="R78" s="366"/>
      <c r="S78" s="367"/>
      <c r="T78" s="368">
        <v>43022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9"/>
        <v>7</v>
      </c>
      <c r="B79" s="351"/>
      <c r="C79" s="258"/>
      <c r="D79" s="258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9"/>
        <v>8</v>
      </c>
      <c r="B80" s="351"/>
      <c r="C80" s="258"/>
      <c r="D80" s="258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9"/>
        <v>9</v>
      </c>
      <c r="B81" s="351"/>
      <c r="C81" s="258"/>
      <c r="D81" s="258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672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673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9" si="7">$AD$21</f>
        <v>0.32187376659276057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0.32187376659276057</v>
      </c>
      <c r="AF7" s="94">
        <f t="shared" si="8"/>
        <v>2</v>
      </c>
    </row>
    <row r="8" spans="1:36" ht="27" customHeight="1">
      <c r="A8" s="109">
        <v>3</v>
      </c>
      <c r="B8" s="11" t="s">
        <v>339</v>
      </c>
      <c r="C8" s="11" t="s">
        <v>119</v>
      </c>
      <c r="D8" s="55" t="s">
        <v>141</v>
      </c>
      <c r="E8" s="56" t="s">
        <v>341</v>
      </c>
      <c r="F8" s="12" t="s">
        <v>342</v>
      </c>
      <c r="G8" s="12">
        <v>1</v>
      </c>
      <c r="H8" s="13">
        <v>25</v>
      </c>
      <c r="I8" s="34">
        <v>30000</v>
      </c>
      <c r="J8" s="14">
        <v>5250</v>
      </c>
      <c r="K8" s="15">
        <f>L8+3338+5408+3735+5862+5831+5856+5246</f>
        <v>35276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0.32187376659276057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119</v>
      </c>
      <c r="D9" s="55" t="s">
        <v>606</v>
      </c>
      <c r="E9" s="56" t="s">
        <v>607</v>
      </c>
      <c r="F9" s="12" t="s">
        <v>227</v>
      </c>
      <c r="G9" s="12">
        <v>1</v>
      </c>
      <c r="H9" s="38">
        <v>25</v>
      </c>
      <c r="I9" s="34">
        <v>7000</v>
      </c>
      <c r="J9" s="5">
        <v>2130</v>
      </c>
      <c r="K9" s="15">
        <f>L9+1924+1626</f>
        <v>5672</v>
      </c>
      <c r="L9" s="15">
        <v>2122</v>
      </c>
      <c r="M9" s="16">
        <f t="shared" si="0"/>
        <v>2122</v>
      </c>
      <c r="N9" s="16">
        <v>0</v>
      </c>
      <c r="O9" s="62">
        <f t="shared" si="1"/>
        <v>0</v>
      </c>
      <c r="P9" s="42">
        <f t="shared" si="2"/>
        <v>13</v>
      </c>
      <c r="Q9" s="43">
        <f t="shared" si="3"/>
        <v>11</v>
      </c>
      <c r="R9" s="7"/>
      <c r="S9" s="6">
        <v>11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0.99624413145539903</v>
      </c>
      <c r="AC9" s="9">
        <f t="shared" si="5"/>
        <v>0.54166666666666663</v>
      </c>
      <c r="AD9" s="10">
        <f t="shared" si="6"/>
        <v>0.53963223787167447</v>
      </c>
      <c r="AE9" s="39">
        <f t="shared" si="7"/>
        <v>0.32187376659276057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3700</v>
      </c>
      <c r="K10" s="15">
        <f>L10+2928+5697+2831</f>
        <v>15153</v>
      </c>
      <c r="L10" s="15">
        <f>2937+760</f>
        <v>3697</v>
      </c>
      <c r="M10" s="16">
        <f t="shared" ref="M10" si="9">L10-N10</f>
        <v>3697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19</v>
      </c>
      <c r="Q10" s="43">
        <f t="shared" ref="Q10" si="12">SUM(R10:AA10)</f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0.9991891891891892</v>
      </c>
      <c r="AC10" s="9">
        <f t="shared" ref="AC10" si="14">IF(P10=0,"0",(P10/24))</f>
        <v>0.79166666666666663</v>
      </c>
      <c r="AD10" s="10">
        <f t="shared" ref="AD10" si="15">AC10*AB10*(1-O10)</f>
        <v>0.79102477477477473</v>
      </c>
      <c r="AE10" s="39">
        <f t="shared" si="7"/>
        <v>0.32187376659276057</v>
      </c>
      <c r="AF10" s="94">
        <f t="shared" ref="AF10" si="16">A10</f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674</v>
      </c>
      <c r="F11" s="12" t="s">
        <v>675</v>
      </c>
      <c r="G11" s="12">
        <v>1</v>
      </c>
      <c r="H11" s="13">
        <v>25</v>
      </c>
      <c r="I11" s="34">
        <v>5000</v>
      </c>
      <c r="J11" s="14">
        <v>4310</v>
      </c>
      <c r="K11" s="15">
        <f>L11</f>
        <v>4307</v>
      </c>
      <c r="L11" s="15">
        <f>3196+1111</f>
        <v>4307</v>
      </c>
      <c r="M11" s="16">
        <f t="shared" si="0"/>
        <v>4307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0.99930394431554526</v>
      </c>
      <c r="AC11" s="9">
        <f t="shared" si="5"/>
        <v>0.875</v>
      </c>
      <c r="AD11" s="10">
        <f t="shared" si="6"/>
        <v>0.87439095127610211</v>
      </c>
      <c r="AE11" s="39">
        <f t="shared" si="7"/>
        <v>0.32187376659276057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137</v>
      </c>
      <c r="D12" s="55" t="s">
        <v>648</v>
      </c>
      <c r="E12" s="57" t="s">
        <v>649</v>
      </c>
      <c r="F12" s="12" t="s">
        <v>650</v>
      </c>
      <c r="G12" s="12">
        <v>2</v>
      </c>
      <c r="H12" s="13">
        <v>25</v>
      </c>
      <c r="I12" s="7">
        <v>25000</v>
      </c>
      <c r="J12" s="14">
        <v>2010</v>
      </c>
      <c r="K12" s="15">
        <f>L12+2908</f>
        <v>4912</v>
      </c>
      <c r="L12" s="15">
        <f>1002*2</f>
        <v>2004</v>
      </c>
      <c r="M12" s="16">
        <f t="shared" si="0"/>
        <v>2004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>
        <v>18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0.9970149253731343</v>
      </c>
      <c r="AC12" s="9">
        <f t="shared" si="5"/>
        <v>0.25</v>
      </c>
      <c r="AD12" s="10">
        <f t="shared" si="6"/>
        <v>0.24925373134328357</v>
      </c>
      <c r="AE12" s="39">
        <f t="shared" si="7"/>
        <v>0.32187376659276057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137</v>
      </c>
      <c r="D13" s="55" t="s">
        <v>648</v>
      </c>
      <c r="E13" s="57" t="s">
        <v>649</v>
      </c>
      <c r="F13" s="12" t="s">
        <v>650</v>
      </c>
      <c r="G13" s="12">
        <v>2</v>
      </c>
      <c r="H13" s="13">
        <v>25</v>
      </c>
      <c r="I13" s="7">
        <v>25000</v>
      </c>
      <c r="J13" s="14">
        <v>5150</v>
      </c>
      <c r="K13" s="15">
        <f>L13+2908+2004</f>
        <v>10054</v>
      </c>
      <c r="L13" s="15">
        <f>2571*2</f>
        <v>5142</v>
      </c>
      <c r="M13" s="16">
        <f t="shared" ref="M13" si="17">L13-N13</f>
        <v>5142</v>
      </c>
      <c r="N13" s="16">
        <v>0</v>
      </c>
      <c r="O13" s="62">
        <f t="shared" ref="O13" si="18">IF(L13=0,"0",N13/L13)</f>
        <v>0</v>
      </c>
      <c r="P13" s="42">
        <f t="shared" ref="P13" si="19">IF(L13=0,"0",(24-Q13))</f>
        <v>13</v>
      </c>
      <c r="Q13" s="43">
        <f t="shared" ref="Q13" si="20">SUM(R13:AA13)</f>
        <v>11</v>
      </c>
      <c r="R13" s="7"/>
      <c r="S13" s="6">
        <v>11</v>
      </c>
      <c r="T13" s="17"/>
      <c r="U13" s="17"/>
      <c r="V13" s="18"/>
      <c r="W13" s="19"/>
      <c r="X13" s="17"/>
      <c r="Y13" s="20"/>
      <c r="Z13" s="20"/>
      <c r="AA13" s="21"/>
      <c r="AB13" s="8">
        <f t="shared" ref="AB13" si="21">IF(J13=0,"0",(L13/J13))</f>
        <v>0.99844660194174761</v>
      </c>
      <c r="AC13" s="9">
        <f t="shared" ref="AC13" si="22">IF(P13=0,"0",(P13/24))</f>
        <v>0.54166666666666663</v>
      </c>
      <c r="AD13" s="10">
        <f t="shared" ref="AD13" si="23">AC13*AB13*(1-O13)</f>
        <v>0.54082524271844656</v>
      </c>
      <c r="AE13" s="39">
        <f t="shared" si="7"/>
        <v>0.32187376659276057</v>
      </c>
      <c r="AF13" s="94">
        <f t="shared" ref="AF13" si="24">A13</f>
        <v>8</v>
      </c>
    </row>
    <row r="14" spans="1:36" ht="27" customHeight="1">
      <c r="A14" s="109">
        <v>9</v>
      </c>
      <c r="B14" s="11" t="s">
        <v>418</v>
      </c>
      <c r="C14" s="37" t="s">
        <v>651</v>
      </c>
      <c r="D14" s="55" t="s">
        <v>58</v>
      </c>
      <c r="E14" s="57" t="s">
        <v>652</v>
      </c>
      <c r="F14" s="33" t="s">
        <v>653</v>
      </c>
      <c r="G14" s="36">
        <v>1</v>
      </c>
      <c r="H14" s="38">
        <v>25</v>
      </c>
      <c r="I14" s="7">
        <v>500</v>
      </c>
      <c r="J14" s="5">
        <v>501</v>
      </c>
      <c r="K14" s="15">
        <f>L14+278</f>
        <v>779</v>
      </c>
      <c r="L14" s="15">
        <v>501</v>
      </c>
      <c r="M14" s="16">
        <f t="shared" si="0"/>
        <v>501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/>
      <c r="T14" s="17"/>
      <c r="U14" s="17"/>
      <c r="V14" s="18"/>
      <c r="W14" s="19">
        <v>16</v>
      </c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0.32187376659276057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0.32187376659276057</v>
      </c>
      <c r="AF15" s="94">
        <f t="shared" si="8"/>
        <v>10</v>
      </c>
    </row>
    <row r="16" spans="1:36" ht="27.75" customHeight="1">
      <c r="A16" s="109">
        <v>11</v>
      </c>
      <c r="B16" s="11" t="s">
        <v>424</v>
      </c>
      <c r="C16" s="11" t="s">
        <v>119</v>
      </c>
      <c r="D16" s="55" t="s">
        <v>391</v>
      </c>
      <c r="E16" s="56" t="s">
        <v>423</v>
      </c>
      <c r="F16" s="12">
        <v>7301</v>
      </c>
      <c r="G16" s="36">
        <v>1</v>
      </c>
      <c r="H16" s="38">
        <v>25</v>
      </c>
      <c r="I16" s="7">
        <v>30000</v>
      </c>
      <c r="J16" s="14">
        <v>2840</v>
      </c>
      <c r="K16" s="15">
        <f>L16+5007+2840</f>
        <v>7847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0.32187376659276057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503</v>
      </c>
      <c r="D17" s="55"/>
      <c r="E17" s="56" t="s">
        <v>504</v>
      </c>
      <c r="F17" s="12">
        <v>8301</v>
      </c>
      <c r="G17" s="12" t="s">
        <v>150</v>
      </c>
      <c r="H17" s="13">
        <v>25</v>
      </c>
      <c r="I17" s="34">
        <v>500</v>
      </c>
      <c r="J17" s="5">
        <v>1260</v>
      </c>
      <c r="K17" s="15">
        <f>L17+1256</f>
        <v>1256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0.32187376659276057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58</v>
      </c>
      <c r="E18" s="57" t="s">
        <v>181</v>
      </c>
      <c r="F18" s="33" t="s">
        <v>507</v>
      </c>
      <c r="G18" s="36">
        <v>1</v>
      </c>
      <c r="H18" s="38">
        <v>25</v>
      </c>
      <c r="I18" s="7">
        <v>7000</v>
      </c>
      <c r="J18" s="5">
        <v>2050</v>
      </c>
      <c r="K18" s="15">
        <f>L18+630+919+549</f>
        <v>4147</v>
      </c>
      <c r="L18" s="15">
        <f>567+1482</f>
        <v>2049</v>
      </c>
      <c r="M18" s="16">
        <f t="shared" si="0"/>
        <v>2049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>
        <v>12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0.99951219512195122</v>
      </c>
      <c r="AC18" s="9">
        <f t="shared" si="5"/>
        <v>0.5</v>
      </c>
      <c r="AD18" s="10">
        <f t="shared" si="6"/>
        <v>0.49975609756097561</v>
      </c>
      <c r="AE18" s="39">
        <f t="shared" si="7"/>
        <v>0.32187376659276057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654</v>
      </c>
      <c r="D19" s="55" t="s">
        <v>58</v>
      </c>
      <c r="E19" s="57" t="s">
        <v>655</v>
      </c>
      <c r="F19" s="33" t="s">
        <v>656</v>
      </c>
      <c r="G19" s="36">
        <v>1</v>
      </c>
      <c r="H19" s="38">
        <v>25</v>
      </c>
      <c r="I19" s="7">
        <v>2000</v>
      </c>
      <c r="J19" s="5">
        <v>1290</v>
      </c>
      <c r="K19" s="15">
        <f>L19+1281</f>
        <v>1281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0.32187376659276057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54610</v>
      </c>
      <c r="K20" s="15">
        <f>L20+28820+65228+31484</f>
        <v>180136</v>
      </c>
      <c r="L20" s="15">
        <f>8656*4+4995*4</f>
        <v>54604</v>
      </c>
      <c r="M20" s="16">
        <f t="shared" si="0"/>
        <v>54604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0.99989013001281812</v>
      </c>
      <c r="AC20" s="9">
        <f t="shared" si="5"/>
        <v>1</v>
      </c>
      <c r="AD20" s="10">
        <f t="shared" si="6"/>
        <v>0.99989013001281812</v>
      </c>
      <c r="AE20" s="39">
        <f>$AD$21</f>
        <v>0.32187376659276057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25">SUM(I6:I20)</f>
        <v>497000</v>
      </c>
      <c r="J21" s="22">
        <f t="shared" si="25"/>
        <v>105741</v>
      </c>
      <c r="K21" s="23">
        <f t="shared" si="25"/>
        <v>291460</v>
      </c>
      <c r="L21" s="24">
        <f t="shared" si="25"/>
        <v>74426</v>
      </c>
      <c r="M21" s="23">
        <f t="shared" si="25"/>
        <v>74426</v>
      </c>
      <c r="N21" s="24">
        <f t="shared" si="25"/>
        <v>0</v>
      </c>
      <c r="O21" s="44">
        <f t="shared" si="1"/>
        <v>0</v>
      </c>
      <c r="P21" s="45">
        <f t="shared" ref="P21:AA21" si="26">SUM(P6:P20)</f>
        <v>116</v>
      </c>
      <c r="Q21" s="46">
        <f t="shared" si="26"/>
        <v>244</v>
      </c>
      <c r="R21" s="26">
        <f t="shared" si="26"/>
        <v>48</v>
      </c>
      <c r="S21" s="27">
        <f t="shared" si="26"/>
        <v>81</v>
      </c>
      <c r="T21" s="27">
        <f t="shared" si="26"/>
        <v>3</v>
      </c>
      <c r="U21" s="27">
        <f t="shared" si="26"/>
        <v>0</v>
      </c>
      <c r="V21" s="28">
        <f t="shared" si="26"/>
        <v>0</v>
      </c>
      <c r="W21" s="29">
        <f t="shared" si="26"/>
        <v>112</v>
      </c>
      <c r="X21" s="30">
        <f t="shared" si="26"/>
        <v>0</v>
      </c>
      <c r="Y21" s="30">
        <f t="shared" si="26"/>
        <v>0</v>
      </c>
      <c r="Z21" s="30">
        <f t="shared" si="26"/>
        <v>0</v>
      </c>
      <c r="AA21" s="30">
        <f t="shared" si="26"/>
        <v>0</v>
      </c>
      <c r="AB21" s="31">
        <f>SUM(AB6:AB20)/15</f>
        <v>0.53264007449398565</v>
      </c>
      <c r="AC21" s="4">
        <f>SUM(AC6:AC20)/15</f>
        <v>0.32222222222222219</v>
      </c>
      <c r="AD21" s="4">
        <f>SUM(AD6:AD20)/15</f>
        <v>0.32187376659276057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676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689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71" t="s">
        <v>47</v>
      </c>
      <c r="D50" s="271" t="s">
        <v>48</v>
      </c>
      <c r="E50" s="271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71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677</v>
      </c>
      <c r="B51" s="410"/>
      <c r="C51" s="272" t="s">
        <v>678</v>
      </c>
      <c r="D51" s="273" t="s">
        <v>679</v>
      </c>
      <c r="E51" s="272" t="s">
        <v>680</v>
      </c>
      <c r="F51" s="394" t="s">
        <v>681</v>
      </c>
      <c r="G51" s="394"/>
      <c r="H51" s="394"/>
      <c r="I51" s="394"/>
      <c r="J51" s="394"/>
      <c r="K51" s="394"/>
      <c r="L51" s="394"/>
      <c r="M51" s="404"/>
      <c r="N51" s="277" t="s">
        <v>691</v>
      </c>
      <c r="O51" s="74" t="s">
        <v>692</v>
      </c>
      <c r="P51" s="411" t="s">
        <v>693</v>
      </c>
      <c r="Q51" s="412"/>
      <c r="R51" s="403" t="s">
        <v>690</v>
      </c>
      <c r="S51" s="403"/>
      <c r="T51" s="403"/>
      <c r="U51" s="403"/>
      <c r="V51" s="394" t="s">
        <v>661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659</v>
      </c>
      <c r="B52" s="410"/>
      <c r="C52" s="272" t="s">
        <v>682</v>
      </c>
      <c r="D52" s="273" t="s">
        <v>648</v>
      </c>
      <c r="E52" s="272" t="s">
        <v>660</v>
      </c>
      <c r="F52" s="394" t="s">
        <v>681</v>
      </c>
      <c r="G52" s="394"/>
      <c r="H52" s="394"/>
      <c r="I52" s="394"/>
      <c r="J52" s="394"/>
      <c r="K52" s="394"/>
      <c r="L52" s="394"/>
      <c r="M52" s="404"/>
      <c r="N52" s="277" t="s">
        <v>118</v>
      </c>
      <c r="O52" s="74" t="s">
        <v>695</v>
      </c>
      <c r="P52" s="411" t="s">
        <v>693</v>
      </c>
      <c r="Q52" s="412"/>
      <c r="R52" s="403" t="s">
        <v>694</v>
      </c>
      <c r="S52" s="403"/>
      <c r="T52" s="403"/>
      <c r="U52" s="403"/>
      <c r="V52" s="394" t="s">
        <v>696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119</v>
      </c>
      <c r="B53" s="410"/>
      <c r="C53" s="272" t="s">
        <v>178</v>
      </c>
      <c r="D53" s="273" t="s">
        <v>623</v>
      </c>
      <c r="E53" s="272" t="s">
        <v>624</v>
      </c>
      <c r="F53" s="394" t="s">
        <v>683</v>
      </c>
      <c r="G53" s="394"/>
      <c r="H53" s="394"/>
      <c r="I53" s="394"/>
      <c r="J53" s="394"/>
      <c r="K53" s="394"/>
      <c r="L53" s="394"/>
      <c r="M53" s="404"/>
      <c r="N53" s="277" t="s">
        <v>698</v>
      </c>
      <c r="O53" s="74" t="s">
        <v>699</v>
      </c>
      <c r="P53" s="411" t="s">
        <v>141</v>
      </c>
      <c r="Q53" s="412"/>
      <c r="R53" s="403" t="s">
        <v>697</v>
      </c>
      <c r="S53" s="403"/>
      <c r="T53" s="403"/>
      <c r="U53" s="403"/>
      <c r="V53" s="394" t="s">
        <v>430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609</v>
      </c>
      <c r="B54" s="410"/>
      <c r="C54" s="272" t="s">
        <v>200</v>
      </c>
      <c r="D54" s="273" t="s">
        <v>623</v>
      </c>
      <c r="E54" s="272" t="s">
        <v>630</v>
      </c>
      <c r="F54" s="394" t="s">
        <v>684</v>
      </c>
      <c r="G54" s="394"/>
      <c r="H54" s="394"/>
      <c r="I54" s="394"/>
      <c r="J54" s="394"/>
      <c r="K54" s="394"/>
      <c r="L54" s="394"/>
      <c r="M54" s="404"/>
      <c r="N54" s="277" t="s">
        <v>701</v>
      </c>
      <c r="O54" s="74" t="s">
        <v>702</v>
      </c>
      <c r="P54" s="411" t="s">
        <v>703</v>
      </c>
      <c r="Q54" s="412"/>
      <c r="R54" s="403" t="s">
        <v>700</v>
      </c>
      <c r="S54" s="403"/>
      <c r="T54" s="403"/>
      <c r="U54" s="403"/>
      <c r="V54" s="394" t="s">
        <v>704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137</v>
      </c>
      <c r="B55" s="410"/>
      <c r="C55" s="272" t="s">
        <v>685</v>
      </c>
      <c r="D55" s="273" t="s">
        <v>686</v>
      </c>
      <c r="E55" s="272" t="s">
        <v>687</v>
      </c>
      <c r="F55" s="394" t="s">
        <v>688</v>
      </c>
      <c r="G55" s="394"/>
      <c r="H55" s="394"/>
      <c r="I55" s="394"/>
      <c r="J55" s="394"/>
      <c r="K55" s="394"/>
      <c r="L55" s="394"/>
      <c r="M55" s="404"/>
      <c r="N55" s="277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72"/>
      <c r="D56" s="273"/>
      <c r="E56" s="272"/>
      <c r="F56" s="394"/>
      <c r="G56" s="394"/>
      <c r="H56" s="394"/>
      <c r="I56" s="394"/>
      <c r="J56" s="394"/>
      <c r="K56" s="394"/>
      <c r="L56" s="394"/>
      <c r="M56" s="404"/>
      <c r="N56" s="277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72"/>
      <c r="D57" s="273"/>
      <c r="E57" s="272"/>
      <c r="F57" s="394"/>
      <c r="G57" s="394"/>
      <c r="H57" s="394"/>
      <c r="I57" s="394"/>
      <c r="J57" s="394"/>
      <c r="K57" s="394"/>
      <c r="L57" s="394"/>
      <c r="M57" s="404"/>
      <c r="N57" s="277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72"/>
      <c r="D58" s="273"/>
      <c r="E58" s="272"/>
      <c r="F58" s="394"/>
      <c r="G58" s="394"/>
      <c r="H58" s="394"/>
      <c r="I58" s="394"/>
      <c r="J58" s="394"/>
      <c r="K58" s="394"/>
      <c r="L58" s="394"/>
      <c r="M58" s="404"/>
      <c r="N58" s="277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73"/>
      <c r="D59" s="273"/>
      <c r="E59" s="273"/>
      <c r="F59" s="394"/>
      <c r="G59" s="394"/>
      <c r="H59" s="394"/>
      <c r="I59" s="394"/>
      <c r="J59" s="394"/>
      <c r="K59" s="394"/>
      <c r="L59" s="394"/>
      <c r="M59" s="404"/>
      <c r="N59" s="277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75"/>
      <c r="D60" s="275"/>
      <c r="E60" s="275"/>
      <c r="F60" s="407"/>
      <c r="G60" s="407"/>
      <c r="H60" s="407"/>
      <c r="I60" s="407"/>
      <c r="J60" s="407"/>
      <c r="K60" s="407"/>
      <c r="L60" s="407"/>
      <c r="M60" s="408"/>
      <c r="N60" s="274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712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76" t="s">
        <v>2</v>
      </c>
      <c r="D62" s="276" t="s">
        <v>38</v>
      </c>
      <c r="E62" s="276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76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119</v>
      </c>
      <c r="D63" s="280"/>
      <c r="E63" s="278" t="s">
        <v>706</v>
      </c>
      <c r="F63" s="392" t="s">
        <v>705</v>
      </c>
      <c r="G63" s="382"/>
      <c r="H63" s="382"/>
      <c r="I63" s="382"/>
      <c r="J63" s="382"/>
      <c r="K63" s="382" t="s">
        <v>707</v>
      </c>
      <c r="L63" s="382"/>
      <c r="M63" s="54" t="s">
        <v>708</v>
      </c>
      <c r="N63" s="382">
        <v>2</v>
      </c>
      <c r="O63" s="382"/>
      <c r="P63" s="393">
        <v>100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119</v>
      </c>
      <c r="D64" s="280"/>
      <c r="E64" s="278" t="s">
        <v>58</v>
      </c>
      <c r="F64" s="392" t="s">
        <v>709</v>
      </c>
      <c r="G64" s="382"/>
      <c r="H64" s="382"/>
      <c r="I64" s="382"/>
      <c r="J64" s="382"/>
      <c r="K64" s="382" t="s">
        <v>710</v>
      </c>
      <c r="L64" s="382"/>
      <c r="M64" s="54" t="s">
        <v>708</v>
      </c>
      <c r="N64" s="382">
        <v>8</v>
      </c>
      <c r="O64" s="382"/>
      <c r="P64" s="393">
        <v>50</v>
      </c>
      <c r="Q64" s="393"/>
      <c r="R64" s="394" t="s">
        <v>711</v>
      </c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80"/>
      <c r="E65" s="278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80"/>
      <c r="E66" s="278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80"/>
      <c r="E67" s="278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80"/>
      <c r="E68" s="278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80"/>
      <c r="E69" s="278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80"/>
      <c r="E70" s="278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713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79" t="s">
        <v>2</v>
      </c>
      <c r="D72" s="279" t="s">
        <v>38</v>
      </c>
      <c r="E72" s="279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81" t="s">
        <v>118</v>
      </c>
      <c r="D73" s="281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80" t="s">
        <v>118</v>
      </c>
      <c r="D74" s="280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27">A74+1</f>
        <v>3</v>
      </c>
      <c r="B75" s="351"/>
      <c r="C75" s="280" t="s">
        <v>137</v>
      </c>
      <c r="D75" s="280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27"/>
        <v>4</v>
      </c>
      <c r="B76" s="351"/>
      <c r="C76" s="280" t="s">
        <v>119</v>
      </c>
      <c r="D76" s="280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27"/>
        <v>5</v>
      </c>
      <c r="B77" s="351"/>
      <c r="C77" s="280" t="s">
        <v>118</v>
      </c>
      <c r="D77" s="280"/>
      <c r="E77" s="35" t="s">
        <v>714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43031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27"/>
        <v>6</v>
      </c>
      <c r="B78" s="351"/>
      <c r="C78" s="280"/>
      <c r="D78" s="280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27"/>
        <v>7</v>
      </c>
      <c r="B79" s="351"/>
      <c r="C79" s="280"/>
      <c r="D79" s="280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27"/>
        <v>8</v>
      </c>
      <c r="B80" s="351"/>
      <c r="C80" s="280"/>
      <c r="D80" s="280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27"/>
        <v>9</v>
      </c>
      <c r="B81" s="351"/>
      <c r="C81" s="280"/>
      <c r="D81" s="280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717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5" sqref="F55:M5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718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9" si="7">$AD$21</f>
        <v>0.5412850469555881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0.5412850469555881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703</v>
      </c>
      <c r="E8" s="56" t="s">
        <v>719</v>
      </c>
      <c r="F8" s="12" t="s">
        <v>720</v>
      </c>
      <c r="G8" s="12">
        <v>1</v>
      </c>
      <c r="H8" s="13">
        <v>25</v>
      </c>
      <c r="I8" s="34">
        <v>5000</v>
      </c>
      <c r="J8" s="14">
        <v>5680</v>
      </c>
      <c r="K8" s="15">
        <f>L8</f>
        <v>5675</v>
      </c>
      <c r="L8" s="15">
        <f>2398+3277</f>
        <v>5675</v>
      </c>
      <c r="M8" s="16">
        <f t="shared" si="0"/>
        <v>5675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0.99911971830985913</v>
      </c>
      <c r="AC8" s="9">
        <f t="shared" si="5"/>
        <v>0.95833333333333337</v>
      </c>
      <c r="AD8" s="10">
        <f t="shared" si="6"/>
        <v>0.95748973004694837</v>
      </c>
      <c r="AE8" s="39">
        <f t="shared" si="7"/>
        <v>0.5412850469555881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118</v>
      </c>
      <c r="D9" s="55" t="s">
        <v>714</v>
      </c>
      <c r="E9" s="56" t="s">
        <v>715</v>
      </c>
      <c r="F9" s="12">
        <v>7301</v>
      </c>
      <c r="G9" s="12">
        <v>1</v>
      </c>
      <c r="H9" s="38">
        <v>25</v>
      </c>
      <c r="I9" s="34">
        <v>2000</v>
      </c>
      <c r="J9" s="5">
        <v>920</v>
      </c>
      <c r="K9" s="15">
        <f>L9</f>
        <v>918</v>
      </c>
      <c r="L9" s="15">
        <v>918</v>
      </c>
      <c r="M9" s="16">
        <f t="shared" si="0"/>
        <v>918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>
        <v>19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0.99782608695652175</v>
      </c>
      <c r="AC9" s="9">
        <f t="shared" si="5"/>
        <v>0.20833333333333334</v>
      </c>
      <c r="AD9" s="10">
        <f t="shared" si="6"/>
        <v>0.2078804347826087</v>
      </c>
      <c r="AE9" s="39">
        <f t="shared" si="7"/>
        <v>0.5412850469555881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5890</v>
      </c>
      <c r="K10" s="15">
        <f>L10+2928+5697+2831+3697</f>
        <v>21042</v>
      </c>
      <c r="L10" s="15">
        <f>2753+3136</f>
        <v>5889</v>
      </c>
      <c r="M10" s="16">
        <f t="shared" si="0"/>
        <v>5889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0.99983022071307304</v>
      </c>
      <c r="AC10" s="9">
        <f t="shared" si="5"/>
        <v>1</v>
      </c>
      <c r="AD10" s="10">
        <f t="shared" si="6"/>
        <v>0.99983022071307304</v>
      </c>
      <c r="AE10" s="39">
        <f t="shared" si="7"/>
        <v>0.5412850469555881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674</v>
      </c>
      <c r="F11" s="12" t="s">
        <v>675</v>
      </c>
      <c r="G11" s="12">
        <v>1</v>
      </c>
      <c r="H11" s="13">
        <v>25</v>
      </c>
      <c r="I11" s="34">
        <v>5000</v>
      </c>
      <c r="J11" s="14">
        <v>4460</v>
      </c>
      <c r="K11" s="15">
        <f>L11+4307</f>
        <v>8767</v>
      </c>
      <c r="L11" s="15">
        <f>2971+1489</f>
        <v>4460</v>
      </c>
      <c r="M11" s="16">
        <f t="shared" si="0"/>
        <v>4460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0.5412850469555881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721</v>
      </c>
      <c r="E12" s="57" t="s">
        <v>722</v>
      </c>
      <c r="F12" s="12" t="s">
        <v>723</v>
      </c>
      <c r="G12" s="12">
        <v>1</v>
      </c>
      <c r="H12" s="13">
        <v>25</v>
      </c>
      <c r="I12" s="7">
        <v>9000</v>
      </c>
      <c r="J12" s="14">
        <v>4090</v>
      </c>
      <c r="K12" s="15">
        <f>L12</f>
        <v>4089</v>
      </c>
      <c r="L12" s="15">
        <f>1747+2342</f>
        <v>4089</v>
      </c>
      <c r="M12" s="16">
        <f t="shared" si="0"/>
        <v>4089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0.9997555012224939</v>
      </c>
      <c r="AC12" s="9">
        <f t="shared" si="5"/>
        <v>0.95833333333333337</v>
      </c>
      <c r="AD12" s="10">
        <f t="shared" si="6"/>
        <v>0.95809902200489006</v>
      </c>
      <c r="AE12" s="39">
        <f t="shared" si="7"/>
        <v>0.5412850469555881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137</v>
      </c>
      <c r="D13" s="55" t="s">
        <v>648</v>
      </c>
      <c r="E13" s="57" t="s">
        <v>649</v>
      </c>
      <c r="F13" s="12" t="s">
        <v>650</v>
      </c>
      <c r="G13" s="12">
        <v>2</v>
      </c>
      <c r="H13" s="13">
        <v>25</v>
      </c>
      <c r="I13" s="7">
        <v>25000</v>
      </c>
      <c r="J13" s="14">
        <v>11570</v>
      </c>
      <c r="K13" s="15">
        <f>L13+2908+2004+5142</f>
        <v>21622</v>
      </c>
      <c r="L13" s="15">
        <f>2815*2+2969*2</f>
        <v>11568</v>
      </c>
      <c r="M13" s="16">
        <f t="shared" si="0"/>
        <v>11568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0.99982713915298183</v>
      </c>
      <c r="AC13" s="9">
        <f t="shared" si="5"/>
        <v>1</v>
      </c>
      <c r="AD13" s="10">
        <f t="shared" si="6"/>
        <v>0.99982713915298183</v>
      </c>
      <c r="AE13" s="39">
        <f t="shared" si="7"/>
        <v>0.5412850469555881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651</v>
      </c>
      <c r="D14" s="55" t="s">
        <v>58</v>
      </c>
      <c r="E14" s="57" t="s">
        <v>652</v>
      </c>
      <c r="F14" s="33" t="s">
        <v>653</v>
      </c>
      <c r="G14" s="36">
        <v>1</v>
      </c>
      <c r="H14" s="38">
        <v>25</v>
      </c>
      <c r="I14" s="7">
        <v>500</v>
      </c>
      <c r="J14" s="5">
        <v>501</v>
      </c>
      <c r="K14" s="15">
        <f>L14+278+501</f>
        <v>779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0.5412850469555881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419</v>
      </c>
      <c r="D15" s="55" t="s">
        <v>420</v>
      </c>
      <c r="E15" s="57" t="s">
        <v>421</v>
      </c>
      <c r="F15" s="12" t="s">
        <v>422</v>
      </c>
      <c r="G15" s="12">
        <v>8</v>
      </c>
      <c r="H15" s="13">
        <v>20</v>
      </c>
      <c r="I15" s="34">
        <v>10000</v>
      </c>
      <c r="J15" s="14">
        <v>20640</v>
      </c>
      <c r="K15" s="15">
        <f>L15+20640</f>
        <v>20640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0.5412850469555881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721</v>
      </c>
      <c r="E16" s="56" t="s">
        <v>724</v>
      </c>
      <c r="F16" s="12">
        <v>7301</v>
      </c>
      <c r="G16" s="36">
        <v>1</v>
      </c>
      <c r="H16" s="38">
        <v>25</v>
      </c>
      <c r="I16" s="7">
        <v>28000</v>
      </c>
      <c r="J16" s="14">
        <v>2410</v>
      </c>
      <c r="K16" s="15">
        <f>L16</f>
        <v>2401</v>
      </c>
      <c r="L16" s="15">
        <f>221+2180</f>
        <v>2401</v>
      </c>
      <c r="M16" s="16">
        <f t="shared" si="0"/>
        <v>2401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/>
      <c r="S16" s="6"/>
      <c r="T16" s="17"/>
      <c r="U16" s="17"/>
      <c r="V16" s="18">
        <v>10</v>
      </c>
      <c r="W16" s="19"/>
      <c r="X16" s="17"/>
      <c r="Y16" s="20"/>
      <c r="Z16" s="20"/>
      <c r="AA16" s="21"/>
      <c r="AB16" s="8">
        <f t="shared" si="4"/>
        <v>0.99626556016597512</v>
      </c>
      <c r="AC16" s="9">
        <f t="shared" si="5"/>
        <v>0.58333333333333337</v>
      </c>
      <c r="AD16" s="10">
        <f t="shared" si="6"/>
        <v>0.58115491009681886</v>
      </c>
      <c r="AE16" s="39">
        <f t="shared" si="7"/>
        <v>0.5412850469555881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503</v>
      </c>
      <c r="D17" s="55"/>
      <c r="E17" s="56" t="s">
        <v>504</v>
      </c>
      <c r="F17" s="12">
        <v>8301</v>
      </c>
      <c r="G17" s="12" t="s">
        <v>150</v>
      </c>
      <c r="H17" s="13">
        <v>25</v>
      </c>
      <c r="I17" s="34">
        <v>500</v>
      </c>
      <c r="J17" s="5">
        <v>1260</v>
      </c>
      <c r="K17" s="15">
        <f>L17+1256</f>
        <v>1256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0.5412850469555881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58</v>
      </c>
      <c r="E18" s="57" t="s">
        <v>181</v>
      </c>
      <c r="F18" s="33" t="s">
        <v>507</v>
      </c>
      <c r="G18" s="36">
        <v>1</v>
      </c>
      <c r="H18" s="38">
        <v>25</v>
      </c>
      <c r="I18" s="7">
        <v>7000</v>
      </c>
      <c r="J18" s="5">
        <v>2840</v>
      </c>
      <c r="K18" s="15">
        <f>L18+630+919+549+2049</f>
        <v>6981</v>
      </c>
      <c r="L18" s="15">
        <f>226+2608</f>
        <v>2834</v>
      </c>
      <c r="M18" s="16">
        <f t="shared" si="0"/>
        <v>2834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0.99788732394366197</v>
      </c>
      <c r="AC18" s="9">
        <f t="shared" si="5"/>
        <v>0.75</v>
      </c>
      <c r="AD18" s="10">
        <f t="shared" si="6"/>
        <v>0.74841549295774645</v>
      </c>
      <c r="AE18" s="39">
        <f t="shared" si="7"/>
        <v>0.5412850469555881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137</v>
      </c>
      <c r="D19" s="55" t="s">
        <v>141</v>
      </c>
      <c r="E19" s="57" t="s">
        <v>725</v>
      </c>
      <c r="F19" s="33" t="s">
        <v>726</v>
      </c>
      <c r="G19" s="36">
        <v>1</v>
      </c>
      <c r="H19" s="38">
        <v>25</v>
      </c>
      <c r="I19" s="7">
        <v>25000</v>
      </c>
      <c r="J19" s="5">
        <v>7330</v>
      </c>
      <c r="K19" s="15">
        <f>L19</f>
        <v>7330</v>
      </c>
      <c r="L19" s="15">
        <f>924*2+2741*2</f>
        <v>7330</v>
      </c>
      <c r="M19" s="16">
        <f t="shared" si="0"/>
        <v>7330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9">
        <f t="shared" si="7"/>
        <v>0.5412850469555881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68250</v>
      </c>
      <c r="K20" s="15">
        <f>L20+28820+65228+31484+54604</f>
        <v>248380</v>
      </c>
      <c r="L20" s="15">
        <f>8430*4+8631*4</f>
        <v>68244</v>
      </c>
      <c r="M20" s="16">
        <f t="shared" si="0"/>
        <v>68244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0.99991208791208797</v>
      </c>
      <c r="AC20" s="9">
        <f t="shared" si="5"/>
        <v>1</v>
      </c>
      <c r="AD20" s="10">
        <f t="shared" si="6"/>
        <v>0.99991208791208797</v>
      </c>
      <c r="AE20" s="39">
        <f>$AD$21</f>
        <v>0.5412850469555881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9">SUM(I6:I20)</f>
        <v>472000</v>
      </c>
      <c r="J21" s="22">
        <f t="shared" si="9"/>
        <v>135841</v>
      </c>
      <c r="K21" s="23">
        <f t="shared" si="9"/>
        <v>349880</v>
      </c>
      <c r="L21" s="24">
        <f t="shared" si="9"/>
        <v>113408</v>
      </c>
      <c r="M21" s="23">
        <f t="shared" si="9"/>
        <v>113408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195</v>
      </c>
      <c r="Q21" s="46">
        <f t="shared" si="10"/>
        <v>165</v>
      </c>
      <c r="R21" s="26">
        <f t="shared" si="10"/>
        <v>24</v>
      </c>
      <c r="S21" s="27">
        <f t="shared" si="10"/>
        <v>33</v>
      </c>
      <c r="T21" s="27">
        <f t="shared" si="10"/>
        <v>2</v>
      </c>
      <c r="U21" s="27">
        <f t="shared" si="10"/>
        <v>0</v>
      </c>
      <c r="V21" s="28">
        <f t="shared" si="10"/>
        <v>10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0.66602824255844362</v>
      </c>
      <c r="AC21" s="4">
        <f>SUM(AC6:AC20)/15</f>
        <v>0.54166666666666663</v>
      </c>
      <c r="AD21" s="4">
        <f>SUM(AD6:AD20)/15</f>
        <v>0.5412850469555881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727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735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71" t="s">
        <v>47</v>
      </c>
      <c r="D50" s="271" t="s">
        <v>48</v>
      </c>
      <c r="E50" s="271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71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659</v>
      </c>
      <c r="B51" s="410"/>
      <c r="C51" s="272" t="s">
        <v>728</v>
      </c>
      <c r="D51" s="273" t="s">
        <v>729</v>
      </c>
      <c r="E51" s="272" t="s">
        <v>725</v>
      </c>
      <c r="F51" s="394" t="s">
        <v>730</v>
      </c>
      <c r="G51" s="394"/>
      <c r="H51" s="394"/>
      <c r="I51" s="394"/>
      <c r="J51" s="394"/>
      <c r="K51" s="394"/>
      <c r="L51" s="394"/>
      <c r="M51" s="404"/>
      <c r="N51" s="277" t="s">
        <v>137</v>
      </c>
      <c r="O51" s="74" t="s">
        <v>678</v>
      </c>
      <c r="P51" s="411" t="s">
        <v>736</v>
      </c>
      <c r="Q51" s="412"/>
      <c r="R51" s="403" t="s">
        <v>680</v>
      </c>
      <c r="S51" s="403"/>
      <c r="T51" s="403"/>
      <c r="U51" s="403"/>
      <c r="V51" s="394" t="s">
        <v>681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119</v>
      </c>
      <c r="B52" s="410"/>
      <c r="C52" s="272" t="s">
        <v>178</v>
      </c>
      <c r="D52" s="273" t="s">
        <v>623</v>
      </c>
      <c r="E52" s="272" t="s">
        <v>624</v>
      </c>
      <c r="F52" s="394" t="s">
        <v>731</v>
      </c>
      <c r="G52" s="394"/>
      <c r="H52" s="394"/>
      <c r="I52" s="394"/>
      <c r="J52" s="394"/>
      <c r="K52" s="394"/>
      <c r="L52" s="394"/>
      <c r="M52" s="404"/>
      <c r="N52" s="277" t="s">
        <v>698</v>
      </c>
      <c r="O52" s="74" t="s">
        <v>732</v>
      </c>
      <c r="P52" s="411" t="s">
        <v>141</v>
      </c>
      <c r="Q52" s="412"/>
      <c r="R52" s="403" t="s">
        <v>697</v>
      </c>
      <c r="S52" s="403"/>
      <c r="T52" s="403"/>
      <c r="U52" s="403"/>
      <c r="V52" s="394" t="s">
        <v>681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609</v>
      </c>
      <c r="B53" s="410"/>
      <c r="C53" s="272" t="s">
        <v>732</v>
      </c>
      <c r="D53" s="273" t="s">
        <v>623</v>
      </c>
      <c r="E53" s="272" t="s">
        <v>630</v>
      </c>
      <c r="F53" s="394" t="s">
        <v>684</v>
      </c>
      <c r="G53" s="394"/>
      <c r="H53" s="394"/>
      <c r="I53" s="394"/>
      <c r="J53" s="394"/>
      <c r="K53" s="394"/>
      <c r="L53" s="394"/>
      <c r="M53" s="404"/>
      <c r="N53" s="277" t="s">
        <v>137</v>
      </c>
      <c r="O53" s="74" t="s">
        <v>685</v>
      </c>
      <c r="P53" s="411" t="s">
        <v>686</v>
      </c>
      <c r="Q53" s="412"/>
      <c r="R53" s="403" t="s">
        <v>737</v>
      </c>
      <c r="S53" s="403"/>
      <c r="T53" s="403"/>
      <c r="U53" s="403"/>
      <c r="V53" s="394" t="s">
        <v>731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119</v>
      </c>
      <c r="B54" s="410"/>
      <c r="C54" s="272" t="s">
        <v>702</v>
      </c>
      <c r="D54" s="273" t="s">
        <v>703</v>
      </c>
      <c r="E54" s="272" t="s">
        <v>719</v>
      </c>
      <c r="F54" s="394" t="s">
        <v>704</v>
      </c>
      <c r="G54" s="394"/>
      <c r="H54" s="394"/>
      <c r="I54" s="394"/>
      <c r="J54" s="394"/>
      <c r="K54" s="394"/>
      <c r="L54" s="394"/>
      <c r="M54" s="404"/>
      <c r="N54" s="277" t="s">
        <v>137</v>
      </c>
      <c r="O54" s="74" t="s">
        <v>739</v>
      </c>
      <c r="P54" s="411" t="s">
        <v>703</v>
      </c>
      <c r="Q54" s="412"/>
      <c r="R54" s="403" t="s">
        <v>738</v>
      </c>
      <c r="S54" s="403"/>
      <c r="T54" s="403"/>
      <c r="U54" s="403"/>
      <c r="V54" s="394" t="s">
        <v>740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118</v>
      </c>
      <c r="B55" s="410"/>
      <c r="C55" s="272" t="s">
        <v>733</v>
      </c>
      <c r="D55" s="273" t="s">
        <v>714</v>
      </c>
      <c r="E55" s="272" t="s">
        <v>724</v>
      </c>
      <c r="F55" s="394" t="s">
        <v>734</v>
      </c>
      <c r="G55" s="394"/>
      <c r="H55" s="394"/>
      <c r="I55" s="394"/>
      <c r="J55" s="394"/>
      <c r="K55" s="394"/>
      <c r="L55" s="394"/>
      <c r="M55" s="404"/>
      <c r="N55" s="277" t="s">
        <v>137</v>
      </c>
      <c r="O55" s="74" t="s">
        <v>742</v>
      </c>
      <c r="P55" s="411" t="s">
        <v>686</v>
      </c>
      <c r="Q55" s="412"/>
      <c r="R55" s="403" t="s">
        <v>741</v>
      </c>
      <c r="S55" s="403"/>
      <c r="T55" s="403"/>
      <c r="U55" s="403"/>
      <c r="V55" s="394" t="s">
        <v>740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118</v>
      </c>
      <c r="B56" s="410"/>
      <c r="C56" s="272" t="s">
        <v>692</v>
      </c>
      <c r="D56" s="273" t="s">
        <v>721</v>
      </c>
      <c r="E56" s="272" t="s">
        <v>722</v>
      </c>
      <c r="F56" s="394" t="s">
        <v>704</v>
      </c>
      <c r="G56" s="394"/>
      <c r="H56" s="394"/>
      <c r="I56" s="394"/>
      <c r="J56" s="394"/>
      <c r="K56" s="394"/>
      <c r="L56" s="394"/>
      <c r="M56" s="404"/>
      <c r="N56" s="277" t="s">
        <v>691</v>
      </c>
      <c r="O56" s="74" t="s">
        <v>728</v>
      </c>
      <c r="P56" s="403" t="s">
        <v>721</v>
      </c>
      <c r="Q56" s="403"/>
      <c r="R56" s="403" t="s">
        <v>715</v>
      </c>
      <c r="S56" s="403"/>
      <c r="T56" s="403"/>
      <c r="U56" s="403"/>
      <c r="V56" s="394" t="s">
        <v>743</v>
      </c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72"/>
      <c r="D57" s="273"/>
      <c r="E57" s="272"/>
      <c r="F57" s="394"/>
      <c r="G57" s="394"/>
      <c r="H57" s="394"/>
      <c r="I57" s="394"/>
      <c r="J57" s="394"/>
      <c r="K57" s="394"/>
      <c r="L57" s="394"/>
      <c r="M57" s="404"/>
      <c r="N57" s="277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72"/>
      <c r="D58" s="273"/>
      <c r="E58" s="272"/>
      <c r="F58" s="394"/>
      <c r="G58" s="394"/>
      <c r="H58" s="394"/>
      <c r="I58" s="394"/>
      <c r="J58" s="394"/>
      <c r="K58" s="394"/>
      <c r="L58" s="394"/>
      <c r="M58" s="404"/>
      <c r="N58" s="277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73"/>
      <c r="D59" s="273"/>
      <c r="E59" s="273"/>
      <c r="F59" s="394"/>
      <c r="G59" s="394"/>
      <c r="H59" s="394"/>
      <c r="I59" s="394"/>
      <c r="J59" s="394"/>
      <c r="K59" s="394"/>
      <c r="L59" s="394"/>
      <c r="M59" s="404"/>
      <c r="N59" s="277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75"/>
      <c r="D60" s="275"/>
      <c r="E60" s="275"/>
      <c r="F60" s="407"/>
      <c r="G60" s="407"/>
      <c r="H60" s="407"/>
      <c r="I60" s="407"/>
      <c r="J60" s="407"/>
      <c r="K60" s="407"/>
      <c r="L60" s="407"/>
      <c r="M60" s="408"/>
      <c r="N60" s="274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744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76" t="s">
        <v>2</v>
      </c>
      <c r="D62" s="276" t="s">
        <v>38</v>
      </c>
      <c r="E62" s="276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76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118</v>
      </c>
      <c r="D63" s="280"/>
      <c r="E63" s="278" t="s">
        <v>747</v>
      </c>
      <c r="F63" s="392" t="s">
        <v>748</v>
      </c>
      <c r="G63" s="382"/>
      <c r="H63" s="382"/>
      <c r="I63" s="382"/>
      <c r="J63" s="382"/>
      <c r="K63" s="382">
        <v>7301</v>
      </c>
      <c r="L63" s="382"/>
      <c r="M63" s="54" t="s">
        <v>749</v>
      </c>
      <c r="N63" s="382">
        <v>11</v>
      </c>
      <c r="O63" s="382"/>
      <c r="P63" s="393">
        <v>50</v>
      </c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280"/>
      <c r="E64" s="278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80"/>
      <c r="E65" s="278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80"/>
      <c r="E66" s="278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80"/>
      <c r="E67" s="278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80"/>
      <c r="E68" s="278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80"/>
      <c r="E69" s="278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80"/>
      <c r="E70" s="278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745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79" t="s">
        <v>2</v>
      </c>
      <c r="D72" s="279" t="s">
        <v>38</v>
      </c>
      <c r="E72" s="279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81" t="s">
        <v>118</v>
      </c>
      <c r="D73" s="281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80" t="s">
        <v>118</v>
      </c>
      <c r="D74" s="280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1">A74+1</f>
        <v>3</v>
      </c>
      <c r="B75" s="351"/>
      <c r="C75" s="280" t="s">
        <v>137</v>
      </c>
      <c r="D75" s="280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1"/>
        <v>4</v>
      </c>
      <c r="B76" s="351"/>
      <c r="C76" s="280" t="s">
        <v>119</v>
      </c>
      <c r="D76" s="280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1"/>
        <v>5</v>
      </c>
      <c r="B77" s="351"/>
      <c r="C77" s="280" t="s">
        <v>118</v>
      </c>
      <c r="D77" s="280"/>
      <c r="E77" s="35" t="s">
        <v>714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43031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1"/>
        <v>6</v>
      </c>
      <c r="B78" s="351"/>
      <c r="C78" s="280"/>
      <c r="D78" s="280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1"/>
        <v>7</v>
      </c>
      <c r="B79" s="351"/>
      <c r="C79" s="280"/>
      <c r="D79" s="280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1"/>
        <v>8</v>
      </c>
      <c r="B80" s="351"/>
      <c r="C80" s="280"/>
      <c r="D80" s="280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1"/>
        <v>9</v>
      </c>
      <c r="B81" s="351"/>
      <c r="C81" s="280"/>
      <c r="D81" s="280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746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T78" sqref="T78:U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750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0.58538590101163301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0.58538590101163301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703</v>
      </c>
      <c r="E8" s="56" t="s">
        <v>719</v>
      </c>
      <c r="F8" s="12" t="s">
        <v>720</v>
      </c>
      <c r="G8" s="12">
        <v>1</v>
      </c>
      <c r="H8" s="13">
        <v>25</v>
      </c>
      <c r="I8" s="34">
        <v>5000</v>
      </c>
      <c r="J8" s="14">
        <v>360</v>
      </c>
      <c r="K8" s="15">
        <f>L8+5675</f>
        <v>6026</v>
      </c>
      <c r="L8" s="15">
        <v>351</v>
      </c>
      <c r="M8" s="16">
        <f t="shared" si="0"/>
        <v>351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>
        <v>20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0.97499999999999998</v>
      </c>
      <c r="AC8" s="9">
        <f t="shared" si="5"/>
        <v>0.16666666666666666</v>
      </c>
      <c r="AD8" s="10">
        <f t="shared" si="6"/>
        <v>0.16249999999999998</v>
      </c>
      <c r="AE8" s="39">
        <f t="shared" si="7"/>
        <v>0.58538590101163301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137</v>
      </c>
      <c r="D9" s="55" t="s">
        <v>141</v>
      </c>
      <c r="E9" s="57" t="s">
        <v>725</v>
      </c>
      <c r="F9" s="33" t="s">
        <v>227</v>
      </c>
      <c r="G9" s="36">
        <v>1</v>
      </c>
      <c r="H9" s="38">
        <v>25</v>
      </c>
      <c r="I9" s="7">
        <v>25000</v>
      </c>
      <c r="J9" s="5">
        <v>10230</v>
      </c>
      <c r="K9" s="15">
        <f>L9+7330</f>
        <v>17556</v>
      </c>
      <c r="L9" s="15">
        <f>2430*2+2683*2</f>
        <v>10226</v>
      </c>
      <c r="M9" s="16">
        <f t="shared" ref="M9" si="9">L9-N9</f>
        <v>10226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24</v>
      </c>
      <c r="Q9" s="43">
        <f t="shared" ref="Q9" si="12">SUM(R9:AA9)</f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ref="AB9" si="13">IF(J9=0,"0",(L9/J9))</f>
        <v>0.99960899315738028</v>
      </c>
      <c r="AC9" s="9">
        <f t="shared" ref="AC9" si="14">IF(P9=0,"0",(P9/24))</f>
        <v>1</v>
      </c>
      <c r="AD9" s="10">
        <f t="shared" ref="AD9" si="15">AC9*AB9*(1-O9)</f>
        <v>0.99960899315738028</v>
      </c>
      <c r="AE9" s="39">
        <f t="shared" si="7"/>
        <v>0.58538590101163301</v>
      </c>
      <c r="AF9" s="94">
        <f t="shared" ref="AF9" si="16">A9</f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4250</v>
      </c>
      <c r="K10" s="15">
        <f>L10+2928+5697+2831+3697+5889</f>
        <v>25283</v>
      </c>
      <c r="L10" s="15">
        <f>1245+2996</f>
        <v>4241</v>
      </c>
      <c r="M10" s="16">
        <f t="shared" si="0"/>
        <v>4241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0.99788235294117644</v>
      </c>
      <c r="AC10" s="9">
        <f t="shared" si="5"/>
        <v>0.875</v>
      </c>
      <c r="AD10" s="10">
        <f t="shared" si="6"/>
        <v>0.87314705882352939</v>
      </c>
      <c r="AE10" s="39">
        <f t="shared" si="7"/>
        <v>0.58538590101163301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674</v>
      </c>
      <c r="F11" s="12" t="s">
        <v>361</v>
      </c>
      <c r="G11" s="12">
        <v>1</v>
      </c>
      <c r="H11" s="13">
        <v>25</v>
      </c>
      <c r="I11" s="34">
        <v>5000</v>
      </c>
      <c r="J11" s="14">
        <v>400</v>
      </c>
      <c r="K11" s="15">
        <f>L11+4307+4460</f>
        <v>9167</v>
      </c>
      <c r="L11" s="15">
        <v>400</v>
      </c>
      <c r="M11" s="16">
        <f t="shared" si="0"/>
        <v>400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>
        <v>20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0.58538590101163301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205</v>
      </c>
      <c r="E12" s="57" t="s">
        <v>722</v>
      </c>
      <c r="F12" s="12" t="s">
        <v>143</v>
      </c>
      <c r="G12" s="12">
        <v>1</v>
      </c>
      <c r="H12" s="13">
        <v>25</v>
      </c>
      <c r="I12" s="7">
        <v>9000</v>
      </c>
      <c r="J12" s="14">
        <v>4140</v>
      </c>
      <c r="K12" s="15">
        <f>L12+4089</f>
        <v>8224</v>
      </c>
      <c r="L12" s="15">
        <f>2195+1940</f>
        <v>4135</v>
      </c>
      <c r="M12" s="16">
        <f t="shared" si="0"/>
        <v>4135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0.99879227053140096</v>
      </c>
      <c r="AC12" s="9">
        <f t="shared" si="5"/>
        <v>1</v>
      </c>
      <c r="AD12" s="10">
        <f t="shared" si="6"/>
        <v>0.99879227053140096</v>
      </c>
      <c r="AE12" s="39">
        <f t="shared" si="7"/>
        <v>0.58538590101163301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137</v>
      </c>
      <c r="D13" s="55" t="s">
        <v>371</v>
      </c>
      <c r="E13" s="57" t="s">
        <v>649</v>
      </c>
      <c r="F13" s="12" t="s">
        <v>650</v>
      </c>
      <c r="G13" s="12">
        <v>2</v>
      </c>
      <c r="H13" s="13">
        <v>25</v>
      </c>
      <c r="I13" s="7">
        <v>25000</v>
      </c>
      <c r="J13" s="14">
        <v>11850</v>
      </c>
      <c r="K13" s="15">
        <f>L13+2908+2004+5142+11568</f>
        <v>33466</v>
      </c>
      <c r="L13" s="15">
        <f>2655*2+3267*2</f>
        <v>11844</v>
      </c>
      <c r="M13" s="16">
        <f t="shared" si="0"/>
        <v>11844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0.99949367088607599</v>
      </c>
      <c r="AC13" s="9">
        <f t="shared" si="5"/>
        <v>1</v>
      </c>
      <c r="AD13" s="10">
        <f t="shared" si="6"/>
        <v>0.99949367088607599</v>
      </c>
      <c r="AE13" s="39">
        <f t="shared" si="7"/>
        <v>0.58538590101163301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651</v>
      </c>
      <c r="D14" s="55" t="s">
        <v>58</v>
      </c>
      <c r="E14" s="57" t="s">
        <v>652</v>
      </c>
      <c r="F14" s="33" t="s">
        <v>653</v>
      </c>
      <c r="G14" s="36">
        <v>1</v>
      </c>
      <c r="H14" s="38">
        <v>25</v>
      </c>
      <c r="I14" s="7">
        <v>500</v>
      </c>
      <c r="J14" s="5">
        <v>501</v>
      </c>
      <c r="K14" s="15">
        <f>L14+278+501</f>
        <v>779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0.58538590101163301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137</v>
      </c>
      <c r="D15" s="55" t="s">
        <v>440</v>
      </c>
      <c r="E15" s="57" t="s">
        <v>751</v>
      </c>
      <c r="F15" s="12" t="s">
        <v>752</v>
      </c>
      <c r="G15" s="12">
        <v>4</v>
      </c>
      <c r="H15" s="13">
        <v>20</v>
      </c>
      <c r="I15" s="34">
        <v>25000</v>
      </c>
      <c r="J15" s="14">
        <v>17040</v>
      </c>
      <c r="K15" s="15">
        <f>L15</f>
        <v>17036</v>
      </c>
      <c r="L15" s="15">
        <f>1490*4+2769*4</f>
        <v>17036</v>
      </c>
      <c r="M15" s="16">
        <f t="shared" si="0"/>
        <v>17036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>
        <v>3</v>
      </c>
      <c r="U15" s="17"/>
      <c r="V15" s="18"/>
      <c r="W15" s="19"/>
      <c r="X15" s="17"/>
      <c r="Y15" s="20"/>
      <c r="Z15" s="20"/>
      <c r="AA15" s="21"/>
      <c r="AB15" s="8">
        <f t="shared" si="4"/>
        <v>0.9997652582159624</v>
      </c>
      <c r="AC15" s="9">
        <f t="shared" si="5"/>
        <v>0.875</v>
      </c>
      <c r="AD15" s="10">
        <f t="shared" si="6"/>
        <v>0.8747946009389671</v>
      </c>
      <c r="AE15" s="39">
        <f t="shared" si="7"/>
        <v>0.58538590101163301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205</v>
      </c>
      <c r="E16" s="56" t="s">
        <v>343</v>
      </c>
      <c r="F16" s="12">
        <v>7301</v>
      </c>
      <c r="G16" s="36">
        <v>1</v>
      </c>
      <c r="H16" s="38">
        <v>25</v>
      </c>
      <c r="I16" s="7">
        <v>28000</v>
      </c>
      <c r="J16" s="14">
        <v>4880</v>
      </c>
      <c r="K16" s="15">
        <f>L16+2401</f>
        <v>7277</v>
      </c>
      <c r="L16" s="15">
        <f>2300+2576</f>
        <v>4876</v>
      </c>
      <c r="M16" s="16">
        <f t="shared" si="0"/>
        <v>4876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0.99918032786885247</v>
      </c>
      <c r="AC16" s="9">
        <f t="shared" si="5"/>
        <v>1</v>
      </c>
      <c r="AD16" s="10">
        <f t="shared" si="6"/>
        <v>0.99918032786885247</v>
      </c>
      <c r="AE16" s="39">
        <f t="shared" si="7"/>
        <v>0.58538590101163301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137</v>
      </c>
      <c r="D17" s="55" t="s">
        <v>753</v>
      </c>
      <c r="E17" s="56" t="s">
        <v>754</v>
      </c>
      <c r="F17" s="12" t="s">
        <v>755</v>
      </c>
      <c r="G17" s="12">
        <v>2</v>
      </c>
      <c r="H17" s="13">
        <v>25</v>
      </c>
      <c r="I17" s="34">
        <v>25000</v>
      </c>
      <c r="J17" s="5">
        <v>6840</v>
      </c>
      <c r="K17" s="15">
        <f>L17</f>
        <v>6834</v>
      </c>
      <c r="L17" s="15">
        <f>3417*2</f>
        <v>6834</v>
      </c>
      <c r="M17" s="16">
        <f t="shared" si="0"/>
        <v>6834</v>
      </c>
      <c r="N17" s="16">
        <v>0</v>
      </c>
      <c r="O17" s="62">
        <f t="shared" si="1"/>
        <v>0</v>
      </c>
      <c r="P17" s="42">
        <f t="shared" si="2"/>
        <v>15</v>
      </c>
      <c r="Q17" s="43">
        <f t="shared" si="3"/>
        <v>9</v>
      </c>
      <c r="R17" s="7"/>
      <c r="S17" s="6">
        <v>9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0.99912280701754386</v>
      </c>
      <c r="AC17" s="9">
        <f t="shared" si="5"/>
        <v>0.625</v>
      </c>
      <c r="AD17" s="10">
        <f t="shared" si="6"/>
        <v>0.6244517543859649</v>
      </c>
      <c r="AE17" s="39">
        <f t="shared" si="7"/>
        <v>0.58538590101163301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58</v>
      </c>
      <c r="E18" s="57" t="s">
        <v>181</v>
      </c>
      <c r="F18" s="33" t="s">
        <v>507</v>
      </c>
      <c r="G18" s="36">
        <v>1</v>
      </c>
      <c r="H18" s="38">
        <v>25</v>
      </c>
      <c r="I18" s="7">
        <v>7000</v>
      </c>
      <c r="J18" s="5">
        <v>3530</v>
      </c>
      <c r="K18" s="15">
        <f>L18+630+919+549+2049+2834</f>
        <v>10511</v>
      </c>
      <c r="L18" s="15">
        <f>2567+963</f>
        <v>3530</v>
      </c>
      <c r="M18" s="16">
        <f t="shared" si="0"/>
        <v>3530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0.58538590101163301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11" t="s">
        <v>118</v>
      </c>
      <c r="D19" s="55" t="s">
        <v>157</v>
      </c>
      <c r="E19" s="56" t="s">
        <v>715</v>
      </c>
      <c r="F19" s="12">
        <v>7301</v>
      </c>
      <c r="G19" s="12">
        <v>1</v>
      </c>
      <c r="H19" s="38">
        <v>25</v>
      </c>
      <c r="I19" s="34">
        <v>2000</v>
      </c>
      <c r="J19" s="5">
        <v>870</v>
      </c>
      <c r="K19" s="15">
        <f>L19+918</f>
        <v>1784</v>
      </c>
      <c r="L19" s="15">
        <f>339+527</f>
        <v>866</v>
      </c>
      <c r="M19" s="16">
        <f t="shared" ref="M19" si="17">L19-N19</f>
        <v>866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6</v>
      </c>
      <c r="Q19" s="43">
        <f t="shared" ref="Q19" si="20">SUM(R19:AA19)</f>
        <v>18</v>
      </c>
      <c r="R19" s="7"/>
      <c r="S19" s="6">
        <v>18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21">IF(J19=0,"0",(L19/J19))</f>
        <v>0.99540229885057474</v>
      </c>
      <c r="AC19" s="9">
        <f t="shared" ref="AC19" si="22">IF(P19=0,"0",(P19/24))</f>
        <v>0.25</v>
      </c>
      <c r="AD19" s="10">
        <f t="shared" ref="AD19" si="23">AC19*AB19*(1-O19)</f>
        <v>0.24885057471264369</v>
      </c>
      <c r="AE19" s="39">
        <f t="shared" si="7"/>
        <v>0.58538590101163301</v>
      </c>
      <c r="AF19" s="94">
        <f t="shared" ref="AF19" si="24">A19</f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65070</v>
      </c>
      <c r="K20" s="15">
        <f>L20+28820+65228+31484+54604+68244</f>
        <v>313448</v>
      </c>
      <c r="L20" s="15">
        <f>8146*4+8121*4</f>
        <v>65068</v>
      </c>
      <c r="M20" s="16">
        <f t="shared" si="0"/>
        <v>65068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0.99996926386967877</v>
      </c>
      <c r="AC20" s="9">
        <f t="shared" si="5"/>
        <v>1</v>
      </c>
      <c r="AD20" s="10">
        <f t="shared" si="6"/>
        <v>0.99996926386967877</v>
      </c>
      <c r="AE20" s="39">
        <f t="shared" si="7"/>
        <v>0.58538590101163301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25">SUM(I6:I20)</f>
        <v>511500</v>
      </c>
      <c r="J21" s="22">
        <f t="shared" si="25"/>
        <v>129961</v>
      </c>
      <c r="K21" s="23">
        <f t="shared" si="25"/>
        <v>457391</v>
      </c>
      <c r="L21" s="24">
        <f t="shared" si="25"/>
        <v>129407</v>
      </c>
      <c r="M21" s="23">
        <f t="shared" si="25"/>
        <v>129407</v>
      </c>
      <c r="N21" s="24">
        <f t="shared" si="25"/>
        <v>0</v>
      </c>
      <c r="O21" s="44">
        <f t="shared" si="1"/>
        <v>0</v>
      </c>
      <c r="P21" s="45">
        <f t="shared" ref="P21:AA21" si="26">SUM(P6:P20)</f>
        <v>211</v>
      </c>
      <c r="Q21" s="46">
        <f t="shared" si="26"/>
        <v>149</v>
      </c>
      <c r="R21" s="26">
        <f t="shared" si="26"/>
        <v>44</v>
      </c>
      <c r="S21" s="27">
        <f t="shared" si="26"/>
        <v>54</v>
      </c>
      <c r="T21" s="27">
        <f t="shared" si="26"/>
        <v>3</v>
      </c>
      <c r="U21" s="27">
        <f t="shared" si="26"/>
        <v>0</v>
      </c>
      <c r="V21" s="28">
        <f t="shared" si="26"/>
        <v>0</v>
      </c>
      <c r="W21" s="29">
        <f t="shared" si="26"/>
        <v>48</v>
      </c>
      <c r="X21" s="30">
        <f t="shared" si="26"/>
        <v>0</v>
      </c>
      <c r="Y21" s="30">
        <f t="shared" si="26"/>
        <v>0</v>
      </c>
      <c r="Z21" s="30">
        <f t="shared" si="26"/>
        <v>0</v>
      </c>
      <c r="AA21" s="30">
        <f t="shared" si="26"/>
        <v>0</v>
      </c>
      <c r="AB21" s="31">
        <f>SUM(AB6:AB20)/15</f>
        <v>0.79761448288924297</v>
      </c>
      <c r="AC21" s="4">
        <f>SUM(AC6:AC20)/15</f>
        <v>0.58611111111111114</v>
      </c>
      <c r="AD21" s="4">
        <f>SUM(AD6:AD20)/15</f>
        <v>0.58538590101163301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756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759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83" t="s">
        <v>47</v>
      </c>
      <c r="D50" s="283" t="s">
        <v>48</v>
      </c>
      <c r="E50" s="283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83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137</v>
      </c>
      <c r="B51" s="410"/>
      <c r="C51" s="284" t="s">
        <v>585</v>
      </c>
      <c r="D51" s="285" t="s">
        <v>155</v>
      </c>
      <c r="E51" s="284" t="s">
        <v>725</v>
      </c>
      <c r="F51" s="394" t="s">
        <v>757</v>
      </c>
      <c r="G51" s="394"/>
      <c r="H51" s="394"/>
      <c r="I51" s="394"/>
      <c r="J51" s="394"/>
      <c r="K51" s="394"/>
      <c r="L51" s="394"/>
      <c r="M51" s="404"/>
      <c r="N51" s="289" t="s">
        <v>167</v>
      </c>
      <c r="O51" s="74" t="s">
        <v>308</v>
      </c>
      <c r="P51" s="411" t="s">
        <v>769</v>
      </c>
      <c r="Q51" s="412"/>
      <c r="R51" s="403" t="s">
        <v>768</v>
      </c>
      <c r="S51" s="403"/>
      <c r="T51" s="403"/>
      <c r="U51" s="403"/>
      <c r="V51" s="394" t="s">
        <v>770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119</v>
      </c>
      <c r="B52" s="410"/>
      <c r="C52" s="284" t="s">
        <v>178</v>
      </c>
      <c r="D52" s="285" t="s">
        <v>371</v>
      </c>
      <c r="E52" s="284" t="s">
        <v>624</v>
      </c>
      <c r="F52" s="394" t="s">
        <v>758</v>
      </c>
      <c r="G52" s="394"/>
      <c r="H52" s="394"/>
      <c r="I52" s="394"/>
      <c r="J52" s="394"/>
      <c r="K52" s="394"/>
      <c r="L52" s="394"/>
      <c r="M52" s="404"/>
      <c r="N52" s="289" t="s">
        <v>137</v>
      </c>
      <c r="O52" s="74" t="s">
        <v>732</v>
      </c>
      <c r="P52" s="411" t="s">
        <v>141</v>
      </c>
      <c r="Q52" s="412"/>
      <c r="R52" s="403" t="s">
        <v>697</v>
      </c>
      <c r="S52" s="403"/>
      <c r="T52" s="403"/>
      <c r="U52" s="403"/>
      <c r="V52" s="394" t="s">
        <v>296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609</v>
      </c>
      <c r="B53" s="410"/>
      <c r="C53" s="284" t="s">
        <v>200</v>
      </c>
      <c r="D53" s="285" t="s">
        <v>371</v>
      </c>
      <c r="E53" s="284" t="s">
        <v>630</v>
      </c>
      <c r="F53" s="394" t="s">
        <v>684</v>
      </c>
      <c r="G53" s="394"/>
      <c r="H53" s="394"/>
      <c r="I53" s="394"/>
      <c r="J53" s="394"/>
      <c r="K53" s="394"/>
      <c r="L53" s="394"/>
      <c r="M53" s="404"/>
      <c r="N53" s="289" t="s">
        <v>137</v>
      </c>
      <c r="O53" s="74" t="s">
        <v>323</v>
      </c>
      <c r="P53" s="411" t="s">
        <v>686</v>
      </c>
      <c r="Q53" s="412"/>
      <c r="R53" s="403" t="s">
        <v>360</v>
      </c>
      <c r="S53" s="403"/>
      <c r="T53" s="403"/>
      <c r="U53" s="403"/>
      <c r="V53" s="394" t="s">
        <v>731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137</v>
      </c>
      <c r="B54" s="410"/>
      <c r="C54" s="284" t="s">
        <v>301</v>
      </c>
      <c r="D54" s="285" t="s">
        <v>760</v>
      </c>
      <c r="E54" s="284" t="s">
        <v>761</v>
      </c>
      <c r="F54" s="394" t="s">
        <v>762</v>
      </c>
      <c r="G54" s="394"/>
      <c r="H54" s="394"/>
      <c r="I54" s="394"/>
      <c r="J54" s="394"/>
      <c r="K54" s="394"/>
      <c r="L54" s="394"/>
      <c r="M54" s="404"/>
      <c r="N54" s="289" t="s">
        <v>772</v>
      </c>
      <c r="O54" s="74" t="s">
        <v>274</v>
      </c>
      <c r="P54" s="411" t="s">
        <v>765</v>
      </c>
      <c r="Q54" s="412"/>
      <c r="R54" s="403" t="s">
        <v>771</v>
      </c>
      <c r="S54" s="403"/>
      <c r="T54" s="403"/>
      <c r="U54" s="403"/>
      <c r="V54" s="394" t="s">
        <v>770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137</v>
      </c>
      <c r="B55" s="410"/>
      <c r="C55" s="284" t="s">
        <v>323</v>
      </c>
      <c r="D55" s="285" t="s">
        <v>760</v>
      </c>
      <c r="E55" s="284" t="s">
        <v>763</v>
      </c>
      <c r="F55" s="394" t="s">
        <v>764</v>
      </c>
      <c r="G55" s="394"/>
      <c r="H55" s="394"/>
      <c r="I55" s="394"/>
      <c r="J55" s="394"/>
      <c r="K55" s="394"/>
      <c r="L55" s="394"/>
      <c r="M55" s="404"/>
      <c r="N55" s="289" t="s">
        <v>167</v>
      </c>
      <c r="O55" s="74" t="s">
        <v>774</v>
      </c>
      <c r="P55" s="411" t="s">
        <v>753</v>
      </c>
      <c r="Q55" s="412"/>
      <c r="R55" s="403" t="s">
        <v>773</v>
      </c>
      <c r="S55" s="403"/>
      <c r="T55" s="403"/>
      <c r="U55" s="403"/>
      <c r="V55" s="394" t="s">
        <v>770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137</v>
      </c>
      <c r="B56" s="410"/>
      <c r="C56" s="284" t="s">
        <v>442</v>
      </c>
      <c r="D56" s="285" t="s">
        <v>765</v>
      </c>
      <c r="E56" s="284" t="s">
        <v>751</v>
      </c>
      <c r="F56" s="394" t="s">
        <v>766</v>
      </c>
      <c r="G56" s="394"/>
      <c r="H56" s="394"/>
      <c r="I56" s="394"/>
      <c r="J56" s="394"/>
      <c r="K56" s="394"/>
      <c r="L56" s="394"/>
      <c r="M56" s="404"/>
      <c r="N56" s="289" t="s">
        <v>167</v>
      </c>
      <c r="O56" s="74" t="s">
        <v>775</v>
      </c>
      <c r="P56" s="403" t="s">
        <v>776</v>
      </c>
      <c r="Q56" s="403"/>
      <c r="R56" s="403" t="s">
        <v>201</v>
      </c>
      <c r="S56" s="403"/>
      <c r="T56" s="403"/>
      <c r="U56" s="403"/>
      <c r="V56" s="394" t="s">
        <v>770</v>
      </c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 t="s">
        <v>137</v>
      </c>
      <c r="B57" s="410"/>
      <c r="C57" s="284" t="s">
        <v>767</v>
      </c>
      <c r="D57" s="285" t="s">
        <v>753</v>
      </c>
      <c r="E57" s="284" t="s">
        <v>754</v>
      </c>
      <c r="F57" s="394" t="s">
        <v>766</v>
      </c>
      <c r="G57" s="394"/>
      <c r="H57" s="394"/>
      <c r="I57" s="394"/>
      <c r="J57" s="394"/>
      <c r="K57" s="394"/>
      <c r="L57" s="394"/>
      <c r="M57" s="404"/>
      <c r="N57" s="289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84"/>
      <c r="D58" s="285"/>
      <c r="E58" s="284"/>
      <c r="F58" s="394"/>
      <c r="G58" s="394"/>
      <c r="H58" s="394"/>
      <c r="I58" s="394"/>
      <c r="J58" s="394"/>
      <c r="K58" s="394"/>
      <c r="L58" s="394"/>
      <c r="M58" s="404"/>
      <c r="N58" s="289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85"/>
      <c r="D59" s="285"/>
      <c r="E59" s="285"/>
      <c r="F59" s="394"/>
      <c r="G59" s="394"/>
      <c r="H59" s="394"/>
      <c r="I59" s="394"/>
      <c r="J59" s="394"/>
      <c r="K59" s="394"/>
      <c r="L59" s="394"/>
      <c r="M59" s="404"/>
      <c r="N59" s="28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87"/>
      <c r="D60" s="287"/>
      <c r="E60" s="287"/>
      <c r="F60" s="407"/>
      <c r="G60" s="407"/>
      <c r="H60" s="407"/>
      <c r="I60" s="407"/>
      <c r="J60" s="407"/>
      <c r="K60" s="407"/>
      <c r="L60" s="407"/>
      <c r="M60" s="408"/>
      <c r="N60" s="286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777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88" t="s">
        <v>2</v>
      </c>
      <c r="D62" s="288" t="s">
        <v>38</v>
      </c>
      <c r="E62" s="288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88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292"/>
      <c r="E63" s="290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292"/>
      <c r="E64" s="290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92"/>
      <c r="E65" s="290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92"/>
      <c r="E66" s="290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92"/>
      <c r="E67" s="290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92"/>
      <c r="E68" s="290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92"/>
      <c r="E69" s="290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92"/>
      <c r="E70" s="290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778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91" t="s">
        <v>2</v>
      </c>
      <c r="D72" s="291" t="s">
        <v>38</v>
      </c>
      <c r="E72" s="291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93" t="s">
        <v>118</v>
      </c>
      <c r="D73" s="293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92" t="s">
        <v>118</v>
      </c>
      <c r="D74" s="292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27">A74+1</f>
        <v>3</v>
      </c>
      <c r="B75" s="351"/>
      <c r="C75" s="292" t="s">
        <v>137</v>
      </c>
      <c r="D75" s="292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27"/>
        <v>4</v>
      </c>
      <c r="B76" s="351"/>
      <c r="C76" s="292" t="s">
        <v>119</v>
      </c>
      <c r="D76" s="292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27"/>
        <v>5</v>
      </c>
      <c r="B77" s="351"/>
      <c r="C77" s="292" t="s">
        <v>118</v>
      </c>
      <c r="D77" s="292"/>
      <c r="E77" s="35" t="s">
        <v>157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43033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27"/>
        <v>6</v>
      </c>
      <c r="B78" s="351"/>
      <c r="C78" s="292"/>
      <c r="D78" s="292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27"/>
        <v>7</v>
      </c>
      <c r="B79" s="351"/>
      <c r="C79" s="292"/>
      <c r="D79" s="292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27"/>
        <v>8</v>
      </c>
      <c r="B80" s="351"/>
      <c r="C80" s="292"/>
      <c r="D80" s="292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27"/>
        <v>9</v>
      </c>
      <c r="B81" s="351"/>
      <c r="C81" s="292"/>
      <c r="D81" s="292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779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7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780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0.62718414412672585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0.62718414412672585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781</v>
      </c>
      <c r="E8" s="56" t="s">
        <v>782</v>
      </c>
      <c r="F8" s="12">
        <v>7301</v>
      </c>
      <c r="G8" s="12">
        <v>1</v>
      </c>
      <c r="H8" s="13">
        <v>25</v>
      </c>
      <c r="I8" s="34">
        <v>5000</v>
      </c>
      <c r="J8" s="14">
        <v>3530</v>
      </c>
      <c r="K8" s="15">
        <f>L8+5675+351</f>
        <v>9550</v>
      </c>
      <c r="L8" s="15">
        <f>3524</f>
        <v>3524</v>
      </c>
      <c r="M8" s="16">
        <f t="shared" si="0"/>
        <v>3524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>
        <v>5</v>
      </c>
      <c r="U8" s="17"/>
      <c r="V8" s="18"/>
      <c r="W8" s="19"/>
      <c r="X8" s="17"/>
      <c r="Y8" s="20"/>
      <c r="Z8" s="20"/>
      <c r="AA8" s="21"/>
      <c r="AB8" s="8">
        <f t="shared" si="4"/>
        <v>0.99830028328611897</v>
      </c>
      <c r="AC8" s="9">
        <f t="shared" si="5"/>
        <v>0.79166666666666663</v>
      </c>
      <c r="AD8" s="10">
        <f t="shared" si="6"/>
        <v>0.79032105760151083</v>
      </c>
      <c r="AE8" s="39">
        <f t="shared" si="7"/>
        <v>0.62718414412672585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137</v>
      </c>
      <c r="D9" s="55" t="s">
        <v>141</v>
      </c>
      <c r="E9" s="57" t="s">
        <v>725</v>
      </c>
      <c r="F9" s="33" t="s">
        <v>227</v>
      </c>
      <c r="G9" s="36">
        <v>1</v>
      </c>
      <c r="H9" s="38">
        <v>25</v>
      </c>
      <c r="I9" s="7">
        <v>25000</v>
      </c>
      <c r="J9" s="5">
        <v>7370</v>
      </c>
      <c r="K9" s="15">
        <f>L9+7330+10226</f>
        <v>24920</v>
      </c>
      <c r="L9" s="15">
        <f>1099*2+2583*2</f>
        <v>7364</v>
      </c>
      <c r="M9" s="16">
        <f t="shared" si="0"/>
        <v>7364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/>
      <c r="T9" s="17"/>
      <c r="U9" s="17"/>
      <c r="V9" s="18"/>
      <c r="W9" s="19">
        <v>4</v>
      </c>
      <c r="X9" s="17"/>
      <c r="Y9" s="20"/>
      <c r="Z9" s="20"/>
      <c r="AA9" s="21"/>
      <c r="AB9" s="8">
        <f t="shared" si="4"/>
        <v>0.99918588873812753</v>
      </c>
      <c r="AC9" s="9">
        <f t="shared" si="5"/>
        <v>0.83333333333333337</v>
      </c>
      <c r="AD9" s="10">
        <f t="shared" si="6"/>
        <v>0.83265490728177294</v>
      </c>
      <c r="AE9" s="39">
        <f t="shared" si="7"/>
        <v>0.62718414412672585</v>
      </c>
      <c r="AF9" s="94">
        <f t="shared" ref="AF9" si="9">A9</f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5570</v>
      </c>
      <c r="K10" s="15">
        <f>L10+2928+5697+2831+3697+5889+4241</f>
        <v>30847</v>
      </c>
      <c r="L10" s="15">
        <f>2765+2799</f>
        <v>5564</v>
      </c>
      <c r="M10" s="16">
        <f t="shared" si="0"/>
        <v>5564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0.99892280071813289</v>
      </c>
      <c r="AC10" s="9">
        <f t="shared" si="5"/>
        <v>1</v>
      </c>
      <c r="AD10" s="10">
        <f t="shared" si="6"/>
        <v>0.99892280071813289</v>
      </c>
      <c r="AE10" s="39">
        <f t="shared" si="7"/>
        <v>0.62718414412672585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137</v>
      </c>
      <c r="D11" s="55" t="s">
        <v>135</v>
      </c>
      <c r="E11" s="56" t="s">
        <v>674</v>
      </c>
      <c r="F11" s="12" t="s">
        <v>361</v>
      </c>
      <c r="G11" s="12">
        <v>1</v>
      </c>
      <c r="H11" s="13">
        <v>25</v>
      </c>
      <c r="I11" s="34">
        <v>5000</v>
      </c>
      <c r="J11" s="14">
        <v>4790</v>
      </c>
      <c r="K11" s="15">
        <f>L11+4307+4460+400</f>
        <v>13950</v>
      </c>
      <c r="L11" s="15">
        <f>1693+3090</f>
        <v>4783</v>
      </c>
      <c r="M11" s="16">
        <f t="shared" si="0"/>
        <v>4783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0.99853862212943634</v>
      </c>
      <c r="AC11" s="9">
        <f t="shared" si="5"/>
        <v>1</v>
      </c>
      <c r="AD11" s="10">
        <f t="shared" si="6"/>
        <v>0.99853862212943634</v>
      </c>
      <c r="AE11" s="39">
        <f t="shared" si="7"/>
        <v>0.62718414412672585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205</v>
      </c>
      <c r="E12" s="57" t="s">
        <v>722</v>
      </c>
      <c r="F12" s="12" t="s">
        <v>143</v>
      </c>
      <c r="G12" s="12">
        <v>1</v>
      </c>
      <c r="H12" s="13">
        <v>25</v>
      </c>
      <c r="I12" s="7">
        <v>9000</v>
      </c>
      <c r="J12" s="14">
        <v>4140</v>
      </c>
      <c r="K12" s="15">
        <f>L12+4089+4135</f>
        <v>8224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0.62718414412672585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440</v>
      </c>
      <c r="E13" s="57" t="s">
        <v>783</v>
      </c>
      <c r="F13" s="12">
        <v>7301</v>
      </c>
      <c r="G13" s="12">
        <v>1</v>
      </c>
      <c r="H13" s="13">
        <v>25</v>
      </c>
      <c r="I13" s="7">
        <v>500</v>
      </c>
      <c r="J13" s="14">
        <v>1120</v>
      </c>
      <c r="K13" s="15">
        <f>L13</f>
        <v>1120</v>
      </c>
      <c r="L13" s="15">
        <v>1120</v>
      </c>
      <c r="M13" s="16">
        <f t="shared" si="0"/>
        <v>1120</v>
      </c>
      <c r="N13" s="16">
        <v>0</v>
      </c>
      <c r="O13" s="62">
        <f t="shared" si="1"/>
        <v>0</v>
      </c>
      <c r="P13" s="42">
        <f t="shared" si="2"/>
        <v>8</v>
      </c>
      <c r="Q13" s="43">
        <f t="shared" si="3"/>
        <v>16</v>
      </c>
      <c r="R13" s="7"/>
      <c r="S13" s="6"/>
      <c r="T13" s="17"/>
      <c r="U13" s="17"/>
      <c r="V13" s="18"/>
      <c r="W13" s="19">
        <v>16</v>
      </c>
      <c r="X13" s="17"/>
      <c r="Y13" s="20"/>
      <c r="Z13" s="20"/>
      <c r="AA13" s="21"/>
      <c r="AB13" s="8">
        <f t="shared" si="4"/>
        <v>1</v>
      </c>
      <c r="AC13" s="9">
        <f t="shared" si="5"/>
        <v>0.33333333333333331</v>
      </c>
      <c r="AD13" s="10">
        <f t="shared" si="6"/>
        <v>0.33333333333333331</v>
      </c>
      <c r="AE13" s="39">
        <f t="shared" si="7"/>
        <v>0.62718414412672585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651</v>
      </c>
      <c r="D14" s="55" t="s">
        <v>58</v>
      </c>
      <c r="E14" s="57" t="s">
        <v>652</v>
      </c>
      <c r="F14" s="33" t="s">
        <v>653</v>
      </c>
      <c r="G14" s="36">
        <v>1</v>
      </c>
      <c r="H14" s="38">
        <v>25</v>
      </c>
      <c r="I14" s="7">
        <v>500</v>
      </c>
      <c r="J14" s="5">
        <v>501</v>
      </c>
      <c r="K14" s="15">
        <f>L14+278+501</f>
        <v>779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0.62718414412672585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137</v>
      </c>
      <c r="D15" s="55" t="s">
        <v>440</v>
      </c>
      <c r="E15" s="57" t="s">
        <v>751</v>
      </c>
      <c r="F15" s="12" t="s">
        <v>752</v>
      </c>
      <c r="G15" s="12">
        <v>4</v>
      </c>
      <c r="H15" s="13">
        <v>20</v>
      </c>
      <c r="I15" s="34">
        <v>25000</v>
      </c>
      <c r="J15" s="14">
        <v>15880</v>
      </c>
      <c r="K15" s="15">
        <f>L15+17036</f>
        <v>32916</v>
      </c>
      <c r="L15" s="15">
        <f>2886*4+1084*4</f>
        <v>15880</v>
      </c>
      <c r="M15" s="16">
        <f t="shared" si="0"/>
        <v>15880</v>
      </c>
      <c r="N15" s="16">
        <v>0</v>
      </c>
      <c r="O15" s="62">
        <f t="shared" si="1"/>
        <v>0</v>
      </c>
      <c r="P15" s="42">
        <f t="shared" si="2"/>
        <v>22</v>
      </c>
      <c r="Q15" s="43">
        <f t="shared" si="3"/>
        <v>2</v>
      </c>
      <c r="R15" s="7"/>
      <c r="S15" s="6"/>
      <c r="T15" s="17"/>
      <c r="U15" s="17"/>
      <c r="V15" s="18"/>
      <c r="W15" s="19">
        <v>2</v>
      </c>
      <c r="X15" s="17"/>
      <c r="Y15" s="20"/>
      <c r="Z15" s="20"/>
      <c r="AA15" s="21"/>
      <c r="AB15" s="8">
        <f t="shared" si="4"/>
        <v>1</v>
      </c>
      <c r="AC15" s="9">
        <f t="shared" si="5"/>
        <v>0.91666666666666663</v>
      </c>
      <c r="AD15" s="10">
        <f t="shared" si="6"/>
        <v>0.91666666666666663</v>
      </c>
      <c r="AE15" s="39">
        <f t="shared" si="7"/>
        <v>0.62718414412672585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205</v>
      </c>
      <c r="E16" s="56" t="s">
        <v>343</v>
      </c>
      <c r="F16" s="12">
        <v>7301</v>
      </c>
      <c r="G16" s="36">
        <v>1</v>
      </c>
      <c r="H16" s="38">
        <v>25</v>
      </c>
      <c r="I16" s="7">
        <v>28000</v>
      </c>
      <c r="J16" s="14">
        <v>4860</v>
      </c>
      <c r="K16" s="15">
        <f>L16+2401+4876</f>
        <v>12130</v>
      </c>
      <c r="L16" s="15">
        <f>2393+2460</f>
        <v>4853</v>
      </c>
      <c r="M16" s="16">
        <f t="shared" si="0"/>
        <v>4853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0.99855967078189301</v>
      </c>
      <c r="AC16" s="9">
        <f t="shared" si="5"/>
        <v>1</v>
      </c>
      <c r="AD16" s="10">
        <f t="shared" si="6"/>
        <v>0.99855967078189301</v>
      </c>
      <c r="AE16" s="39">
        <f t="shared" si="7"/>
        <v>0.62718414412672585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137</v>
      </c>
      <c r="D17" s="55" t="s">
        <v>753</v>
      </c>
      <c r="E17" s="56" t="s">
        <v>754</v>
      </c>
      <c r="F17" s="12" t="s">
        <v>755</v>
      </c>
      <c r="G17" s="12">
        <v>2</v>
      </c>
      <c r="H17" s="13">
        <v>25</v>
      </c>
      <c r="I17" s="34">
        <v>25000</v>
      </c>
      <c r="J17" s="5">
        <v>11520</v>
      </c>
      <c r="K17" s="15">
        <f>L17+6834</f>
        <v>18352</v>
      </c>
      <c r="L17" s="15">
        <f>2776*2+2983*2</f>
        <v>11518</v>
      </c>
      <c r="M17" s="16">
        <f t="shared" si="0"/>
        <v>11518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0.99982638888888886</v>
      </c>
      <c r="AC17" s="9">
        <f t="shared" si="5"/>
        <v>1</v>
      </c>
      <c r="AD17" s="10">
        <f t="shared" si="6"/>
        <v>0.99982638888888886</v>
      </c>
      <c r="AE17" s="39">
        <f t="shared" si="7"/>
        <v>0.62718414412672585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753</v>
      </c>
      <c r="E18" s="57" t="s">
        <v>784</v>
      </c>
      <c r="F18" s="33" t="s">
        <v>227</v>
      </c>
      <c r="G18" s="36">
        <v>1</v>
      </c>
      <c r="H18" s="38">
        <v>25</v>
      </c>
      <c r="I18" s="7">
        <v>62000</v>
      </c>
      <c r="J18" s="5">
        <v>2240</v>
      </c>
      <c r="K18" s="15">
        <f>L18</f>
        <v>2232</v>
      </c>
      <c r="L18" s="15">
        <v>2232</v>
      </c>
      <c r="M18" s="16">
        <f t="shared" si="0"/>
        <v>2232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>
        <v>10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0.99642857142857144</v>
      </c>
      <c r="AC18" s="9">
        <f t="shared" si="5"/>
        <v>0.58333333333333337</v>
      </c>
      <c r="AD18" s="10">
        <f t="shared" si="6"/>
        <v>0.58125000000000004</v>
      </c>
      <c r="AE18" s="39">
        <f t="shared" si="7"/>
        <v>0.62718414412672585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11" t="s">
        <v>167</v>
      </c>
      <c r="D19" s="55" t="s">
        <v>776</v>
      </c>
      <c r="E19" s="56" t="s">
        <v>785</v>
      </c>
      <c r="F19" s="12" t="s">
        <v>786</v>
      </c>
      <c r="G19" s="12">
        <v>1</v>
      </c>
      <c r="H19" s="38">
        <v>25</v>
      </c>
      <c r="I19" s="34">
        <v>45000</v>
      </c>
      <c r="J19" s="5">
        <v>4460</v>
      </c>
      <c r="K19" s="15">
        <f>L19</f>
        <v>4457</v>
      </c>
      <c r="L19" s="15">
        <f>1821+2636</f>
        <v>4457</v>
      </c>
      <c r="M19" s="16">
        <f t="shared" si="0"/>
        <v>4457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/>
      <c r="T19" s="17">
        <v>1</v>
      </c>
      <c r="U19" s="17"/>
      <c r="V19" s="18"/>
      <c r="W19" s="19"/>
      <c r="X19" s="17"/>
      <c r="Y19" s="20"/>
      <c r="Z19" s="20"/>
      <c r="AA19" s="21"/>
      <c r="AB19" s="8">
        <f t="shared" si="4"/>
        <v>0.99932735426008967</v>
      </c>
      <c r="AC19" s="9">
        <f t="shared" si="5"/>
        <v>0.95833333333333337</v>
      </c>
      <c r="AD19" s="10">
        <f t="shared" si="6"/>
        <v>0.95768871449925264</v>
      </c>
      <c r="AE19" s="39">
        <f t="shared" si="7"/>
        <v>0.62718414412672585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68920</v>
      </c>
      <c r="K20" s="15">
        <f>L20+28820+65228+31484+54604+68244+65068</f>
        <v>382368</v>
      </c>
      <c r="L20" s="15">
        <f>8495*4+8735*4</f>
        <v>68920</v>
      </c>
      <c r="M20" s="16">
        <f t="shared" si="0"/>
        <v>68920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0.62718414412672585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0">SUM(I6:I20)</f>
        <v>585000</v>
      </c>
      <c r="J21" s="22">
        <f t="shared" si="10"/>
        <v>134901</v>
      </c>
      <c r="K21" s="23">
        <f t="shared" si="10"/>
        <v>541845</v>
      </c>
      <c r="L21" s="24">
        <f t="shared" si="10"/>
        <v>130215</v>
      </c>
      <c r="M21" s="23">
        <f t="shared" si="10"/>
        <v>130215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226</v>
      </c>
      <c r="Q21" s="46">
        <f t="shared" si="11"/>
        <v>134</v>
      </c>
      <c r="R21" s="26">
        <f t="shared" si="11"/>
        <v>24</v>
      </c>
      <c r="S21" s="27">
        <f t="shared" si="11"/>
        <v>34</v>
      </c>
      <c r="T21" s="27">
        <f t="shared" si="11"/>
        <v>6</v>
      </c>
      <c r="U21" s="27">
        <f t="shared" si="11"/>
        <v>0</v>
      </c>
      <c r="V21" s="28">
        <f t="shared" si="11"/>
        <v>0</v>
      </c>
      <c r="W21" s="29">
        <f t="shared" si="11"/>
        <v>70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0.73260597201541722</v>
      </c>
      <c r="AC21" s="4">
        <f>SUM(AC6:AC20)/15</f>
        <v>0.62777777777777777</v>
      </c>
      <c r="AD21" s="4">
        <f>SUM(AD6:AD20)/15</f>
        <v>0.62718414412672585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787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795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283" t="s">
        <v>47</v>
      </c>
      <c r="D50" s="283" t="s">
        <v>48</v>
      </c>
      <c r="E50" s="283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283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788</v>
      </c>
      <c r="B51" s="410"/>
      <c r="C51" s="284" t="s">
        <v>308</v>
      </c>
      <c r="D51" s="285" t="s">
        <v>789</v>
      </c>
      <c r="E51" s="284" t="s">
        <v>782</v>
      </c>
      <c r="F51" s="394" t="s">
        <v>790</v>
      </c>
      <c r="G51" s="394"/>
      <c r="H51" s="394"/>
      <c r="I51" s="394"/>
      <c r="J51" s="394"/>
      <c r="K51" s="394"/>
      <c r="L51" s="394"/>
      <c r="M51" s="404"/>
      <c r="N51" s="289" t="s">
        <v>167</v>
      </c>
      <c r="O51" s="74" t="s">
        <v>378</v>
      </c>
      <c r="P51" s="411" t="s">
        <v>797</v>
      </c>
      <c r="Q51" s="412"/>
      <c r="R51" s="403" t="s">
        <v>796</v>
      </c>
      <c r="S51" s="403"/>
      <c r="T51" s="403"/>
      <c r="U51" s="403"/>
      <c r="V51" s="394" t="s">
        <v>770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119</v>
      </c>
      <c r="B52" s="410"/>
      <c r="C52" s="284" t="s">
        <v>178</v>
      </c>
      <c r="D52" s="285" t="s">
        <v>753</v>
      </c>
      <c r="E52" s="284" t="s">
        <v>791</v>
      </c>
      <c r="F52" s="394" t="s">
        <v>792</v>
      </c>
      <c r="G52" s="394"/>
      <c r="H52" s="394"/>
      <c r="I52" s="394"/>
      <c r="J52" s="394"/>
      <c r="K52" s="394"/>
      <c r="L52" s="394"/>
      <c r="M52" s="404"/>
      <c r="N52" s="289" t="s">
        <v>167</v>
      </c>
      <c r="O52" s="74" t="s">
        <v>732</v>
      </c>
      <c r="P52" s="411" t="s">
        <v>799</v>
      </c>
      <c r="Q52" s="412"/>
      <c r="R52" s="403" t="s">
        <v>798</v>
      </c>
      <c r="S52" s="403"/>
      <c r="T52" s="403"/>
      <c r="U52" s="403"/>
      <c r="V52" s="394" t="s">
        <v>770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788</v>
      </c>
      <c r="B53" s="410"/>
      <c r="C53" s="284" t="s">
        <v>200</v>
      </c>
      <c r="D53" s="285" t="s">
        <v>371</v>
      </c>
      <c r="E53" s="284" t="s">
        <v>793</v>
      </c>
      <c r="F53" s="394" t="s">
        <v>790</v>
      </c>
      <c r="G53" s="394"/>
      <c r="H53" s="394"/>
      <c r="I53" s="394"/>
      <c r="J53" s="394"/>
      <c r="K53" s="394"/>
      <c r="L53" s="394"/>
      <c r="M53" s="404"/>
      <c r="N53" s="289" t="s">
        <v>772</v>
      </c>
      <c r="O53" s="74" t="s">
        <v>274</v>
      </c>
      <c r="P53" s="411" t="s">
        <v>800</v>
      </c>
      <c r="Q53" s="412"/>
      <c r="R53" s="403" t="s">
        <v>226</v>
      </c>
      <c r="S53" s="403"/>
      <c r="T53" s="403"/>
      <c r="U53" s="403"/>
      <c r="V53" s="394" t="s">
        <v>770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137</v>
      </c>
      <c r="B54" s="410"/>
      <c r="C54" s="284" t="s">
        <v>323</v>
      </c>
      <c r="D54" s="285" t="s">
        <v>760</v>
      </c>
      <c r="E54" s="284" t="s">
        <v>763</v>
      </c>
      <c r="F54" s="394" t="s">
        <v>794</v>
      </c>
      <c r="G54" s="394"/>
      <c r="H54" s="394"/>
      <c r="I54" s="394"/>
      <c r="J54" s="394"/>
      <c r="K54" s="394"/>
      <c r="L54" s="394"/>
      <c r="M54" s="404"/>
      <c r="N54" s="289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284"/>
      <c r="D55" s="285"/>
      <c r="E55" s="284"/>
      <c r="F55" s="394"/>
      <c r="G55" s="394"/>
      <c r="H55" s="394"/>
      <c r="I55" s="394"/>
      <c r="J55" s="394"/>
      <c r="K55" s="394"/>
      <c r="L55" s="394"/>
      <c r="M55" s="404"/>
      <c r="N55" s="289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84"/>
      <c r="D56" s="285"/>
      <c r="E56" s="284"/>
      <c r="F56" s="394"/>
      <c r="G56" s="394"/>
      <c r="H56" s="394"/>
      <c r="I56" s="394"/>
      <c r="J56" s="394"/>
      <c r="K56" s="394"/>
      <c r="L56" s="394"/>
      <c r="M56" s="404"/>
      <c r="N56" s="289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84"/>
      <c r="D57" s="285"/>
      <c r="E57" s="284"/>
      <c r="F57" s="394"/>
      <c r="G57" s="394"/>
      <c r="H57" s="394"/>
      <c r="I57" s="394"/>
      <c r="J57" s="394"/>
      <c r="K57" s="394"/>
      <c r="L57" s="394"/>
      <c r="M57" s="404"/>
      <c r="N57" s="289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84"/>
      <c r="D58" s="285"/>
      <c r="E58" s="284"/>
      <c r="F58" s="394"/>
      <c r="G58" s="394"/>
      <c r="H58" s="394"/>
      <c r="I58" s="394"/>
      <c r="J58" s="394"/>
      <c r="K58" s="394"/>
      <c r="L58" s="394"/>
      <c r="M58" s="404"/>
      <c r="N58" s="289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285"/>
      <c r="D59" s="285"/>
      <c r="E59" s="285"/>
      <c r="F59" s="394"/>
      <c r="G59" s="394"/>
      <c r="H59" s="394"/>
      <c r="I59" s="394"/>
      <c r="J59" s="394"/>
      <c r="K59" s="394"/>
      <c r="L59" s="394"/>
      <c r="M59" s="404"/>
      <c r="N59" s="28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287"/>
      <c r="D60" s="287"/>
      <c r="E60" s="287"/>
      <c r="F60" s="407"/>
      <c r="G60" s="407"/>
      <c r="H60" s="407"/>
      <c r="I60" s="407"/>
      <c r="J60" s="407"/>
      <c r="K60" s="407"/>
      <c r="L60" s="407"/>
      <c r="M60" s="408"/>
      <c r="N60" s="286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801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88" t="s">
        <v>2</v>
      </c>
      <c r="D62" s="288" t="s">
        <v>38</v>
      </c>
      <c r="E62" s="288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88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118</v>
      </c>
      <c r="D63" s="292"/>
      <c r="E63" s="290" t="s">
        <v>371</v>
      </c>
      <c r="F63" s="392" t="s">
        <v>802</v>
      </c>
      <c r="G63" s="382"/>
      <c r="H63" s="382"/>
      <c r="I63" s="382"/>
      <c r="J63" s="382"/>
      <c r="K63" s="382" t="s">
        <v>803</v>
      </c>
      <c r="L63" s="382"/>
      <c r="M63" s="54" t="s">
        <v>804</v>
      </c>
      <c r="N63" s="382">
        <v>7</v>
      </c>
      <c r="O63" s="382"/>
      <c r="P63" s="393">
        <v>50</v>
      </c>
      <c r="Q63" s="393"/>
      <c r="R63" s="394" t="s">
        <v>805</v>
      </c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118</v>
      </c>
      <c r="D64" s="292"/>
      <c r="E64" s="290" t="s">
        <v>806</v>
      </c>
      <c r="F64" s="392" t="s">
        <v>807</v>
      </c>
      <c r="G64" s="382"/>
      <c r="H64" s="382"/>
      <c r="I64" s="382"/>
      <c r="J64" s="382"/>
      <c r="K64" s="382" t="s">
        <v>808</v>
      </c>
      <c r="L64" s="382"/>
      <c r="M64" s="54" t="s">
        <v>809</v>
      </c>
      <c r="N64" s="382">
        <v>7</v>
      </c>
      <c r="O64" s="382"/>
      <c r="P64" s="393">
        <v>50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 t="s">
        <v>118</v>
      </c>
      <c r="D65" s="292"/>
      <c r="E65" s="290" t="s">
        <v>810</v>
      </c>
      <c r="F65" s="392" t="s">
        <v>811</v>
      </c>
      <c r="G65" s="382"/>
      <c r="H65" s="382"/>
      <c r="I65" s="382"/>
      <c r="J65" s="382"/>
      <c r="K65" s="382" t="s">
        <v>812</v>
      </c>
      <c r="L65" s="382"/>
      <c r="M65" s="54" t="s">
        <v>804</v>
      </c>
      <c r="N65" s="382">
        <v>13</v>
      </c>
      <c r="O65" s="382"/>
      <c r="P65" s="393">
        <v>50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 t="s">
        <v>118</v>
      </c>
      <c r="D66" s="292"/>
      <c r="E66" s="290" t="s">
        <v>776</v>
      </c>
      <c r="F66" s="392" t="s">
        <v>813</v>
      </c>
      <c r="G66" s="382"/>
      <c r="H66" s="382"/>
      <c r="I66" s="382"/>
      <c r="J66" s="382"/>
      <c r="K66" s="382" t="s">
        <v>814</v>
      </c>
      <c r="L66" s="382"/>
      <c r="M66" s="54" t="s">
        <v>804</v>
      </c>
      <c r="N66" s="382">
        <v>7</v>
      </c>
      <c r="O66" s="382"/>
      <c r="P66" s="393">
        <v>300</v>
      </c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92"/>
      <c r="E67" s="290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92"/>
      <c r="E68" s="290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92"/>
      <c r="E69" s="290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92"/>
      <c r="E70" s="290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815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91" t="s">
        <v>2</v>
      </c>
      <c r="D72" s="291" t="s">
        <v>38</v>
      </c>
      <c r="E72" s="291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93" t="s">
        <v>118</v>
      </c>
      <c r="D73" s="293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92" t="s">
        <v>118</v>
      </c>
      <c r="D74" s="292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2">A74+1</f>
        <v>3</v>
      </c>
      <c r="B75" s="351"/>
      <c r="C75" s="292" t="s">
        <v>137</v>
      </c>
      <c r="D75" s="292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2"/>
        <v>4</v>
      </c>
      <c r="B76" s="351"/>
      <c r="C76" s="292" t="s">
        <v>119</v>
      </c>
      <c r="D76" s="292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2"/>
        <v>5</v>
      </c>
      <c r="B77" s="351"/>
      <c r="C77" s="292" t="s">
        <v>118</v>
      </c>
      <c r="D77" s="292"/>
      <c r="E77" s="35" t="s">
        <v>157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43033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2"/>
        <v>6</v>
      </c>
      <c r="B78" s="351"/>
      <c r="C78" s="292"/>
      <c r="D78" s="292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2"/>
        <v>7</v>
      </c>
      <c r="B79" s="351"/>
      <c r="C79" s="292"/>
      <c r="D79" s="292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2"/>
        <v>8</v>
      </c>
      <c r="B80" s="351"/>
      <c r="C80" s="292"/>
      <c r="D80" s="292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2"/>
        <v>9</v>
      </c>
      <c r="B81" s="351"/>
      <c r="C81" s="292"/>
      <c r="D81" s="292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816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42" t="s">
        <v>817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2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2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0.60792761348545754</v>
      </c>
      <c r="AF6" s="94">
        <f t="shared" ref="AF6:AF21" si="8">A6</f>
        <v>1</v>
      </c>
    </row>
    <row r="7" spans="1:32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0.60792761348545754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781</v>
      </c>
      <c r="E8" s="56" t="s">
        <v>782</v>
      </c>
      <c r="F8" s="12">
        <v>7301</v>
      </c>
      <c r="G8" s="12">
        <v>1</v>
      </c>
      <c r="H8" s="13">
        <v>25</v>
      </c>
      <c r="I8" s="34">
        <v>5000</v>
      </c>
      <c r="J8" s="14">
        <v>6470</v>
      </c>
      <c r="K8" s="15">
        <f>L8+5675+351+3524</f>
        <v>16017</v>
      </c>
      <c r="L8" s="15">
        <f>3283+3184</f>
        <v>6467</v>
      </c>
      <c r="M8" s="16">
        <f t="shared" si="0"/>
        <v>6467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0.99953632148377125</v>
      </c>
      <c r="AC8" s="9">
        <f t="shared" si="5"/>
        <v>1</v>
      </c>
      <c r="AD8" s="10">
        <f t="shared" si="6"/>
        <v>0.99953632148377125</v>
      </c>
      <c r="AE8" s="39">
        <f t="shared" si="7"/>
        <v>0.60792761348545754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137</v>
      </c>
      <c r="D9" s="55" t="s">
        <v>141</v>
      </c>
      <c r="E9" s="57" t="s">
        <v>725</v>
      </c>
      <c r="F9" s="33" t="s">
        <v>227</v>
      </c>
      <c r="G9" s="36">
        <v>1</v>
      </c>
      <c r="H9" s="38">
        <v>25</v>
      </c>
      <c r="I9" s="7">
        <v>25000</v>
      </c>
      <c r="J9" s="5">
        <v>3760</v>
      </c>
      <c r="K9" s="15">
        <f>L9+7330+10226+7364</f>
        <v>28678</v>
      </c>
      <c r="L9" s="15">
        <f>1879*2</f>
        <v>3758</v>
      </c>
      <c r="M9" s="16">
        <f t="shared" si="0"/>
        <v>3758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0.99946808510638296</v>
      </c>
      <c r="AC9" s="9">
        <f t="shared" si="5"/>
        <v>0.41666666666666669</v>
      </c>
      <c r="AD9" s="10">
        <f t="shared" si="6"/>
        <v>0.41644503546099293</v>
      </c>
      <c r="AE9" s="39">
        <f t="shared" si="7"/>
        <v>0.60792761348545754</v>
      </c>
      <c r="AF9" s="94">
        <f t="shared" ref="AF9" si="9">A9</f>
        <v>4</v>
      </c>
    </row>
    <row r="10" spans="1:32" ht="27" customHeight="1">
      <c r="A10" s="110">
        <v>4</v>
      </c>
      <c r="B10" s="11" t="s">
        <v>59</v>
      </c>
      <c r="C10" s="37" t="s">
        <v>167</v>
      </c>
      <c r="D10" s="55" t="s">
        <v>753</v>
      </c>
      <c r="E10" s="57" t="s">
        <v>818</v>
      </c>
      <c r="F10" s="33" t="s">
        <v>819</v>
      </c>
      <c r="G10" s="36">
        <v>1</v>
      </c>
      <c r="H10" s="38">
        <v>25</v>
      </c>
      <c r="I10" s="7">
        <v>10000</v>
      </c>
      <c r="J10" s="5">
        <v>2490</v>
      </c>
      <c r="K10" s="15">
        <f>L10</f>
        <v>2489</v>
      </c>
      <c r="L10" s="15">
        <f>2489</f>
        <v>2489</v>
      </c>
      <c r="M10" s="16">
        <f t="shared" ref="M10" si="10">L10-N10</f>
        <v>2489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11</v>
      </c>
      <c r="Q10" s="43">
        <f t="shared" ref="Q10" si="13">SUM(R10:AA10)</f>
        <v>13</v>
      </c>
      <c r="R10" s="7"/>
      <c r="S10" s="6"/>
      <c r="T10" s="17">
        <v>13</v>
      </c>
      <c r="U10" s="17"/>
      <c r="V10" s="18"/>
      <c r="W10" s="19"/>
      <c r="X10" s="17"/>
      <c r="Y10" s="20"/>
      <c r="Z10" s="20"/>
      <c r="AA10" s="21"/>
      <c r="AB10" s="8">
        <f t="shared" ref="AB10" si="14">IF(J10=0,"0",(L10/J10))</f>
        <v>0.99959839357429714</v>
      </c>
      <c r="AC10" s="9">
        <f t="shared" ref="AC10" si="15">IF(P10=0,"0",(P10/24))</f>
        <v>0.45833333333333331</v>
      </c>
      <c r="AD10" s="10">
        <f t="shared" ref="AD10" si="16">AC10*AB10*(1-O10)</f>
        <v>0.45814926372155285</v>
      </c>
      <c r="AE10" s="39">
        <f t="shared" si="7"/>
        <v>0.60792761348545754</v>
      </c>
      <c r="AF10" s="94">
        <f t="shared" ref="AF10" si="17">A10</f>
        <v>4</v>
      </c>
    </row>
    <row r="11" spans="1:32" ht="27" customHeight="1">
      <c r="A11" s="110">
        <v>5</v>
      </c>
      <c r="B11" s="11" t="s">
        <v>59</v>
      </c>
      <c r="C11" s="11" t="s">
        <v>137</v>
      </c>
      <c r="D11" s="55" t="s">
        <v>135</v>
      </c>
      <c r="E11" s="56" t="s">
        <v>561</v>
      </c>
      <c r="F11" s="12" t="s">
        <v>453</v>
      </c>
      <c r="G11" s="12">
        <v>1</v>
      </c>
      <c r="H11" s="13">
        <v>25</v>
      </c>
      <c r="I11" s="34">
        <v>55000</v>
      </c>
      <c r="J11" s="14">
        <v>2330</v>
      </c>
      <c r="K11" s="15">
        <f>L11+2928+5697+2831+3697+5889+4241+5564</f>
        <v>33172</v>
      </c>
      <c r="L11" s="15">
        <v>2325</v>
      </c>
      <c r="M11" s="16">
        <f t="shared" si="0"/>
        <v>2325</v>
      </c>
      <c r="N11" s="16">
        <v>0</v>
      </c>
      <c r="O11" s="62">
        <f t="shared" si="1"/>
        <v>0</v>
      </c>
      <c r="P11" s="42">
        <f t="shared" si="2"/>
        <v>12</v>
      </c>
      <c r="Q11" s="43">
        <f t="shared" si="3"/>
        <v>12</v>
      </c>
      <c r="R11" s="7"/>
      <c r="S11" s="6">
        <v>12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0.99785407725321884</v>
      </c>
      <c r="AC11" s="9">
        <f t="shared" si="5"/>
        <v>0.5</v>
      </c>
      <c r="AD11" s="10">
        <f t="shared" si="6"/>
        <v>0.49892703862660942</v>
      </c>
      <c r="AE11" s="39">
        <f t="shared" si="7"/>
        <v>0.60792761348545754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137</v>
      </c>
      <c r="D12" s="55" t="s">
        <v>135</v>
      </c>
      <c r="E12" s="56" t="s">
        <v>674</v>
      </c>
      <c r="F12" s="12" t="s">
        <v>361</v>
      </c>
      <c r="G12" s="12">
        <v>1</v>
      </c>
      <c r="H12" s="13">
        <v>25</v>
      </c>
      <c r="I12" s="34">
        <v>5000</v>
      </c>
      <c r="J12" s="14">
        <v>5070</v>
      </c>
      <c r="K12" s="15">
        <f>L12+4307+4460+400+4783</f>
        <v>19016</v>
      </c>
      <c r="L12" s="15">
        <f>2049+3017</f>
        <v>5066</v>
      </c>
      <c r="M12" s="16">
        <f t="shared" si="0"/>
        <v>5066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0.99921104536489147</v>
      </c>
      <c r="AC12" s="9">
        <f t="shared" si="5"/>
        <v>1</v>
      </c>
      <c r="AD12" s="10">
        <f t="shared" si="6"/>
        <v>0.99921104536489147</v>
      </c>
      <c r="AE12" s="39">
        <f t="shared" si="7"/>
        <v>0.60792761348545754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167</v>
      </c>
      <c r="D13" s="55" t="s">
        <v>776</v>
      </c>
      <c r="E13" s="57" t="s">
        <v>820</v>
      </c>
      <c r="F13" s="12" t="s">
        <v>821</v>
      </c>
      <c r="G13" s="12">
        <v>1</v>
      </c>
      <c r="H13" s="13">
        <v>25</v>
      </c>
      <c r="I13" s="7">
        <v>62000</v>
      </c>
      <c r="J13" s="14">
        <v>3070</v>
      </c>
      <c r="K13" s="15">
        <f>L13</f>
        <v>3062</v>
      </c>
      <c r="L13" s="15">
        <f>2243+45+774</f>
        <v>3062</v>
      </c>
      <c r="M13" s="16">
        <f t="shared" si="0"/>
        <v>3062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/>
      <c r="T13" s="17">
        <v>3</v>
      </c>
      <c r="U13" s="17"/>
      <c r="V13" s="18"/>
      <c r="W13" s="19"/>
      <c r="X13" s="17"/>
      <c r="Y13" s="20"/>
      <c r="Z13" s="20"/>
      <c r="AA13" s="21"/>
      <c r="AB13" s="8">
        <f t="shared" si="4"/>
        <v>0.99739413680781763</v>
      </c>
      <c r="AC13" s="9">
        <f t="shared" si="5"/>
        <v>0.875</v>
      </c>
      <c r="AD13" s="10">
        <f t="shared" si="6"/>
        <v>0.87271986970684046</v>
      </c>
      <c r="AE13" s="39">
        <f t="shared" si="7"/>
        <v>0.60792761348545754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225</v>
      </c>
      <c r="E14" s="57" t="s">
        <v>822</v>
      </c>
      <c r="F14" s="12" t="s">
        <v>823</v>
      </c>
      <c r="G14" s="12">
        <v>1</v>
      </c>
      <c r="H14" s="13">
        <v>25</v>
      </c>
      <c r="I14" s="7">
        <v>4000</v>
      </c>
      <c r="J14" s="14">
        <v>1580</v>
      </c>
      <c r="K14" s="15">
        <f>L14</f>
        <v>1579</v>
      </c>
      <c r="L14" s="15">
        <f>1579</f>
        <v>1579</v>
      </c>
      <c r="M14" s="16">
        <f t="shared" si="0"/>
        <v>1579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>
        <v>14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0.99936708860759493</v>
      </c>
      <c r="AC14" s="9">
        <f t="shared" si="5"/>
        <v>0.41666666666666669</v>
      </c>
      <c r="AD14" s="10">
        <f t="shared" si="6"/>
        <v>0.41640295358649793</v>
      </c>
      <c r="AE14" s="39">
        <f t="shared" si="7"/>
        <v>0.60792761348545754</v>
      </c>
      <c r="AF14" s="94">
        <f t="shared" si="8"/>
        <v>8</v>
      </c>
    </row>
    <row r="15" spans="1:32" ht="27" customHeight="1">
      <c r="A15" s="109">
        <v>9</v>
      </c>
      <c r="B15" s="11" t="s">
        <v>418</v>
      </c>
      <c r="C15" s="37" t="s">
        <v>651</v>
      </c>
      <c r="D15" s="55" t="s">
        <v>58</v>
      </c>
      <c r="E15" s="57" t="s">
        <v>652</v>
      </c>
      <c r="F15" s="33" t="s">
        <v>653</v>
      </c>
      <c r="G15" s="36">
        <v>1</v>
      </c>
      <c r="H15" s="38">
        <v>25</v>
      </c>
      <c r="I15" s="7">
        <v>500</v>
      </c>
      <c r="J15" s="5">
        <v>501</v>
      </c>
      <c r="K15" s="15">
        <f>L15+278+501</f>
        <v>779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0.60792761348545754</v>
      </c>
      <c r="AF15" s="94">
        <f t="shared" si="8"/>
        <v>9</v>
      </c>
    </row>
    <row r="16" spans="1:32" ht="27" customHeight="1">
      <c r="A16" s="109">
        <v>10</v>
      </c>
      <c r="B16" s="11" t="s">
        <v>418</v>
      </c>
      <c r="C16" s="11" t="s">
        <v>137</v>
      </c>
      <c r="D16" s="55" t="s">
        <v>440</v>
      </c>
      <c r="E16" s="57" t="s">
        <v>751</v>
      </c>
      <c r="F16" s="12" t="s">
        <v>752</v>
      </c>
      <c r="G16" s="12">
        <v>4</v>
      </c>
      <c r="H16" s="13">
        <v>20</v>
      </c>
      <c r="I16" s="34">
        <v>25000</v>
      </c>
      <c r="J16" s="14">
        <v>15880</v>
      </c>
      <c r="K16" s="15">
        <f>L16+17036+15880</f>
        <v>32916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0.60792761348545754</v>
      </c>
      <c r="AF16" s="94">
        <f t="shared" si="8"/>
        <v>10</v>
      </c>
    </row>
    <row r="17" spans="1:36" ht="27.75" customHeight="1">
      <c r="A17" s="109">
        <v>11</v>
      </c>
      <c r="B17" s="11" t="s">
        <v>418</v>
      </c>
      <c r="C17" s="11" t="s">
        <v>118</v>
      </c>
      <c r="D17" s="55" t="s">
        <v>205</v>
      </c>
      <c r="E17" s="56" t="s">
        <v>343</v>
      </c>
      <c r="F17" s="12">
        <v>7301</v>
      </c>
      <c r="G17" s="36">
        <v>1</v>
      </c>
      <c r="H17" s="38">
        <v>25</v>
      </c>
      <c r="I17" s="7">
        <v>28000</v>
      </c>
      <c r="J17" s="14">
        <v>4860</v>
      </c>
      <c r="K17" s="15">
        <f>L17+2401+4876+4853</f>
        <v>16990</v>
      </c>
      <c r="L17" s="15">
        <f>2474+2386</f>
        <v>4860</v>
      </c>
      <c r="M17" s="16">
        <f t="shared" si="0"/>
        <v>4860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0.60792761348545754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418</v>
      </c>
      <c r="C18" s="37" t="s">
        <v>137</v>
      </c>
      <c r="D18" s="55" t="s">
        <v>753</v>
      </c>
      <c r="E18" s="56" t="s">
        <v>754</v>
      </c>
      <c r="F18" s="12" t="s">
        <v>755</v>
      </c>
      <c r="G18" s="12">
        <v>2</v>
      </c>
      <c r="H18" s="13">
        <v>25</v>
      </c>
      <c r="I18" s="34">
        <v>25000</v>
      </c>
      <c r="J18" s="5">
        <v>11730</v>
      </c>
      <c r="K18" s="15">
        <f>L18+6834+11518</f>
        <v>30076</v>
      </c>
      <c r="L18" s="15">
        <f>2974*2+2888*2</f>
        <v>11724</v>
      </c>
      <c r="M18" s="16">
        <f t="shared" si="0"/>
        <v>11724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0.99948849104859339</v>
      </c>
      <c r="AC18" s="9">
        <f t="shared" si="5"/>
        <v>1</v>
      </c>
      <c r="AD18" s="10">
        <f t="shared" si="6"/>
        <v>0.99948849104859339</v>
      </c>
      <c r="AE18" s="39">
        <f t="shared" si="7"/>
        <v>0.60792761348545754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753</v>
      </c>
      <c r="E19" s="57" t="s">
        <v>784</v>
      </c>
      <c r="F19" s="33" t="s">
        <v>227</v>
      </c>
      <c r="G19" s="36">
        <v>1</v>
      </c>
      <c r="H19" s="38">
        <v>25</v>
      </c>
      <c r="I19" s="7">
        <v>62000</v>
      </c>
      <c r="J19" s="5">
        <v>4610</v>
      </c>
      <c r="K19" s="15">
        <f>L19+2232</f>
        <v>6841</v>
      </c>
      <c r="L19" s="15">
        <f>2820+1789</f>
        <v>4609</v>
      </c>
      <c r="M19" s="16">
        <f t="shared" si="0"/>
        <v>4609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>
        <v>1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0.99978308026030371</v>
      </c>
      <c r="AC19" s="9">
        <f t="shared" si="5"/>
        <v>0.95833333333333337</v>
      </c>
      <c r="AD19" s="10">
        <f t="shared" si="6"/>
        <v>0.95812545191612442</v>
      </c>
      <c r="AE19" s="39">
        <f t="shared" si="7"/>
        <v>0.60792761348545754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11" t="s">
        <v>167</v>
      </c>
      <c r="D20" s="55" t="s">
        <v>776</v>
      </c>
      <c r="E20" s="56" t="s">
        <v>785</v>
      </c>
      <c r="F20" s="12" t="s">
        <v>786</v>
      </c>
      <c r="G20" s="12">
        <v>1</v>
      </c>
      <c r="H20" s="38">
        <v>25</v>
      </c>
      <c r="I20" s="34">
        <v>45000</v>
      </c>
      <c r="J20" s="5">
        <v>5150</v>
      </c>
      <c r="K20" s="15">
        <f>L20+4457</f>
        <v>9607</v>
      </c>
      <c r="L20" s="15">
        <f>2626+2524</f>
        <v>5150</v>
      </c>
      <c r="M20" s="16">
        <f t="shared" si="0"/>
        <v>5150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0.60792761348545754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570</v>
      </c>
      <c r="F21" s="12" t="s">
        <v>117</v>
      </c>
      <c r="G21" s="12">
        <v>4</v>
      </c>
      <c r="H21" s="38">
        <v>15</v>
      </c>
      <c r="I21" s="7">
        <v>300000</v>
      </c>
      <c r="J21" s="14">
        <v>32870</v>
      </c>
      <c r="K21" s="15">
        <f>L21+28820+65228+31484+54604+68244+65068+68920</f>
        <v>415232</v>
      </c>
      <c r="L21" s="15">
        <f>8216*4</f>
        <v>32864</v>
      </c>
      <c r="M21" s="16">
        <f t="shared" si="0"/>
        <v>32864</v>
      </c>
      <c r="N21" s="16">
        <v>0</v>
      </c>
      <c r="O21" s="62">
        <f t="shared" si="1"/>
        <v>0</v>
      </c>
      <c r="P21" s="42">
        <f t="shared" si="2"/>
        <v>12</v>
      </c>
      <c r="Q21" s="43">
        <f t="shared" si="3"/>
        <v>12</v>
      </c>
      <c r="R21" s="7"/>
      <c r="S21" s="6"/>
      <c r="T21" s="17"/>
      <c r="U21" s="17"/>
      <c r="V21" s="18"/>
      <c r="W21" s="19">
        <v>12</v>
      </c>
      <c r="X21" s="17"/>
      <c r="Y21" s="20"/>
      <c r="Z21" s="20"/>
      <c r="AA21" s="21"/>
      <c r="AB21" s="8">
        <f t="shared" si="4"/>
        <v>0.99981746273197447</v>
      </c>
      <c r="AC21" s="9">
        <f t="shared" si="5"/>
        <v>0.5</v>
      </c>
      <c r="AD21" s="10">
        <f t="shared" si="6"/>
        <v>0.49990873136598724</v>
      </c>
      <c r="AE21" s="39">
        <f t="shared" si="7"/>
        <v>0.60792761348545754</v>
      </c>
      <c r="AF21" s="94">
        <f t="shared" si="8"/>
        <v>15</v>
      </c>
    </row>
    <row r="22" spans="1:36" ht="31.5" customHeight="1" thickBot="1">
      <c r="A22" s="415" t="s">
        <v>34</v>
      </c>
      <c r="B22" s="416"/>
      <c r="C22" s="416"/>
      <c r="D22" s="416"/>
      <c r="E22" s="416"/>
      <c r="F22" s="416"/>
      <c r="G22" s="416"/>
      <c r="H22" s="417"/>
      <c r="I22" s="25">
        <f t="shared" ref="I22:N22" si="18">SUM(I6:I21)</f>
        <v>651500</v>
      </c>
      <c r="J22" s="22">
        <f t="shared" si="18"/>
        <v>100371</v>
      </c>
      <c r="K22" s="23">
        <f t="shared" si="18"/>
        <v>616454</v>
      </c>
      <c r="L22" s="24">
        <f t="shared" si="18"/>
        <v>83953</v>
      </c>
      <c r="M22" s="23">
        <f t="shared" si="18"/>
        <v>83953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219</v>
      </c>
      <c r="Q22" s="46">
        <f t="shared" si="19"/>
        <v>165</v>
      </c>
      <c r="R22" s="26">
        <f t="shared" si="19"/>
        <v>25</v>
      </c>
      <c r="S22" s="27">
        <f t="shared" si="19"/>
        <v>26</v>
      </c>
      <c r="T22" s="27">
        <f t="shared" si="19"/>
        <v>16</v>
      </c>
      <c r="U22" s="27">
        <f t="shared" si="19"/>
        <v>0</v>
      </c>
      <c r="V22" s="28">
        <f t="shared" si="19"/>
        <v>0</v>
      </c>
      <c r="W22" s="29">
        <f t="shared" si="19"/>
        <v>98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0.79943454548258974</v>
      </c>
      <c r="AC22" s="4">
        <f>SUM(AC6:AC21)/15</f>
        <v>0.60833333333333328</v>
      </c>
      <c r="AD22" s="4">
        <f>SUM(AD6:AD21)/15</f>
        <v>0.60792761348545754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8" t="s">
        <v>46</v>
      </c>
      <c r="B49" s="418"/>
      <c r="C49" s="418"/>
      <c r="D49" s="418"/>
      <c r="E49" s="418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9" t="s">
        <v>824</v>
      </c>
      <c r="B50" s="420"/>
      <c r="C50" s="420"/>
      <c r="D50" s="420"/>
      <c r="E50" s="420"/>
      <c r="F50" s="420"/>
      <c r="G50" s="420"/>
      <c r="H50" s="420"/>
      <c r="I50" s="420"/>
      <c r="J50" s="420"/>
      <c r="K50" s="420"/>
      <c r="L50" s="420"/>
      <c r="M50" s="421"/>
      <c r="N50" s="422" t="s">
        <v>828</v>
      </c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25" t="s">
        <v>2</v>
      </c>
      <c r="B51" s="426"/>
      <c r="C51" s="283" t="s">
        <v>47</v>
      </c>
      <c r="D51" s="283" t="s">
        <v>48</v>
      </c>
      <c r="E51" s="283" t="s">
        <v>110</v>
      </c>
      <c r="F51" s="426" t="s">
        <v>109</v>
      </c>
      <c r="G51" s="426"/>
      <c r="H51" s="426"/>
      <c r="I51" s="426"/>
      <c r="J51" s="426"/>
      <c r="K51" s="426"/>
      <c r="L51" s="426"/>
      <c r="M51" s="427"/>
      <c r="N51" s="73" t="s">
        <v>114</v>
      </c>
      <c r="O51" s="283" t="s">
        <v>47</v>
      </c>
      <c r="P51" s="428" t="s">
        <v>48</v>
      </c>
      <c r="Q51" s="429"/>
      <c r="R51" s="428" t="s">
        <v>39</v>
      </c>
      <c r="S51" s="430"/>
      <c r="T51" s="430"/>
      <c r="U51" s="429"/>
      <c r="V51" s="428" t="s">
        <v>49</v>
      </c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09" t="s">
        <v>788</v>
      </c>
      <c r="B52" s="410"/>
      <c r="C52" s="284" t="s">
        <v>585</v>
      </c>
      <c r="D52" s="285" t="s">
        <v>799</v>
      </c>
      <c r="E52" s="284" t="s">
        <v>818</v>
      </c>
      <c r="F52" s="394" t="s">
        <v>790</v>
      </c>
      <c r="G52" s="394"/>
      <c r="H52" s="394"/>
      <c r="I52" s="394"/>
      <c r="J52" s="394"/>
      <c r="K52" s="394"/>
      <c r="L52" s="394"/>
      <c r="M52" s="404"/>
      <c r="N52" s="289" t="s">
        <v>829</v>
      </c>
      <c r="O52" s="74" t="s">
        <v>301</v>
      </c>
      <c r="P52" s="411" t="s">
        <v>753</v>
      </c>
      <c r="Q52" s="412"/>
      <c r="R52" s="403" t="s">
        <v>830</v>
      </c>
      <c r="S52" s="403"/>
      <c r="T52" s="403"/>
      <c r="U52" s="403"/>
      <c r="V52" s="394" t="s">
        <v>762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825</v>
      </c>
      <c r="B53" s="410"/>
      <c r="C53" s="284" t="s">
        <v>301</v>
      </c>
      <c r="D53" s="285" t="s">
        <v>753</v>
      </c>
      <c r="E53" s="284" t="s">
        <v>830</v>
      </c>
      <c r="F53" s="394" t="s">
        <v>826</v>
      </c>
      <c r="G53" s="394"/>
      <c r="H53" s="394"/>
      <c r="I53" s="394"/>
      <c r="J53" s="394"/>
      <c r="K53" s="394"/>
      <c r="L53" s="394"/>
      <c r="M53" s="404"/>
      <c r="N53" s="289" t="s">
        <v>772</v>
      </c>
      <c r="O53" s="74" t="s">
        <v>274</v>
      </c>
      <c r="P53" s="411" t="s">
        <v>800</v>
      </c>
      <c r="Q53" s="412"/>
      <c r="R53" s="403" t="s">
        <v>226</v>
      </c>
      <c r="S53" s="403"/>
      <c r="T53" s="403"/>
      <c r="U53" s="403"/>
      <c r="V53" s="394" t="s">
        <v>794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167</v>
      </c>
      <c r="B54" s="410"/>
      <c r="C54" s="284" t="s">
        <v>378</v>
      </c>
      <c r="D54" s="285" t="s">
        <v>776</v>
      </c>
      <c r="E54" s="284" t="s">
        <v>820</v>
      </c>
      <c r="F54" s="394" t="s">
        <v>177</v>
      </c>
      <c r="G54" s="394"/>
      <c r="H54" s="394"/>
      <c r="I54" s="394"/>
      <c r="J54" s="394"/>
      <c r="K54" s="394"/>
      <c r="L54" s="394"/>
      <c r="M54" s="404"/>
      <c r="N54" s="289" t="s">
        <v>118</v>
      </c>
      <c r="O54" s="74" t="s">
        <v>466</v>
      </c>
      <c r="P54" s="411" t="s">
        <v>776</v>
      </c>
      <c r="Q54" s="412"/>
      <c r="R54" s="403" t="s">
        <v>831</v>
      </c>
      <c r="S54" s="403"/>
      <c r="T54" s="403"/>
      <c r="U54" s="403"/>
      <c r="V54" s="394" t="s">
        <v>766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772</v>
      </c>
      <c r="B55" s="410"/>
      <c r="C55" s="284" t="s">
        <v>274</v>
      </c>
      <c r="D55" s="285" t="s">
        <v>800</v>
      </c>
      <c r="E55" s="284" t="s">
        <v>822</v>
      </c>
      <c r="F55" s="394" t="s">
        <v>827</v>
      </c>
      <c r="G55" s="394"/>
      <c r="H55" s="394"/>
      <c r="I55" s="394"/>
      <c r="J55" s="394"/>
      <c r="K55" s="394"/>
      <c r="L55" s="394"/>
      <c r="M55" s="404"/>
      <c r="N55" s="289" t="s">
        <v>118</v>
      </c>
      <c r="O55" s="74" t="s">
        <v>323</v>
      </c>
      <c r="P55" s="411" t="s">
        <v>225</v>
      </c>
      <c r="Q55" s="412"/>
      <c r="R55" s="403" t="s">
        <v>322</v>
      </c>
      <c r="S55" s="403"/>
      <c r="T55" s="403"/>
      <c r="U55" s="403"/>
      <c r="V55" s="394" t="s">
        <v>177</v>
      </c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284"/>
      <c r="D56" s="285"/>
      <c r="E56" s="284"/>
      <c r="F56" s="394"/>
      <c r="G56" s="394"/>
      <c r="H56" s="394"/>
      <c r="I56" s="394"/>
      <c r="J56" s="394"/>
      <c r="K56" s="394"/>
      <c r="L56" s="394"/>
      <c r="M56" s="404"/>
      <c r="N56" s="289"/>
      <c r="O56" s="74"/>
      <c r="P56" s="411"/>
      <c r="Q56" s="412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284"/>
      <c r="D57" s="285"/>
      <c r="E57" s="284"/>
      <c r="F57" s="394"/>
      <c r="G57" s="394"/>
      <c r="H57" s="394"/>
      <c r="I57" s="394"/>
      <c r="J57" s="394"/>
      <c r="K57" s="394"/>
      <c r="L57" s="394"/>
      <c r="M57" s="404"/>
      <c r="N57" s="289"/>
      <c r="O57" s="74"/>
      <c r="P57" s="403"/>
      <c r="Q57" s="403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284"/>
      <c r="D58" s="285"/>
      <c r="E58" s="284"/>
      <c r="F58" s="394"/>
      <c r="G58" s="394"/>
      <c r="H58" s="394"/>
      <c r="I58" s="394"/>
      <c r="J58" s="394"/>
      <c r="K58" s="394"/>
      <c r="L58" s="394"/>
      <c r="M58" s="404"/>
      <c r="N58" s="289"/>
      <c r="O58" s="74"/>
      <c r="P58" s="411"/>
      <c r="Q58" s="412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9"/>
      <c r="B59" s="410"/>
      <c r="C59" s="284"/>
      <c r="D59" s="285"/>
      <c r="E59" s="284"/>
      <c r="F59" s="394"/>
      <c r="G59" s="394"/>
      <c r="H59" s="394"/>
      <c r="I59" s="394"/>
      <c r="J59" s="394"/>
      <c r="K59" s="394"/>
      <c r="L59" s="394"/>
      <c r="M59" s="404"/>
      <c r="N59" s="28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</row>
    <row r="60" spans="1:32" ht="27" customHeight="1">
      <c r="A60" s="402"/>
      <c r="B60" s="403"/>
      <c r="C60" s="285"/>
      <c r="D60" s="285"/>
      <c r="E60" s="285"/>
      <c r="F60" s="394"/>
      <c r="G60" s="394"/>
      <c r="H60" s="394"/>
      <c r="I60" s="394"/>
      <c r="J60" s="394"/>
      <c r="K60" s="394"/>
      <c r="L60" s="394"/>
      <c r="M60" s="404"/>
      <c r="N60" s="289"/>
      <c r="O60" s="74"/>
      <c r="P60" s="403"/>
      <c r="Q60" s="403"/>
      <c r="R60" s="403"/>
      <c r="S60" s="403"/>
      <c r="T60" s="403"/>
      <c r="U60" s="403"/>
      <c r="V60" s="394"/>
      <c r="W60" s="394"/>
      <c r="X60" s="394"/>
      <c r="Y60" s="394"/>
      <c r="Z60" s="394"/>
      <c r="AA60" s="394"/>
      <c r="AB60" s="394"/>
      <c r="AC60" s="394"/>
      <c r="AD60" s="404"/>
      <c r="AF60" s="94">
        <f>8*3000</f>
        <v>24000</v>
      </c>
    </row>
    <row r="61" spans="1:32" ht="27" customHeight="1" thickBot="1">
      <c r="A61" s="405"/>
      <c r="B61" s="406"/>
      <c r="C61" s="287"/>
      <c r="D61" s="287"/>
      <c r="E61" s="287"/>
      <c r="F61" s="407"/>
      <c r="G61" s="407"/>
      <c r="H61" s="407"/>
      <c r="I61" s="407"/>
      <c r="J61" s="407"/>
      <c r="K61" s="407"/>
      <c r="L61" s="407"/>
      <c r="M61" s="408"/>
      <c r="N61" s="286"/>
      <c r="O61" s="121"/>
      <c r="P61" s="406"/>
      <c r="Q61" s="406"/>
      <c r="R61" s="406"/>
      <c r="S61" s="406"/>
      <c r="T61" s="406"/>
      <c r="U61" s="406"/>
      <c r="V61" s="407"/>
      <c r="W61" s="407"/>
      <c r="X61" s="407"/>
      <c r="Y61" s="407"/>
      <c r="Z61" s="407"/>
      <c r="AA61" s="407"/>
      <c r="AB61" s="407"/>
      <c r="AC61" s="407"/>
      <c r="AD61" s="408"/>
      <c r="AF61" s="94">
        <f>16*3000</f>
        <v>48000</v>
      </c>
    </row>
    <row r="62" spans="1:32" ht="27.75" thickBot="1">
      <c r="A62" s="400" t="s">
        <v>832</v>
      </c>
      <c r="B62" s="400"/>
      <c r="C62" s="400"/>
      <c r="D62" s="400"/>
      <c r="E62" s="400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1" t="s">
        <v>115</v>
      </c>
      <c r="B63" s="398"/>
      <c r="C63" s="288" t="s">
        <v>2</v>
      </c>
      <c r="D63" s="288" t="s">
        <v>38</v>
      </c>
      <c r="E63" s="288" t="s">
        <v>3</v>
      </c>
      <c r="F63" s="398" t="s">
        <v>112</v>
      </c>
      <c r="G63" s="398"/>
      <c r="H63" s="398"/>
      <c r="I63" s="398"/>
      <c r="J63" s="398"/>
      <c r="K63" s="398" t="s">
        <v>40</v>
      </c>
      <c r="L63" s="398"/>
      <c r="M63" s="288" t="s">
        <v>41</v>
      </c>
      <c r="N63" s="398" t="s">
        <v>42</v>
      </c>
      <c r="O63" s="398"/>
      <c r="P63" s="395" t="s">
        <v>43</v>
      </c>
      <c r="Q63" s="397"/>
      <c r="R63" s="395" t="s">
        <v>44</v>
      </c>
      <c r="S63" s="396"/>
      <c r="T63" s="396"/>
      <c r="U63" s="396"/>
      <c r="V63" s="396"/>
      <c r="W63" s="396"/>
      <c r="X63" s="396"/>
      <c r="Y63" s="396"/>
      <c r="Z63" s="396"/>
      <c r="AA63" s="397"/>
      <c r="AB63" s="398" t="s">
        <v>45</v>
      </c>
      <c r="AC63" s="398"/>
      <c r="AD63" s="399"/>
      <c r="AF63" s="94">
        <f>SUM(AF60:AF62)</f>
        <v>96000</v>
      </c>
    </row>
    <row r="64" spans="1:32" ht="25.5" customHeight="1">
      <c r="A64" s="390">
        <v>1</v>
      </c>
      <c r="B64" s="391"/>
      <c r="C64" s="124"/>
      <c r="D64" s="292"/>
      <c r="E64" s="290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2</v>
      </c>
      <c r="B65" s="391"/>
      <c r="C65" s="124"/>
      <c r="D65" s="292"/>
      <c r="E65" s="290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3</v>
      </c>
      <c r="B66" s="391"/>
      <c r="C66" s="124"/>
      <c r="D66" s="292"/>
      <c r="E66" s="290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4</v>
      </c>
      <c r="B67" s="391"/>
      <c r="C67" s="124"/>
      <c r="D67" s="292"/>
      <c r="E67" s="290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5</v>
      </c>
      <c r="B68" s="391"/>
      <c r="C68" s="124"/>
      <c r="D68" s="292"/>
      <c r="E68" s="290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6</v>
      </c>
      <c r="B69" s="391"/>
      <c r="C69" s="124"/>
      <c r="D69" s="292"/>
      <c r="E69" s="290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7</v>
      </c>
      <c r="B70" s="391"/>
      <c r="C70" s="124"/>
      <c r="D70" s="292"/>
      <c r="E70" s="290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5.5" customHeight="1">
      <c r="A71" s="390">
        <v>8</v>
      </c>
      <c r="B71" s="391"/>
      <c r="C71" s="124"/>
      <c r="D71" s="292"/>
      <c r="E71" s="290"/>
      <c r="F71" s="392"/>
      <c r="G71" s="382"/>
      <c r="H71" s="382"/>
      <c r="I71" s="382"/>
      <c r="J71" s="382"/>
      <c r="K71" s="382"/>
      <c r="L71" s="382"/>
      <c r="M71" s="54"/>
      <c r="N71" s="382"/>
      <c r="O71" s="382"/>
      <c r="P71" s="393"/>
      <c r="Q71" s="393"/>
      <c r="R71" s="394"/>
      <c r="S71" s="394"/>
      <c r="T71" s="394"/>
      <c r="U71" s="394"/>
      <c r="V71" s="394"/>
      <c r="W71" s="394"/>
      <c r="X71" s="394"/>
      <c r="Y71" s="394"/>
      <c r="Z71" s="394"/>
      <c r="AA71" s="394"/>
      <c r="AB71" s="382"/>
      <c r="AC71" s="382"/>
      <c r="AD71" s="383"/>
      <c r="AF71" s="53"/>
    </row>
    <row r="72" spans="1:32" ht="26.25" customHeight="1" thickBot="1">
      <c r="A72" s="363" t="s">
        <v>833</v>
      </c>
      <c r="B72" s="363"/>
      <c r="C72" s="363"/>
      <c r="D72" s="363"/>
      <c r="E72" s="363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84" t="s">
        <v>115</v>
      </c>
      <c r="B73" s="385"/>
      <c r="C73" s="291" t="s">
        <v>2</v>
      </c>
      <c r="D73" s="291" t="s">
        <v>38</v>
      </c>
      <c r="E73" s="291" t="s">
        <v>3</v>
      </c>
      <c r="F73" s="385" t="s">
        <v>39</v>
      </c>
      <c r="G73" s="385"/>
      <c r="H73" s="385"/>
      <c r="I73" s="385"/>
      <c r="J73" s="385"/>
      <c r="K73" s="386" t="s">
        <v>60</v>
      </c>
      <c r="L73" s="387"/>
      <c r="M73" s="387"/>
      <c r="N73" s="387"/>
      <c r="O73" s="387"/>
      <c r="P73" s="387"/>
      <c r="Q73" s="387"/>
      <c r="R73" s="387"/>
      <c r="S73" s="388"/>
      <c r="T73" s="385" t="s">
        <v>50</v>
      </c>
      <c r="U73" s="385"/>
      <c r="V73" s="386" t="s">
        <v>51</v>
      </c>
      <c r="W73" s="388"/>
      <c r="X73" s="387" t="s">
        <v>52</v>
      </c>
      <c r="Y73" s="387"/>
      <c r="Z73" s="387"/>
      <c r="AA73" s="387"/>
      <c r="AB73" s="387"/>
      <c r="AC73" s="387"/>
      <c r="AD73" s="389"/>
      <c r="AF73" s="53"/>
    </row>
    <row r="74" spans="1:32" ht="33.75" customHeight="1">
      <c r="A74" s="357">
        <v>1</v>
      </c>
      <c r="B74" s="358"/>
      <c r="C74" s="293" t="s">
        <v>118</v>
      </c>
      <c r="D74" s="293"/>
      <c r="E74" s="71" t="s">
        <v>124</v>
      </c>
      <c r="F74" s="371" t="s">
        <v>125</v>
      </c>
      <c r="G74" s="372"/>
      <c r="H74" s="372"/>
      <c r="I74" s="372"/>
      <c r="J74" s="373"/>
      <c r="K74" s="374" t="s">
        <v>120</v>
      </c>
      <c r="L74" s="375"/>
      <c r="M74" s="375"/>
      <c r="N74" s="375"/>
      <c r="O74" s="375"/>
      <c r="P74" s="375"/>
      <c r="Q74" s="375"/>
      <c r="R74" s="375"/>
      <c r="S74" s="376"/>
      <c r="T74" s="377">
        <v>42901</v>
      </c>
      <c r="U74" s="378"/>
      <c r="V74" s="379"/>
      <c r="W74" s="379"/>
      <c r="X74" s="380"/>
      <c r="Y74" s="380"/>
      <c r="Z74" s="380"/>
      <c r="AA74" s="380"/>
      <c r="AB74" s="380"/>
      <c r="AC74" s="380"/>
      <c r="AD74" s="381"/>
      <c r="AF74" s="53"/>
    </row>
    <row r="75" spans="1:32" ht="30" customHeight="1">
      <c r="A75" s="350">
        <f>A74+1</f>
        <v>2</v>
      </c>
      <c r="B75" s="351"/>
      <c r="C75" s="292" t="s">
        <v>118</v>
      </c>
      <c r="D75" s="292"/>
      <c r="E75" s="35" t="s">
        <v>121</v>
      </c>
      <c r="F75" s="351" t="s">
        <v>122</v>
      </c>
      <c r="G75" s="351"/>
      <c r="H75" s="351"/>
      <c r="I75" s="351"/>
      <c r="J75" s="351"/>
      <c r="K75" s="365" t="s">
        <v>123</v>
      </c>
      <c r="L75" s="366"/>
      <c r="M75" s="366"/>
      <c r="N75" s="366"/>
      <c r="O75" s="366"/>
      <c r="P75" s="366"/>
      <c r="Q75" s="366"/>
      <c r="R75" s="366"/>
      <c r="S75" s="367"/>
      <c r="T75" s="368">
        <v>42867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ref="A76:A82" si="20">A75+1</f>
        <v>3</v>
      </c>
      <c r="B76" s="351"/>
      <c r="C76" s="292" t="s">
        <v>137</v>
      </c>
      <c r="D76" s="292"/>
      <c r="E76" s="35" t="s">
        <v>135</v>
      </c>
      <c r="F76" s="351" t="s">
        <v>138</v>
      </c>
      <c r="G76" s="351"/>
      <c r="H76" s="351"/>
      <c r="I76" s="351"/>
      <c r="J76" s="351"/>
      <c r="K76" s="365" t="s">
        <v>120</v>
      </c>
      <c r="L76" s="366"/>
      <c r="M76" s="366"/>
      <c r="N76" s="366"/>
      <c r="O76" s="366"/>
      <c r="P76" s="366"/>
      <c r="Q76" s="366"/>
      <c r="R76" s="366"/>
      <c r="S76" s="367"/>
      <c r="T76" s="368">
        <v>42937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20"/>
        <v>4</v>
      </c>
      <c r="B77" s="351"/>
      <c r="C77" s="292" t="s">
        <v>119</v>
      </c>
      <c r="D77" s="292"/>
      <c r="E77" s="35" t="s">
        <v>133</v>
      </c>
      <c r="F77" s="351" t="s">
        <v>134</v>
      </c>
      <c r="G77" s="351"/>
      <c r="H77" s="351"/>
      <c r="I77" s="351"/>
      <c r="J77" s="351"/>
      <c r="K77" s="365" t="s">
        <v>136</v>
      </c>
      <c r="L77" s="366"/>
      <c r="M77" s="366"/>
      <c r="N77" s="366"/>
      <c r="O77" s="366"/>
      <c r="P77" s="366"/>
      <c r="Q77" s="366"/>
      <c r="R77" s="366"/>
      <c r="S77" s="367"/>
      <c r="T77" s="368">
        <v>42920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20"/>
        <v>5</v>
      </c>
      <c r="B78" s="351"/>
      <c r="C78" s="292" t="s">
        <v>118</v>
      </c>
      <c r="D78" s="292"/>
      <c r="E78" s="35" t="s">
        <v>157</v>
      </c>
      <c r="F78" s="351" t="s">
        <v>715</v>
      </c>
      <c r="G78" s="351"/>
      <c r="H78" s="351"/>
      <c r="I78" s="351"/>
      <c r="J78" s="351"/>
      <c r="K78" s="365" t="s">
        <v>716</v>
      </c>
      <c r="L78" s="366"/>
      <c r="M78" s="366"/>
      <c r="N78" s="366"/>
      <c r="O78" s="366"/>
      <c r="P78" s="366"/>
      <c r="Q78" s="366"/>
      <c r="R78" s="366"/>
      <c r="S78" s="367"/>
      <c r="T78" s="368">
        <v>43033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20"/>
        <v>6</v>
      </c>
      <c r="B79" s="351"/>
      <c r="C79" s="292"/>
      <c r="D79" s="292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20"/>
        <v>7</v>
      </c>
      <c r="B80" s="351"/>
      <c r="C80" s="292"/>
      <c r="D80" s="292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20"/>
        <v>8</v>
      </c>
      <c r="B81" s="351"/>
      <c r="C81" s="292"/>
      <c r="D81" s="292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0" customHeight="1">
      <c r="A82" s="350">
        <f t="shared" si="20"/>
        <v>9</v>
      </c>
      <c r="B82" s="351"/>
      <c r="C82" s="292"/>
      <c r="D82" s="292"/>
      <c r="E82" s="35"/>
      <c r="F82" s="351"/>
      <c r="G82" s="351"/>
      <c r="H82" s="351"/>
      <c r="I82" s="351"/>
      <c r="J82" s="351"/>
      <c r="K82" s="365"/>
      <c r="L82" s="366"/>
      <c r="M82" s="366"/>
      <c r="N82" s="366"/>
      <c r="O82" s="366"/>
      <c r="P82" s="366"/>
      <c r="Q82" s="366"/>
      <c r="R82" s="366"/>
      <c r="S82" s="367"/>
      <c r="T82" s="368"/>
      <c r="U82" s="368"/>
      <c r="V82" s="368"/>
      <c r="W82" s="368"/>
      <c r="X82" s="369"/>
      <c r="Y82" s="369"/>
      <c r="Z82" s="369"/>
      <c r="AA82" s="369"/>
      <c r="AB82" s="369"/>
      <c r="AC82" s="369"/>
      <c r="AD82" s="370"/>
      <c r="AF82" s="53"/>
    </row>
    <row r="83" spans="1:32" ht="36" thickBot="1">
      <c r="A83" s="363" t="s">
        <v>834</v>
      </c>
      <c r="B83" s="363"/>
      <c r="C83" s="363"/>
      <c r="D83" s="363"/>
      <c r="E83" s="363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84" t="s">
        <v>115</v>
      </c>
      <c r="B84" s="385"/>
      <c r="C84" s="355" t="s">
        <v>53</v>
      </c>
      <c r="D84" s="355"/>
      <c r="E84" s="355" t="s">
        <v>54</v>
      </c>
      <c r="F84" s="355"/>
      <c r="G84" s="355"/>
      <c r="H84" s="355"/>
      <c r="I84" s="355"/>
      <c r="J84" s="355"/>
      <c r="K84" s="355" t="s">
        <v>55</v>
      </c>
      <c r="L84" s="355"/>
      <c r="M84" s="355"/>
      <c r="N84" s="355"/>
      <c r="O84" s="355"/>
      <c r="P84" s="355"/>
      <c r="Q84" s="355"/>
      <c r="R84" s="355"/>
      <c r="S84" s="355"/>
      <c r="T84" s="355" t="s">
        <v>56</v>
      </c>
      <c r="U84" s="355"/>
      <c r="V84" s="355" t="s">
        <v>57</v>
      </c>
      <c r="W84" s="355"/>
      <c r="X84" s="355"/>
      <c r="Y84" s="355" t="s">
        <v>52</v>
      </c>
      <c r="Z84" s="355"/>
      <c r="AA84" s="355"/>
      <c r="AB84" s="355"/>
      <c r="AC84" s="355"/>
      <c r="AD84" s="356"/>
      <c r="AF84" s="53"/>
    </row>
    <row r="85" spans="1:32" ht="30.75" customHeight="1">
      <c r="A85" s="357">
        <v>1</v>
      </c>
      <c r="B85" s="358"/>
      <c r="C85" s="359">
        <v>1</v>
      </c>
      <c r="D85" s="359"/>
      <c r="E85" s="359" t="s">
        <v>128</v>
      </c>
      <c r="F85" s="359"/>
      <c r="G85" s="359"/>
      <c r="H85" s="359"/>
      <c r="I85" s="359"/>
      <c r="J85" s="359"/>
      <c r="K85" s="359" t="s">
        <v>129</v>
      </c>
      <c r="L85" s="359"/>
      <c r="M85" s="359"/>
      <c r="N85" s="359"/>
      <c r="O85" s="359"/>
      <c r="P85" s="359"/>
      <c r="Q85" s="359"/>
      <c r="R85" s="359"/>
      <c r="S85" s="359"/>
      <c r="T85" s="359" t="s">
        <v>130</v>
      </c>
      <c r="U85" s="359"/>
      <c r="V85" s="360">
        <v>1500000</v>
      </c>
      <c r="W85" s="360"/>
      <c r="X85" s="360"/>
      <c r="Y85" s="361" t="s">
        <v>131</v>
      </c>
      <c r="Z85" s="361"/>
      <c r="AA85" s="361"/>
      <c r="AB85" s="361"/>
      <c r="AC85" s="361"/>
      <c r="AD85" s="362"/>
      <c r="AF85" s="53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3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835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305" t="s">
        <v>17</v>
      </c>
      <c r="L5" s="305" t="s">
        <v>18</v>
      </c>
      <c r="M5" s="305" t="s">
        <v>19</v>
      </c>
      <c r="N5" s="30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0.56269482883224564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0.56269482883224564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781</v>
      </c>
      <c r="E8" s="56" t="s">
        <v>782</v>
      </c>
      <c r="F8" s="12">
        <v>7301</v>
      </c>
      <c r="G8" s="12">
        <v>1</v>
      </c>
      <c r="H8" s="13">
        <v>25</v>
      </c>
      <c r="I8" s="34">
        <v>5000</v>
      </c>
      <c r="J8" s="14">
        <v>6240</v>
      </c>
      <c r="K8" s="15">
        <f>L8+5675+351+3524+6467</f>
        <v>22254</v>
      </c>
      <c r="L8" s="15">
        <f>3805+2432</f>
        <v>6237</v>
      </c>
      <c r="M8" s="16">
        <f t="shared" si="0"/>
        <v>6237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0.99951923076923077</v>
      </c>
      <c r="AC8" s="9">
        <f t="shared" si="5"/>
        <v>1</v>
      </c>
      <c r="AD8" s="10">
        <f t="shared" si="6"/>
        <v>0.99951923076923077</v>
      </c>
      <c r="AE8" s="39">
        <f t="shared" si="7"/>
        <v>0.56269482883224564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167</v>
      </c>
      <c r="D9" s="55" t="s">
        <v>753</v>
      </c>
      <c r="E9" s="57" t="s">
        <v>818</v>
      </c>
      <c r="F9" s="33" t="s">
        <v>819</v>
      </c>
      <c r="G9" s="36">
        <v>1</v>
      </c>
      <c r="H9" s="38">
        <v>25</v>
      </c>
      <c r="I9" s="7">
        <v>10000</v>
      </c>
      <c r="J9" s="5">
        <v>5290</v>
      </c>
      <c r="K9" s="15">
        <f>L9+2489</f>
        <v>7778</v>
      </c>
      <c r="L9" s="15">
        <f>3067+2222</f>
        <v>5289</v>
      </c>
      <c r="M9" s="16">
        <f t="shared" si="0"/>
        <v>5289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0.99981096408317582</v>
      </c>
      <c r="AC9" s="9">
        <f t="shared" si="5"/>
        <v>1</v>
      </c>
      <c r="AD9" s="10">
        <f t="shared" si="6"/>
        <v>0.99981096408317582</v>
      </c>
      <c r="AE9" s="39">
        <f t="shared" si="7"/>
        <v>0.56269482883224564</v>
      </c>
      <c r="AF9" s="94">
        <f t="shared" ref="AF9" si="9">A9</f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1200</v>
      </c>
      <c r="K10" s="15">
        <f>L10+2928+5697+2831+3697+5889+4241+5564+2325</f>
        <v>34363</v>
      </c>
      <c r="L10" s="15">
        <f>1191</f>
        <v>1191</v>
      </c>
      <c r="M10" s="16">
        <f t="shared" si="0"/>
        <v>1191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>
        <v>16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0.99250000000000005</v>
      </c>
      <c r="AC10" s="9">
        <f t="shared" si="5"/>
        <v>0.33333333333333331</v>
      </c>
      <c r="AD10" s="10">
        <f t="shared" si="6"/>
        <v>0.33083333333333331</v>
      </c>
      <c r="AE10" s="39">
        <f t="shared" si="7"/>
        <v>0.56269482883224564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370</v>
      </c>
      <c r="D11" s="55" t="s">
        <v>836</v>
      </c>
      <c r="E11" s="56" t="s">
        <v>837</v>
      </c>
      <c r="F11" s="12" t="s">
        <v>838</v>
      </c>
      <c r="G11" s="12">
        <v>1</v>
      </c>
      <c r="H11" s="13">
        <v>25</v>
      </c>
      <c r="I11" s="34">
        <v>6000</v>
      </c>
      <c r="J11" s="14">
        <v>4350</v>
      </c>
      <c r="K11" s="15">
        <f>L11</f>
        <v>4344</v>
      </c>
      <c r="L11" s="15">
        <f>3382+962</f>
        <v>4344</v>
      </c>
      <c r="M11" s="16">
        <f t="shared" si="0"/>
        <v>4344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/>
      <c r="T11" s="17">
        <v>4</v>
      </c>
      <c r="U11" s="17"/>
      <c r="V11" s="18"/>
      <c r="W11" s="19"/>
      <c r="X11" s="17"/>
      <c r="Y11" s="20"/>
      <c r="Z11" s="20"/>
      <c r="AA11" s="21"/>
      <c r="AB11" s="8">
        <f t="shared" si="4"/>
        <v>0.99862068965517237</v>
      </c>
      <c r="AC11" s="9">
        <f t="shared" si="5"/>
        <v>0.83333333333333337</v>
      </c>
      <c r="AD11" s="10">
        <f t="shared" si="6"/>
        <v>0.83218390804597697</v>
      </c>
      <c r="AE11" s="39">
        <f t="shared" si="7"/>
        <v>0.56269482883224564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167</v>
      </c>
      <c r="D12" s="55" t="s">
        <v>776</v>
      </c>
      <c r="E12" s="57" t="s">
        <v>820</v>
      </c>
      <c r="F12" s="12" t="s">
        <v>821</v>
      </c>
      <c r="G12" s="12">
        <v>1</v>
      </c>
      <c r="H12" s="13">
        <v>25</v>
      </c>
      <c r="I12" s="7">
        <v>62000</v>
      </c>
      <c r="J12" s="14">
        <v>3960</v>
      </c>
      <c r="K12" s="15">
        <f>L12+3062</f>
        <v>7017</v>
      </c>
      <c r="L12" s="15">
        <f>2461+1494</f>
        <v>3955</v>
      </c>
      <c r="M12" s="16">
        <f t="shared" si="0"/>
        <v>3955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0.9987373737373737</v>
      </c>
      <c r="AC12" s="9">
        <f t="shared" si="5"/>
        <v>1</v>
      </c>
      <c r="AD12" s="10">
        <f t="shared" si="6"/>
        <v>0.9987373737373737</v>
      </c>
      <c r="AE12" s="39">
        <f t="shared" si="7"/>
        <v>0.56269482883224564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225</v>
      </c>
      <c r="E13" s="57" t="s">
        <v>822</v>
      </c>
      <c r="F13" s="12" t="s">
        <v>329</v>
      </c>
      <c r="G13" s="12">
        <v>1</v>
      </c>
      <c r="H13" s="13">
        <v>25</v>
      </c>
      <c r="I13" s="7">
        <v>4000</v>
      </c>
      <c r="J13" s="14">
        <v>2950</v>
      </c>
      <c r="K13" s="15">
        <f>L13+1579</f>
        <v>4525</v>
      </c>
      <c r="L13" s="15">
        <f>2842+104</f>
        <v>2946</v>
      </c>
      <c r="M13" s="16">
        <f t="shared" si="0"/>
        <v>2946</v>
      </c>
      <c r="N13" s="16">
        <v>0</v>
      </c>
      <c r="O13" s="62">
        <f t="shared" si="1"/>
        <v>0</v>
      </c>
      <c r="P13" s="42">
        <f t="shared" si="2"/>
        <v>17</v>
      </c>
      <c r="Q13" s="43">
        <f t="shared" si="3"/>
        <v>7</v>
      </c>
      <c r="R13" s="7"/>
      <c r="S13" s="6">
        <v>7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0.99864406779661019</v>
      </c>
      <c r="AC13" s="9">
        <f t="shared" si="5"/>
        <v>0.70833333333333337</v>
      </c>
      <c r="AD13" s="10">
        <f t="shared" si="6"/>
        <v>0.70737288135593224</v>
      </c>
      <c r="AE13" s="39">
        <f t="shared" si="7"/>
        <v>0.56269482883224564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370</v>
      </c>
      <c r="D14" s="55" t="s">
        <v>58</v>
      </c>
      <c r="E14" s="57" t="s">
        <v>839</v>
      </c>
      <c r="F14" s="33" t="s">
        <v>840</v>
      </c>
      <c r="G14" s="36">
        <v>1</v>
      </c>
      <c r="H14" s="38">
        <v>25</v>
      </c>
      <c r="I14" s="7">
        <v>500</v>
      </c>
      <c r="J14" s="5">
        <v>50</v>
      </c>
      <c r="K14" s="15">
        <f>L14</f>
        <v>47</v>
      </c>
      <c r="L14" s="15">
        <v>47</v>
      </c>
      <c r="M14" s="16">
        <f t="shared" si="0"/>
        <v>47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0.94</v>
      </c>
      <c r="AC14" s="9">
        <f t="shared" si="5"/>
        <v>0.16666666666666666</v>
      </c>
      <c r="AD14" s="10">
        <f t="shared" si="6"/>
        <v>0.15666666666666665</v>
      </c>
      <c r="AE14" s="39">
        <f t="shared" si="7"/>
        <v>0.56269482883224564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137</v>
      </c>
      <c r="D15" s="55" t="s">
        <v>440</v>
      </c>
      <c r="E15" s="57" t="s">
        <v>751</v>
      </c>
      <c r="F15" s="12" t="s">
        <v>752</v>
      </c>
      <c r="G15" s="12">
        <v>4</v>
      </c>
      <c r="H15" s="13">
        <v>20</v>
      </c>
      <c r="I15" s="34">
        <v>25000</v>
      </c>
      <c r="J15" s="14">
        <v>15880</v>
      </c>
      <c r="K15" s="15">
        <f>L15+17036+15880</f>
        <v>32916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0.56269482883224564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205</v>
      </c>
      <c r="E16" s="56" t="s">
        <v>343</v>
      </c>
      <c r="F16" s="12">
        <v>7301</v>
      </c>
      <c r="G16" s="36">
        <v>1</v>
      </c>
      <c r="H16" s="38">
        <v>25</v>
      </c>
      <c r="I16" s="7">
        <v>28000</v>
      </c>
      <c r="J16" s="14">
        <v>4520</v>
      </c>
      <c r="K16" s="15">
        <f>L16+2401+4876+4853+4860</f>
        <v>21507</v>
      </c>
      <c r="L16" s="15">
        <f>2500+2017</f>
        <v>4517</v>
      </c>
      <c r="M16" s="16">
        <f t="shared" si="0"/>
        <v>4517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0.99933628318584067</v>
      </c>
      <c r="AC16" s="9">
        <f t="shared" si="5"/>
        <v>1</v>
      </c>
      <c r="AD16" s="10">
        <f t="shared" si="6"/>
        <v>0.99933628318584067</v>
      </c>
      <c r="AE16" s="39">
        <f t="shared" si="7"/>
        <v>0.56269482883224564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137</v>
      </c>
      <c r="D17" s="55" t="s">
        <v>753</v>
      </c>
      <c r="E17" s="56" t="s">
        <v>754</v>
      </c>
      <c r="F17" s="12" t="s">
        <v>755</v>
      </c>
      <c r="G17" s="12">
        <v>2</v>
      </c>
      <c r="H17" s="13">
        <v>25</v>
      </c>
      <c r="I17" s="34">
        <v>25000</v>
      </c>
      <c r="J17" s="5">
        <v>11710</v>
      </c>
      <c r="K17" s="15">
        <f>L17+6834+11518+11724</f>
        <v>41780</v>
      </c>
      <c r="L17" s="15">
        <f>3426*2+2426*2</f>
        <v>11704</v>
      </c>
      <c r="M17" s="16">
        <f t="shared" si="0"/>
        <v>11704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0.99948761742100767</v>
      </c>
      <c r="AC17" s="9">
        <f t="shared" si="5"/>
        <v>1</v>
      </c>
      <c r="AD17" s="10">
        <f t="shared" si="6"/>
        <v>0.99948761742100767</v>
      </c>
      <c r="AE17" s="39">
        <f t="shared" si="7"/>
        <v>0.56269482883224564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753</v>
      </c>
      <c r="E18" s="57" t="s">
        <v>784</v>
      </c>
      <c r="F18" s="33" t="s">
        <v>227</v>
      </c>
      <c r="G18" s="36">
        <v>1</v>
      </c>
      <c r="H18" s="38">
        <v>25</v>
      </c>
      <c r="I18" s="7">
        <v>62000</v>
      </c>
      <c r="J18" s="5">
        <v>1982</v>
      </c>
      <c r="K18" s="15">
        <f>L18+2232+4609</f>
        <v>8823</v>
      </c>
      <c r="L18" s="15">
        <f>1921+61</f>
        <v>1982</v>
      </c>
      <c r="M18" s="16">
        <f t="shared" si="0"/>
        <v>1982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>
        <v>14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9">
        <f t="shared" si="7"/>
        <v>0.56269482883224564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11" t="s">
        <v>167</v>
      </c>
      <c r="D19" s="55" t="s">
        <v>776</v>
      </c>
      <c r="E19" s="56" t="s">
        <v>785</v>
      </c>
      <c r="F19" s="12" t="s">
        <v>786</v>
      </c>
      <c r="G19" s="12">
        <v>1</v>
      </c>
      <c r="H19" s="38">
        <v>25</v>
      </c>
      <c r="I19" s="34">
        <v>45000</v>
      </c>
      <c r="J19" s="5">
        <v>5195</v>
      </c>
      <c r="K19" s="15">
        <f>L19+4457+5150</f>
        <v>14801</v>
      </c>
      <c r="L19" s="15">
        <f>3034+2160</f>
        <v>5194</v>
      </c>
      <c r="M19" s="16">
        <f t="shared" si="0"/>
        <v>5194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0.99980750721847933</v>
      </c>
      <c r="AC19" s="9">
        <f t="shared" si="5"/>
        <v>1</v>
      </c>
      <c r="AD19" s="10">
        <f t="shared" si="6"/>
        <v>0.99980750721847933</v>
      </c>
      <c r="AE19" s="39">
        <f t="shared" si="7"/>
        <v>0.56269482883224564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32870</v>
      </c>
      <c r="K20" s="15">
        <f>L20+28820+65228+31484+54604+68244+65068+68920+32864</f>
        <v>415232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12</v>
      </c>
      <c r="R20" s="7"/>
      <c r="S20" s="6"/>
      <c r="T20" s="17"/>
      <c r="U20" s="17"/>
      <c r="V20" s="18"/>
      <c r="W20" s="19">
        <v>12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0.56269482883224564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0">SUM(I6:I20)</f>
        <v>627500</v>
      </c>
      <c r="J21" s="22">
        <f t="shared" si="10"/>
        <v>96197</v>
      </c>
      <c r="K21" s="23">
        <f t="shared" si="10"/>
        <v>615387</v>
      </c>
      <c r="L21" s="24">
        <f t="shared" si="10"/>
        <v>47406</v>
      </c>
      <c r="M21" s="23">
        <f t="shared" si="10"/>
        <v>47406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203</v>
      </c>
      <c r="Q21" s="46">
        <f t="shared" si="11"/>
        <v>145</v>
      </c>
      <c r="R21" s="26">
        <f t="shared" si="11"/>
        <v>24</v>
      </c>
      <c r="S21" s="27">
        <f t="shared" si="11"/>
        <v>57</v>
      </c>
      <c r="T21" s="27">
        <f t="shared" si="11"/>
        <v>4</v>
      </c>
      <c r="U21" s="27">
        <f t="shared" si="11"/>
        <v>0</v>
      </c>
      <c r="V21" s="28">
        <f t="shared" si="11"/>
        <v>0</v>
      </c>
      <c r="W21" s="29">
        <f t="shared" si="11"/>
        <v>60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0.72843091559112594</v>
      </c>
      <c r="AC21" s="4">
        <f>SUM(AC6:AC20)/15</f>
        <v>0.56388888888888888</v>
      </c>
      <c r="AD21" s="4">
        <f>SUM(AD6:AD20)/15</f>
        <v>0.56269482883224564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841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851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304" t="s">
        <v>47</v>
      </c>
      <c r="D50" s="304" t="s">
        <v>48</v>
      </c>
      <c r="E50" s="304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304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788</v>
      </c>
      <c r="B51" s="410"/>
      <c r="C51" s="303" t="s">
        <v>842</v>
      </c>
      <c r="D51" s="300" t="s">
        <v>799</v>
      </c>
      <c r="E51" s="303" t="s">
        <v>843</v>
      </c>
      <c r="F51" s="394" t="s">
        <v>844</v>
      </c>
      <c r="G51" s="394"/>
      <c r="H51" s="394"/>
      <c r="I51" s="394"/>
      <c r="J51" s="394"/>
      <c r="K51" s="394"/>
      <c r="L51" s="394"/>
      <c r="M51" s="404"/>
      <c r="N51" s="299" t="s">
        <v>829</v>
      </c>
      <c r="O51" s="74" t="s">
        <v>301</v>
      </c>
      <c r="P51" s="411" t="s">
        <v>753</v>
      </c>
      <c r="Q51" s="412"/>
      <c r="R51" s="403" t="s">
        <v>830</v>
      </c>
      <c r="S51" s="403"/>
      <c r="T51" s="403"/>
      <c r="U51" s="403"/>
      <c r="V51" s="394" t="s">
        <v>852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825</v>
      </c>
      <c r="B52" s="410"/>
      <c r="C52" s="303" t="s">
        <v>301</v>
      </c>
      <c r="D52" s="300" t="s">
        <v>753</v>
      </c>
      <c r="E52" s="303" t="s">
        <v>830</v>
      </c>
      <c r="F52" s="394" t="s">
        <v>845</v>
      </c>
      <c r="G52" s="394"/>
      <c r="H52" s="394"/>
      <c r="I52" s="394"/>
      <c r="J52" s="394"/>
      <c r="K52" s="394"/>
      <c r="L52" s="394"/>
      <c r="M52" s="404"/>
      <c r="N52" s="299" t="s">
        <v>118</v>
      </c>
      <c r="O52" s="74" t="s">
        <v>466</v>
      </c>
      <c r="P52" s="411" t="s">
        <v>776</v>
      </c>
      <c r="Q52" s="412"/>
      <c r="R52" s="403" t="s">
        <v>831</v>
      </c>
      <c r="S52" s="403"/>
      <c r="T52" s="403"/>
      <c r="U52" s="403"/>
      <c r="V52" s="394" t="s">
        <v>852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847</v>
      </c>
      <c r="B53" s="410"/>
      <c r="C53" s="303" t="s">
        <v>323</v>
      </c>
      <c r="D53" s="300" t="s">
        <v>836</v>
      </c>
      <c r="E53" s="303" t="s">
        <v>837</v>
      </c>
      <c r="F53" s="394" t="s">
        <v>177</v>
      </c>
      <c r="G53" s="394"/>
      <c r="H53" s="394"/>
      <c r="I53" s="394"/>
      <c r="J53" s="394"/>
      <c r="K53" s="394"/>
      <c r="L53" s="394"/>
      <c r="M53" s="404"/>
      <c r="N53" s="299" t="s">
        <v>854</v>
      </c>
      <c r="O53" s="74" t="s">
        <v>855</v>
      </c>
      <c r="P53" s="411" t="s">
        <v>856</v>
      </c>
      <c r="Q53" s="412"/>
      <c r="R53" s="403" t="s">
        <v>853</v>
      </c>
      <c r="S53" s="403"/>
      <c r="T53" s="403"/>
      <c r="U53" s="403"/>
      <c r="V53" s="394" t="s">
        <v>852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772</v>
      </c>
      <c r="B54" s="410"/>
      <c r="C54" s="303" t="s">
        <v>274</v>
      </c>
      <c r="D54" s="300" t="s">
        <v>800</v>
      </c>
      <c r="E54" s="303" t="s">
        <v>822</v>
      </c>
      <c r="F54" s="394" t="s">
        <v>846</v>
      </c>
      <c r="G54" s="394"/>
      <c r="H54" s="394"/>
      <c r="I54" s="394"/>
      <c r="J54" s="394"/>
      <c r="K54" s="394"/>
      <c r="L54" s="394"/>
      <c r="M54" s="404"/>
      <c r="N54" s="299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370</v>
      </c>
      <c r="B55" s="410"/>
      <c r="C55" s="303" t="s">
        <v>848</v>
      </c>
      <c r="D55" s="300" t="s">
        <v>849</v>
      </c>
      <c r="E55" s="303" t="s">
        <v>839</v>
      </c>
      <c r="F55" s="394" t="s">
        <v>850</v>
      </c>
      <c r="G55" s="394"/>
      <c r="H55" s="394"/>
      <c r="I55" s="394"/>
      <c r="J55" s="394"/>
      <c r="K55" s="394"/>
      <c r="L55" s="394"/>
      <c r="M55" s="404"/>
      <c r="N55" s="299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303"/>
      <c r="D56" s="300"/>
      <c r="E56" s="303"/>
      <c r="F56" s="394"/>
      <c r="G56" s="394"/>
      <c r="H56" s="394"/>
      <c r="I56" s="394"/>
      <c r="J56" s="394"/>
      <c r="K56" s="394"/>
      <c r="L56" s="394"/>
      <c r="M56" s="404"/>
      <c r="N56" s="299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303"/>
      <c r="D57" s="300"/>
      <c r="E57" s="303"/>
      <c r="F57" s="394"/>
      <c r="G57" s="394"/>
      <c r="H57" s="394"/>
      <c r="I57" s="394"/>
      <c r="J57" s="394"/>
      <c r="K57" s="394"/>
      <c r="L57" s="394"/>
      <c r="M57" s="404"/>
      <c r="N57" s="299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303"/>
      <c r="D58" s="300"/>
      <c r="E58" s="303"/>
      <c r="F58" s="394"/>
      <c r="G58" s="394"/>
      <c r="H58" s="394"/>
      <c r="I58" s="394"/>
      <c r="J58" s="394"/>
      <c r="K58" s="394"/>
      <c r="L58" s="394"/>
      <c r="M58" s="404"/>
      <c r="N58" s="299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300"/>
      <c r="D59" s="300"/>
      <c r="E59" s="300"/>
      <c r="F59" s="394"/>
      <c r="G59" s="394"/>
      <c r="H59" s="394"/>
      <c r="I59" s="394"/>
      <c r="J59" s="394"/>
      <c r="K59" s="394"/>
      <c r="L59" s="394"/>
      <c r="M59" s="404"/>
      <c r="N59" s="299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302"/>
      <c r="D60" s="302"/>
      <c r="E60" s="302"/>
      <c r="F60" s="407"/>
      <c r="G60" s="407"/>
      <c r="H60" s="407"/>
      <c r="I60" s="407"/>
      <c r="J60" s="407"/>
      <c r="K60" s="407"/>
      <c r="L60" s="407"/>
      <c r="M60" s="408"/>
      <c r="N60" s="301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857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298" t="s">
        <v>2</v>
      </c>
      <c r="D62" s="298" t="s">
        <v>38</v>
      </c>
      <c r="E62" s="298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298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294"/>
      <c r="E63" s="296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294"/>
      <c r="E64" s="296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294"/>
      <c r="E65" s="296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294"/>
      <c r="E66" s="296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294"/>
      <c r="E67" s="296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294"/>
      <c r="E68" s="296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294"/>
      <c r="E69" s="296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294"/>
      <c r="E70" s="296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858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297" t="s">
        <v>2</v>
      </c>
      <c r="D72" s="297" t="s">
        <v>38</v>
      </c>
      <c r="E72" s="297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295" t="s">
        <v>118</v>
      </c>
      <c r="D73" s="295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294" t="s">
        <v>118</v>
      </c>
      <c r="D74" s="294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2">A74+1</f>
        <v>3</v>
      </c>
      <c r="B75" s="351"/>
      <c r="C75" s="294" t="s">
        <v>137</v>
      </c>
      <c r="D75" s="294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2"/>
        <v>4</v>
      </c>
      <c r="B76" s="351"/>
      <c r="C76" s="294" t="s">
        <v>119</v>
      </c>
      <c r="D76" s="294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2"/>
        <v>5</v>
      </c>
      <c r="B77" s="351"/>
      <c r="C77" s="294" t="s">
        <v>118</v>
      </c>
      <c r="D77" s="294"/>
      <c r="E77" s="35" t="s">
        <v>157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43033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2"/>
        <v>6</v>
      </c>
      <c r="B78" s="351"/>
      <c r="C78" s="294"/>
      <c r="D78" s="294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2"/>
        <v>7</v>
      </c>
      <c r="B79" s="351"/>
      <c r="C79" s="294"/>
      <c r="D79" s="294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2"/>
        <v>8</v>
      </c>
      <c r="B80" s="351"/>
      <c r="C80" s="294"/>
      <c r="D80" s="294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2"/>
        <v>9</v>
      </c>
      <c r="B81" s="351"/>
      <c r="C81" s="294"/>
      <c r="D81" s="294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859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7" sqref="F57:M5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860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306" t="s">
        <v>17</v>
      </c>
      <c r="L5" s="306" t="s">
        <v>18</v>
      </c>
      <c r="M5" s="306" t="s">
        <v>19</v>
      </c>
      <c r="N5" s="30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0.23286925434885672</v>
      </c>
      <c r="AF6" s="94">
        <f t="shared" ref="AF6:AF20" si="8">A6</f>
        <v>1</v>
      </c>
    </row>
    <row r="7" spans="1:36" ht="27" customHeight="1">
      <c r="A7" s="108">
        <v>2</v>
      </c>
      <c r="B7" s="11"/>
      <c r="C7" s="37"/>
      <c r="D7" s="55"/>
      <c r="E7" s="57"/>
      <c r="F7" s="33"/>
      <c r="G7" s="12"/>
      <c r="H7" s="13"/>
      <c r="I7" s="34"/>
      <c r="J7" s="5"/>
      <c r="K7" s="15"/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0.23286925434885672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781</v>
      </c>
      <c r="E8" s="56" t="s">
        <v>782</v>
      </c>
      <c r="F8" s="12">
        <v>7301</v>
      </c>
      <c r="G8" s="12">
        <v>1</v>
      </c>
      <c r="H8" s="13">
        <v>25</v>
      </c>
      <c r="I8" s="34">
        <v>5000</v>
      </c>
      <c r="J8" s="14">
        <v>2360</v>
      </c>
      <c r="K8" s="15">
        <f>L8+5675+351+3524+6467+6237</f>
        <v>24610</v>
      </c>
      <c r="L8" s="15">
        <v>2356</v>
      </c>
      <c r="M8" s="16">
        <f t="shared" si="0"/>
        <v>2356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/>
      <c r="T8" s="17"/>
      <c r="U8" s="17"/>
      <c r="V8" s="18">
        <v>14</v>
      </c>
      <c r="W8" s="19"/>
      <c r="X8" s="17"/>
      <c r="Y8" s="20"/>
      <c r="Z8" s="20"/>
      <c r="AA8" s="21"/>
      <c r="AB8" s="8">
        <f t="shared" si="4"/>
        <v>0.99830508474576274</v>
      </c>
      <c r="AC8" s="9">
        <f t="shared" si="5"/>
        <v>0.41666666666666669</v>
      </c>
      <c r="AD8" s="10">
        <f t="shared" si="6"/>
        <v>0.41596045197740117</v>
      </c>
      <c r="AE8" s="39">
        <f t="shared" si="7"/>
        <v>0.23286925434885672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167</v>
      </c>
      <c r="D9" s="55" t="s">
        <v>753</v>
      </c>
      <c r="E9" s="57" t="s">
        <v>818</v>
      </c>
      <c r="F9" s="33" t="s">
        <v>819</v>
      </c>
      <c r="G9" s="36">
        <v>1</v>
      </c>
      <c r="H9" s="38">
        <v>25</v>
      </c>
      <c r="I9" s="7">
        <v>10000</v>
      </c>
      <c r="J9" s="5">
        <v>2510</v>
      </c>
      <c r="K9" s="15">
        <f>L9+2489+5289</f>
        <v>10284</v>
      </c>
      <c r="L9" s="15">
        <v>2506</v>
      </c>
      <c r="M9" s="16">
        <f t="shared" si="0"/>
        <v>2506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>
        <v>14</v>
      </c>
      <c r="W9" s="19"/>
      <c r="X9" s="17"/>
      <c r="Y9" s="20"/>
      <c r="Z9" s="20"/>
      <c r="AA9" s="21"/>
      <c r="AB9" s="8">
        <f t="shared" si="4"/>
        <v>0.99840637450199199</v>
      </c>
      <c r="AC9" s="9">
        <f t="shared" si="5"/>
        <v>0.41666666666666669</v>
      </c>
      <c r="AD9" s="10">
        <f t="shared" si="6"/>
        <v>0.4160026560424967</v>
      </c>
      <c r="AE9" s="39">
        <f t="shared" si="7"/>
        <v>0.23286925434885672</v>
      </c>
      <c r="AF9" s="94">
        <f t="shared" ref="AF9" si="9">A9</f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453</v>
      </c>
      <c r="G10" s="12">
        <v>1</v>
      </c>
      <c r="H10" s="13">
        <v>25</v>
      </c>
      <c r="I10" s="34">
        <v>55000</v>
      </c>
      <c r="J10" s="14">
        <v>1010</v>
      </c>
      <c r="K10" s="15">
        <f>L10+2928+5697+2831+3697+5889+4241+5564+2325+1191</f>
        <v>35370</v>
      </c>
      <c r="L10" s="15">
        <v>1007</v>
      </c>
      <c r="M10" s="16">
        <f t="shared" si="0"/>
        <v>1007</v>
      </c>
      <c r="N10" s="16">
        <v>0</v>
      </c>
      <c r="O10" s="62">
        <f t="shared" si="1"/>
        <v>0</v>
      </c>
      <c r="P10" s="42">
        <f t="shared" si="2"/>
        <v>7</v>
      </c>
      <c r="Q10" s="43">
        <f t="shared" si="3"/>
        <v>17</v>
      </c>
      <c r="R10" s="7"/>
      <c r="S10" s="6">
        <v>3</v>
      </c>
      <c r="T10" s="17"/>
      <c r="U10" s="17"/>
      <c r="V10" s="18">
        <v>14</v>
      </c>
      <c r="W10" s="19"/>
      <c r="X10" s="17"/>
      <c r="Y10" s="20"/>
      <c r="Z10" s="20"/>
      <c r="AA10" s="21"/>
      <c r="AB10" s="8">
        <f t="shared" si="4"/>
        <v>0.99702970297029703</v>
      </c>
      <c r="AC10" s="9">
        <f t="shared" si="5"/>
        <v>0.29166666666666669</v>
      </c>
      <c r="AD10" s="10">
        <f t="shared" si="6"/>
        <v>0.29080033003300332</v>
      </c>
      <c r="AE10" s="39">
        <f t="shared" si="7"/>
        <v>0.23286925434885672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370</v>
      </c>
      <c r="D11" s="55" t="s">
        <v>836</v>
      </c>
      <c r="E11" s="56" t="s">
        <v>837</v>
      </c>
      <c r="F11" s="12" t="s">
        <v>838</v>
      </c>
      <c r="G11" s="12">
        <v>1</v>
      </c>
      <c r="H11" s="13">
        <v>25</v>
      </c>
      <c r="I11" s="34">
        <v>6000</v>
      </c>
      <c r="J11" s="14">
        <v>871</v>
      </c>
      <c r="K11" s="15">
        <f>L11+4344</f>
        <v>5215</v>
      </c>
      <c r="L11" s="15">
        <v>871</v>
      </c>
      <c r="M11" s="16">
        <f t="shared" si="0"/>
        <v>871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0.23286925434885672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167</v>
      </c>
      <c r="D12" s="55" t="s">
        <v>776</v>
      </c>
      <c r="E12" s="57" t="s">
        <v>820</v>
      </c>
      <c r="F12" s="12" t="s">
        <v>821</v>
      </c>
      <c r="G12" s="12">
        <v>1</v>
      </c>
      <c r="H12" s="13">
        <v>25</v>
      </c>
      <c r="I12" s="7">
        <v>62000</v>
      </c>
      <c r="J12" s="14">
        <v>2270</v>
      </c>
      <c r="K12" s="15">
        <f>L12+3062+3955</f>
        <v>9279</v>
      </c>
      <c r="L12" s="15">
        <v>2262</v>
      </c>
      <c r="M12" s="16">
        <f t="shared" si="0"/>
        <v>2262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>
        <v>14</v>
      </c>
      <c r="W12" s="19"/>
      <c r="X12" s="17"/>
      <c r="Y12" s="20"/>
      <c r="Z12" s="20"/>
      <c r="AA12" s="21"/>
      <c r="AB12" s="8">
        <f t="shared" si="4"/>
        <v>0.99647577092511008</v>
      </c>
      <c r="AC12" s="9">
        <f t="shared" si="5"/>
        <v>0.41666666666666669</v>
      </c>
      <c r="AD12" s="10">
        <f t="shared" si="6"/>
        <v>0.41519823788546256</v>
      </c>
      <c r="AE12" s="39">
        <f t="shared" si="7"/>
        <v>0.23286925434885672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225</v>
      </c>
      <c r="E13" s="57" t="s">
        <v>822</v>
      </c>
      <c r="F13" s="12" t="s">
        <v>329</v>
      </c>
      <c r="G13" s="12">
        <v>1</v>
      </c>
      <c r="H13" s="13">
        <v>25</v>
      </c>
      <c r="I13" s="7">
        <v>4000</v>
      </c>
      <c r="J13" s="14">
        <v>2630</v>
      </c>
      <c r="K13" s="15">
        <f>L13+1579+2946</f>
        <v>7153</v>
      </c>
      <c r="L13" s="15">
        <v>2628</v>
      </c>
      <c r="M13" s="16">
        <f t="shared" si="0"/>
        <v>2628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>
        <v>14</v>
      </c>
      <c r="W13" s="19"/>
      <c r="X13" s="17"/>
      <c r="Y13" s="20"/>
      <c r="Z13" s="20"/>
      <c r="AA13" s="21"/>
      <c r="AB13" s="8">
        <f t="shared" si="4"/>
        <v>0.99923954372623569</v>
      </c>
      <c r="AC13" s="9">
        <f t="shared" si="5"/>
        <v>0.41666666666666669</v>
      </c>
      <c r="AD13" s="10">
        <f t="shared" si="6"/>
        <v>0.41634980988593157</v>
      </c>
      <c r="AE13" s="39">
        <f t="shared" si="7"/>
        <v>0.23286925434885672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370</v>
      </c>
      <c r="D14" s="55" t="s">
        <v>58</v>
      </c>
      <c r="E14" s="57" t="s">
        <v>839</v>
      </c>
      <c r="F14" s="33" t="s">
        <v>840</v>
      </c>
      <c r="G14" s="36">
        <v>1</v>
      </c>
      <c r="H14" s="38">
        <v>25</v>
      </c>
      <c r="I14" s="7">
        <v>500</v>
      </c>
      <c r="J14" s="5">
        <v>150</v>
      </c>
      <c r="K14" s="15">
        <f>L14+47</f>
        <v>197</v>
      </c>
      <c r="L14" s="15">
        <v>150</v>
      </c>
      <c r="M14" s="16">
        <f t="shared" si="0"/>
        <v>150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>
        <v>19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0.23286925434885672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137</v>
      </c>
      <c r="D15" s="55" t="s">
        <v>440</v>
      </c>
      <c r="E15" s="57" t="s">
        <v>751</v>
      </c>
      <c r="F15" s="12" t="s">
        <v>752</v>
      </c>
      <c r="G15" s="12">
        <v>4</v>
      </c>
      <c r="H15" s="13">
        <v>20</v>
      </c>
      <c r="I15" s="34">
        <v>25000</v>
      </c>
      <c r="J15" s="14">
        <v>15880</v>
      </c>
      <c r="K15" s="15">
        <f>L15+17036+15880</f>
        <v>32916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0.23286925434885672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205</v>
      </c>
      <c r="E16" s="56" t="s">
        <v>343</v>
      </c>
      <c r="F16" s="12">
        <v>7301</v>
      </c>
      <c r="G16" s="36">
        <v>1</v>
      </c>
      <c r="H16" s="38">
        <v>25</v>
      </c>
      <c r="I16" s="7">
        <v>28000</v>
      </c>
      <c r="J16" s="14">
        <v>2140</v>
      </c>
      <c r="K16" s="15">
        <f>L16+2401+4876+4853+4860+4517</f>
        <v>23642</v>
      </c>
      <c r="L16" s="15">
        <v>2135</v>
      </c>
      <c r="M16" s="16">
        <f t="shared" si="0"/>
        <v>2135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>
        <v>14</v>
      </c>
      <c r="W16" s="19"/>
      <c r="X16" s="17"/>
      <c r="Y16" s="20"/>
      <c r="Z16" s="20"/>
      <c r="AA16" s="21"/>
      <c r="AB16" s="8">
        <f t="shared" si="4"/>
        <v>0.99766355140186913</v>
      </c>
      <c r="AC16" s="9">
        <f t="shared" si="5"/>
        <v>0.41666666666666669</v>
      </c>
      <c r="AD16" s="10">
        <f t="shared" si="6"/>
        <v>0.41569314641744548</v>
      </c>
      <c r="AE16" s="39">
        <f t="shared" si="7"/>
        <v>0.23286925434885672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137</v>
      </c>
      <c r="D17" s="55" t="s">
        <v>753</v>
      </c>
      <c r="E17" s="56" t="s">
        <v>754</v>
      </c>
      <c r="F17" s="12" t="s">
        <v>755</v>
      </c>
      <c r="G17" s="12">
        <v>2</v>
      </c>
      <c r="H17" s="13">
        <v>25</v>
      </c>
      <c r="I17" s="34">
        <v>25000</v>
      </c>
      <c r="J17" s="5">
        <v>11710</v>
      </c>
      <c r="K17" s="15">
        <f>L17+6834+11518+11724+11704</f>
        <v>41780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0.23286925434885672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753</v>
      </c>
      <c r="E18" s="57" t="s">
        <v>784</v>
      </c>
      <c r="F18" s="33" t="s">
        <v>227</v>
      </c>
      <c r="G18" s="36">
        <v>1</v>
      </c>
      <c r="H18" s="38">
        <v>25</v>
      </c>
      <c r="I18" s="7">
        <v>62000</v>
      </c>
      <c r="J18" s="5">
        <v>1140</v>
      </c>
      <c r="K18" s="15">
        <f>L18+2232+4609+1982</f>
        <v>9960</v>
      </c>
      <c r="L18" s="15">
        <v>1137</v>
      </c>
      <c r="M18" s="16">
        <f t="shared" si="0"/>
        <v>1137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>
        <v>4</v>
      </c>
      <c r="T18" s="17"/>
      <c r="U18" s="17"/>
      <c r="V18" s="18">
        <v>14</v>
      </c>
      <c r="W18" s="19"/>
      <c r="X18" s="17"/>
      <c r="Y18" s="20"/>
      <c r="Z18" s="20"/>
      <c r="AA18" s="21"/>
      <c r="AB18" s="8">
        <f t="shared" si="4"/>
        <v>0.99736842105263157</v>
      </c>
      <c r="AC18" s="9">
        <f t="shared" si="5"/>
        <v>0.25</v>
      </c>
      <c r="AD18" s="10">
        <f t="shared" si="6"/>
        <v>0.24934210526315789</v>
      </c>
      <c r="AE18" s="39">
        <f t="shared" si="7"/>
        <v>0.23286925434885672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11" t="s">
        <v>167</v>
      </c>
      <c r="D19" s="55" t="s">
        <v>776</v>
      </c>
      <c r="E19" s="56" t="s">
        <v>785</v>
      </c>
      <c r="F19" s="12" t="s">
        <v>786</v>
      </c>
      <c r="G19" s="12">
        <v>1</v>
      </c>
      <c r="H19" s="38">
        <v>25</v>
      </c>
      <c r="I19" s="34">
        <v>45000</v>
      </c>
      <c r="J19" s="5">
        <v>2230</v>
      </c>
      <c r="K19" s="15">
        <f>L19+4457+5150+5194</f>
        <v>17024</v>
      </c>
      <c r="L19" s="15">
        <v>2223</v>
      </c>
      <c r="M19" s="16">
        <f t="shared" si="0"/>
        <v>2223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>
        <v>14</v>
      </c>
      <c r="W19" s="19"/>
      <c r="X19" s="17"/>
      <c r="Y19" s="20"/>
      <c r="Z19" s="20"/>
      <c r="AA19" s="21"/>
      <c r="AB19" s="8">
        <f t="shared" si="4"/>
        <v>0.99686098654708521</v>
      </c>
      <c r="AC19" s="9">
        <f t="shared" si="5"/>
        <v>0.41666666666666669</v>
      </c>
      <c r="AD19" s="10">
        <f t="shared" si="6"/>
        <v>0.41535874439461884</v>
      </c>
      <c r="AE19" s="39">
        <f t="shared" si="7"/>
        <v>0.23286925434885672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32870</v>
      </c>
      <c r="K20" s="15">
        <f>L20+28820+65228+31484+54604+68244+65068+68920+32864</f>
        <v>415232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0.23286925434885672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0">SUM(I6:I20)</f>
        <v>627500</v>
      </c>
      <c r="J21" s="22">
        <f t="shared" si="10"/>
        <v>77771</v>
      </c>
      <c r="K21" s="23">
        <f t="shared" si="10"/>
        <v>632662</v>
      </c>
      <c r="L21" s="24">
        <f t="shared" si="10"/>
        <v>17275</v>
      </c>
      <c r="M21" s="23">
        <f t="shared" si="10"/>
        <v>17275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84</v>
      </c>
      <c r="Q21" s="46">
        <f t="shared" si="11"/>
        <v>276</v>
      </c>
      <c r="R21" s="26">
        <f t="shared" si="11"/>
        <v>24</v>
      </c>
      <c r="S21" s="27">
        <f t="shared" si="11"/>
        <v>26</v>
      </c>
      <c r="T21" s="27">
        <f t="shared" si="11"/>
        <v>0</v>
      </c>
      <c r="U21" s="27">
        <f t="shared" si="11"/>
        <v>0</v>
      </c>
      <c r="V21" s="28">
        <f t="shared" si="11"/>
        <v>112</v>
      </c>
      <c r="W21" s="29">
        <f t="shared" si="11"/>
        <v>114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0.66542329572473224</v>
      </c>
      <c r="AC21" s="4">
        <f>SUM(AC6:AC20)/15</f>
        <v>0.23333333333333334</v>
      </c>
      <c r="AD21" s="4">
        <f>SUM(AD6:AD20)/15</f>
        <v>0.23286925434885672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861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865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307" t="s">
        <v>47</v>
      </c>
      <c r="D50" s="307" t="s">
        <v>48</v>
      </c>
      <c r="E50" s="307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307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788</v>
      </c>
      <c r="B51" s="410"/>
      <c r="C51" s="308" t="s">
        <v>842</v>
      </c>
      <c r="D51" s="309" t="s">
        <v>753</v>
      </c>
      <c r="E51" s="308" t="s">
        <v>843</v>
      </c>
      <c r="F51" s="394" t="s">
        <v>862</v>
      </c>
      <c r="G51" s="394"/>
      <c r="H51" s="394"/>
      <c r="I51" s="394"/>
      <c r="J51" s="394"/>
      <c r="K51" s="394"/>
      <c r="L51" s="394"/>
      <c r="M51" s="404"/>
      <c r="N51" s="313" t="s">
        <v>866</v>
      </c>
      <c r="O51" s="74" t="s">
        <v>867</v>
      </c>
      <c r="P51" s="411" t="s">
        <v>868</v>
      </c>
      <c r="Q51" s="412"/>
      <c r="R51" s="403" t="s">
        <v>869</v>
      </c>
      <c r="S51" s="403"/>
      <c r="T51" s="403"/>
      <c r="U51" s="403"/>
      <c r="V51" s="394" t="s">
        <v>870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825</v>
      </c>
      <c r="B52" s="410"/>
      <c r="C52" s="308" t="s">
        <v>301</v>
      </c>
      <c r="D52" s="309" t="s">
        <v>753</v>
      </c>
      <c r="E52" s="308" t="s">
        <v>830</v>
      </c>
      <c r="F52" s="394" t="s">
        <v>863</v>
      </c>
      <c r="G52" s="394"/>
      <c r="H52" s="394"/>
      <c r="I52" s="394"/>
      <c r="J52" s="394"/>
      <c r="K52" s="394"/>
      <c r="L52" s="394"/>
      <c r="M52" s="404"/>
      <c r="N52" s="313" t="s">
        <v>118</v>
      </c>
      <c r="O52" s="74" t="s">
        <v>466</v>
      </c>
      <c r="P52" s="411" t="s">
        <v>776</v>
      </c>
      <c r="Q52" s="412"/>
      <c r="R52" s="403" t="s">
        <v>831</v>
      </c>
      <c r="S52" s="403"/>
      <c r="T52" s="403"/>
      <c r="U52" s="403"/>
      <c r="V52" s="394" t="s">
        <v>852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370</v>
      </c>
      <c r="B53" s="410"/>
      <c r="C53" s="308" t="s">
        <v>848</v>
      </c>
      <c r="D53" s="309" t="s">
        <v>849</v>
      </c>
      <c r="E53" s="308" t="s">
        <v>839</v>
      </c>
      <c r="F53" s="394" t="s">
        <v>864</v>
      </c>
      <c r="G53" s="394"/>
      <c r="H53" s="394"/>
      <c r="I53" s="394"/>
      <c r="J53" s="394"/>
      <c r="K53" s="394"/>
      <c r="L53" s="394"/>
      <c r="M53" s="404"/>
      <c r="N53" s="313" t="s">
        <v>854</v>
      </c>
      <c r="O53" s="74" t="s">
        <v>855</v>
      </c>
      <c r="P53" s="411" t="s">
        <v>856</v>
      </c>
      <c r="Q53" s="412"/>
      <c r="R53" s="403" t="s">
        <v>853</v>
      </c>
      <c r="S53" s="403"/>
      <c r="T53" s="403"/>
      <c r="U53" s="403"/>
      <c r="V53" s="394" t="s">
        <v>852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/>
      <c r="B54" s="410"/>
      <c r="C54" s="308"/>
      <c r="D54" s="309"/>
      <c r="E54" s="308"/>
      <c r="F54" s="394"/>
      <c r="G54" s="394"/>
      <c r="H54" s="394"/>
      <c r="I54" s="394"/>
      <c r="J54" s="394"/>
      <c r="K54" s="394"/>
      <c r="L54" s="394"/>
      <c r="M54" s="404"/>
      <c r="N54" s="313" t="s">
        <v>119</v>
      </c>
      <c r="O54" s="74" t="s">
        <v>872</v>
      </c>
      <c r="P54" s="411" t="s">
        <v>873</v>
      </c>
      <c r="Q54" s="412"/>
      <c r="R54" s="403" t="s">
        <v>871</v>
      </c>
      <c r="S54" s="403"/>
      <c r="T54" s="403"/>
      <c r="U54" s="403"/>
      <c r="V54" s="394" t="s">
        <v>874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308"/>
      <c r="D55" s="309"/>
      <c r="E55" s="308"/>
      <c r="F55" s="394"/>
      <c r="G55" s="394"/>
      <c r="H55" s="394"/>
      <c r="I55" s="394"/>
      <c r="J55" s="394"/>
      <c r="K55" s="394"/>
      <c r="L55" s="394"/>
      <c r="M55" s="404"/>
      <c r="N55" s="313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308"/>
      <c r="D56" s="309"/>
      <c r="E56" s="308"/>
      <c r="F56" s="394"/>
      <c r="G56" s="394"/>
      <c r="H56" s="394"/>
      <c r="I56" s="394"/>
      <c r="J56" s="394"/>
      <c r="K56" s="394"/>
      <c r="L56" s="394"/>
      <c r="M56" s="404"/>
      <c r="N56" s="313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308"/>
      <c r="D57" s="309"/>
      <c r="E57" s="308"/>
      <c r="F57" s="394"/>
      <c r="G57" s="394"/>
      <c r="H57" s="394"/>
      <c r="I57" s="394"/>
      <c r="J57" s="394"/>
      <c r="K57" s="394"/>
      <c r="L57" s="394"/>
      <c r="M57" s="404"/>
      <c r="N57" s="313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308"/>
      <c r="D58" s="309"/>
      <c r="E58" s="308"/>
      <c r="F58" s="394"/>
      <c r="G58" s="394"/>
      <c r="H58" s="394"/>
      <c r="I58" s="394"/>
      <c r="J58" s="394"/>
      <c r="K58" s="394"/>
      <c r="L58" s="394"/>
      <c r="M58" s="404"/>
      <c r="N58" s="313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309"/>
      <c r="D59" s="309"/>
      <c r="E59" s="309"/>
      <c r="F59" s="394"/>
      <c r="G59" s="394"/>
      <c r="H59" s="394"/>
      <c r="I59" s="394"/>
      <c r="J59" s="394"/>
      <c r="K59" s="394"/>
      <c r="L59" s="394"/>
      <c r="M59" s="404"/>
      <c r="N59" s="313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311"/>
      <c r="D60" s="311"/>
      <c r="E60" s="311"/>
      <c r="F60" s="407"/>
      <c r="G60" s="407"/>
      <c r="H60" s="407"/>
      <c r="I60" s="407"/>
      <c r="J60" s="407"/>
      <c r="K60" s="407"/>
      <c r="L60" s="407"/>
      <c r="M60" s="408"/>
      <c r="N60" s="310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875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312" t="s">
        <v>2</v>
      </c>
      <c r="D62" s="312" t="s">
        <v>38</v>
      </c>
      <c r="E62" s="312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312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/>
      <c r="D63" s="316"/>
      <c r="E63" s="314"/>
      <c r="F63" s="392"/>
      <c r="G63" s="382"/>
      <c r="H63" s="382"/>
      <c r="I63" s="382"/>
      <c r="J63" s="382"/>
      <c r="K63" s="382"/>
      <c r="L63" s="382"/>
      <c r="M63" s="54"/>
      <c r="N63" s="382"/>
      <c r="O63" s="382"/>
      <c r="P63" s="393"/>
      <c r="Q63" s="393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/>
      <c r="D64" s="316"/>
      <c r="E64" s="314"/>
      <c r="F64" s="392"/>
      <c r="G64" s="382"/>
      <c r="H64" s="382"/>
      <c r="I64" s="382"/>
      <c r="J64" s="382"/>
      <c r="K64" s="382"/>
      <c r="L64" s="382"/>
      <c r="M64" s="54"/>
      <c r="N64" s="382"/>
      <c r="O64" s="382"/>
      <c r="P64" s="393"/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/>
      <c r="D65" s="316"/>
      <c r="E65" s="314"/>
      <c r="F65" s="392"/>
      <c r="G65" s="382"/>
      <c r="H65" s="382"/>
      <c r="I65" s="382"/>
      <c r="J65" s="382"/>
      <c r="K65" s="382"/>
      <c r="L65" s="382"/>
      <c r="M65" s="54"/>
      <c r="N65" s="382"/>
      <c r="O65" s="382"/>
      <c r="P65" s="393"/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/>
      <c r="D66" s="316"/>
      <c r="E66" s="314"/>
      <c r="F66" s="392"/>
      <c r="G66" s="382"/>
      <c r="H66" s="382"/>
      <c r="I66" s="382"/>
      <c r="J66" s="382"/>
      <c r="K66" s="382"/>
      <c r="L66" s="382"/>
      <c r="M66" s="54"/>
      <c r="N66" s="382"/>
      <c r="O66" s="382"/>
      <c r="P66" s="393"/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/>
      <c r="D67" s="316"/>
      <c r="E67" s="314"/>
      <c r="F67" s="392"/>
      <c r="G67" s="382"/>
      <c r="H67" s="382"/>
      <c r="I67" s="382"/>
      <c r="J67" s="382"/>
      <c r="K67" s="382"/>
      <c r="L67" s="382"/>
      <c r="M67" s="54"/>
      <c r="N67" s="382"/>
      <c r="O67" s="382"/>
      <c r="P67" s="393"/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316"/>
      <c r="E68" s="314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316"/>
      <c r="E69" s="314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316"/>
      <c r="E70" s="314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876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315" t="s">
        <v>2</v>
      </c>
      <c r="D72" s="315" t="s">
        <v>38</v>
      </c>
      <c r="E72" s="315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317" t="s">
        <v>118</v>
      </c>
      <c r="D73" s="317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316" t="s">
        <v>118</v>
      </c>
      <c r="D74" s="316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2">A74+1</f>
        <v>3</v>
      </c>
      <c r="B75" s="351"/>
      <c r="C75" s="316" t="s">
        <v>137</v>
      </c>
      <c r="D75" s="316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2"/>
        <v>4</v>
      </c>
      <c r="B76" s="351"/>
      <c r="C76" s="316" t="s">
        <v>119</v>
      </c>
      <c r="D76" s="316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2"/>
        <v>5</v>
      </c>
      <c r="B77" s="351"/>
      <c r="C77" s="316" t="s">
        <v>118</v>
      </c>
      <c r="D77" s="316"/>
      <c r="E77" s="35" t="s">
        <v>157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43033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2"/>
        <v>6</v>
      </c>
      <c r="B78" s="351"/>
      <c r="C78" s="316"/>
      <c r="D78" s="316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2"/>
        <v>7</v>
      </c>
      <c r="B79" s="351"/>
      <c r="C79" s="316"/>
      <c r="D79" s="316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2"/>
        <v>8</v>
      </c>
      <c r="B80" s="351"/>
      <c r="C80" s="316"/>
      <c r="D80" s="316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2"/>
        <v>9</v>
      </c>
      <c r="B81" s="351"/>
      <c r="C81" s="316"/>
      <c r="D81" s="316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877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42" t="s">
        <v>878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2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329" t="s">
        <v>17</v>
      </c>
      <c r="L5" s="329" t="s">
        <v>18</v>
      </c>
      <c r="M5" s="329" t="s">
        <v>19</v>
      </c>
      <c r="N5" s="32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2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0.5129515571976232</v>
      </c>
      <c r="AF6" s="94">
        <f t="shared" ref="AF6:AF21" si="8">A6</f>
        <v>1</v>
      </c>
    </row>
    <row r="7" spans="1:32" ht="27" customHeight="1">
      <c r="A7" s="108">
        <v>2</v>
      </c>
      <c r="B7" s="11" t="s">
        <v>879</v>
      </c>
      <c r="C7" s="37" t="s">
        <v>880</v>
      </c>
      <c r="D7" s="55" t="s">
        <v>881</v>
      </c>
      <c r="E7" s="57" t="s">
        <v>882</v>
      </c>
      <c r="F7" s="33" t="s">
        <v>883</v>
      </c>
      <c r="G7" s="12">
        <v>1</v>
      </c>
      <c r="H7" s="13">
        <v>25</v>
      </c>
      <c r="I7" s="34">
        <v>3000</v>
      </c>
      <c r="J7" s="5">
        <v>2030</v>
      </c>
      <c r="K7" s="15">
        <f>L7</f>
        <v>2022</v>
      </c>
      <c r="L7" s="15">
        <v>2022</v>
      </c>
      <c r="M7" s="16">
        <f t="shared" si="0"/>
        <v>2022</v>
      </c>
      <c r="N7" s="16">
        <v>0</v>
      </c>
      <c r="O7" s="62">
        <f t="shared" si="1"/>
        <v>0</v>
      </c>
      <c r="P7" s="42">
        <f t="shared" si="2"/>
        <v>12</v>
      </c>
      <c r="Q7" s="43">
        <f t="shared" si="3"/>
        <v>12</v>
      </c>
      <c r="R7" s="7"/>
      <c r="S7" s="6">
        <v>12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0.99605911330049257</v>
      </c>
      <c r="AC7" s="9">
        <f t="shared" si="5"/>
        <v>0.5</v>
      </c>
      <c r="AD7" s="10">
        <f t="shared" si="6"/>
        <v>0.49802955665024629</v>
      </c>
      <c r="AE7" s="39">
        <f t="shared" si="7"/>
        <v>0.5129515571976232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884</v>
      </c>
      <c r="E8" s="56" t="s">
        <v>885</v>
      </c>
      <c r="F8" s="12" t="s">
        <v>886</v>
      </c>
      <c r="G8" s="12">
        <v>1</v>
      </c>
      <c r="H8" s="13">
        <v>25</v>
      </c>
      <c r="I8" s="34">
        <v>65000</v>
      </c>
      <c r="J8" s="14">
        <v>460</v>
      </c>
      <c r="K8" s="15">
        <f>L8</f>
        <v>452</v>
      </c>
      <c r="L8" s="15">
        <f>452</f>
        <v>452</v>
      </c>
      <c r="M8" s="16">
        <f t="shared" si="0"/>
        <v>452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>
        <v>20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0.9826086956521739</v>
      </c>
      <c r="AC8" s="9">
        <f t="shared" si="5"/>
        <v>0.16666666666666666</v>
      </c>
      <c r="AD8" s="10">
        <f t="shared" si="6"/>
        <v>0.16376811594202897</v>
      </c>
      <c r="AE8" s="39">
        <f t="shared" si="7"/>
        <v>0.5129515571976232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167</v>
      </c>
      <c r="D9" s="55" t="s">
        <v>753</v>
      </c>
      <c r="E9" s="57" t="s">
        <v>818</v>
      </c>
      <c r="F9" s="33" t="s">
        <v>819</v>
      </c>
      <c r="G9" s="36">
        <v>1</v>
      </c>
      <c r="H9" s="38">
        <v>25</v>
      </c>
      <c r="I9" s="7">
        <v>10000</v>
      </c>
      <c r="J9" s="5">
        <v>1800</v>
      </c>
      <c r="K9" s="15">
        <f>L9+2489+5289+2506</f>
        <v>12084</v>
      </c>
      <c r="L9" s="15">
        <v>1800</v>
      </c>
      <c r="M9" s="16">
        <f t="shared" si="0"/>
        <v>1800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0.5129515571976232</v>
      </c>
      <c r="AF9" s="94">
        <f t="shared" ref="AF9" si="9">A9</f>
        <v>4</v>
      </c>
    </row>
    <row r="10" spans="1:32" ht="27" customHeight="1">
      <c r="A10" s="110">
        <v>4</v>
      </c>
      <c r="B10" s="11" t="s">
        <v>59</v>
      </c>
      <c r="C10" s="37" t="s">
        <v>167</v>
      </c>
      <c r="D10" s="55" t="s">
        <v>753</v>
      </c>
      <c r="E10" s="57" t="s">
        <v>887</v>
      </c>
      <c r="F10" s="33" t="s">
        <v>819</v>
      </c>
      <c r="G10" s="36">
        <v>1</v>
      </c>
      <c r="H10" s="38">
        <v>25</v>
      </c>
      <c r="I10" s="7">
        <v>45000</v>
      </c>
      <c r="J10" s="5">
        <v>2660</v>
      </c>
      <c r="K10" s="15">
        <f>L10</f>
        <v>2660</v>
      </c>
      <c r="L10" s="15">
        <v>2660</v>
      </c>
      <c r="M10" s="16">
        <f t="shared" ref="M10" si="10">L10-N10</f>
        <v>2660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10</v>
      </c>
      <c r="Q10" s="43">
        <f t="shared" ref="Q10" si="13">SUM(R10:AA10)</f>
        <v>14</v>
      </c>
      <c r="R10" s="7"/>
      <c r="S10" s="6">
        <v>14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4">IF(J10=0,"0",(L10/J10))</f>
        <v>1</v>
      </c>
      <c r="AC10" s="9">
        <f t="shared" ref="AC10" si="15">IF(P10=0,"0",(P10/24))</f>
        <v>0.41666666666666669</v>
      </c>
      <c r="AD10" s="10">
        <f t="shared" ref="AD10" si="16">AC10*AB10*(1-O10)</f>
        <v>0.41666666666666669</v>
      </c>
      <c r="AE10" s="39">
        <f t="shared" si="7"/>
        <v>0.5129515571976232</v>
      </c>
      <c r="AF10" s="94">
        <f t="shared" ref="AF10" si="17">A10</f>
        <v>4</v>
      </c>
    </row>
    <row r="11" spans="1:32" ht="27" customHeight="1">
      <c r="A11" s="110">
        <v>5</v>
      </c>
      <c r="B11" s="11" t="s">
        <v>59</v>
      </c>
      <c r="C11" s="11" t="s">
        <v>137</v>
      </c>
      <c r="D11" s="55" t="s">
        <v>135</v>
      </c>
      <c r="E11" s="56" t="s">
        <v>561</v>
      </c>
      <c r="F11" s="12" t="s">
        <v>453</v>
      </c>
      <c r="G11" s="12">
        <v>1</v>
      </c>
      <c r="H11" s="13">
        <v>25</v>
      </c>
      <c r="I11" s="34">
        <v>55000</v>
      </c>
      <c r="J11" s="14">
        <v>5150</v>
      </c>
      <c r="K11" s="15">
        <f>L11+2928+5697+2831+3697+5889+4241+5564+2325+1191+1007</f>
        <v>40517</v>
      </c>
      <c r="L11" s="15">
        <f>2523+2624</f>
        <v>5147</v>
      </c>
      <c r="M11" s="16">
        <f t="shared" si="0"/>
        <v>5147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0.99941747572815531</v>
      </c>
      <c r="AC11" s="9">
        <f t="shared" si="5"/>
        <v>1</v>
      </c>
      <c r="AD11" s="10">
        <f t="shared" si="6"/>
        <v>0.99941747572815531</v>
      </c>
      <c r="AE11" s="39">
        <f t="shared" si="7"/>
        <v>0.5129515571976232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888</v>
      </c>
      <c r="D12" s="55" t="s">
        <v>898</v>
      </c>
      <c r="E12" s="57" t="s">
        <v>900</v>
      </c>
      <c r="F12" s="12" t="s">
        <v>897</v>
      </c>
      <c r="G12" s="12">
        <v>1</v>
      </c>
      <c r="H12" s="13">
        <v>25</v>
      </c>
      <c r="I12" s="34">
        <v>3000</v>
      </c>
      <c r="J12" s="14">
        <v>2322</v>
      </c>
      <c r="K12" s="15">
        <f>L12</f>
        <v>2322</v>
      </c>
      <c r="L12" s="15">
        <f>2322</f>
        <v>2322</v>
      </c>
      <c r="M12" s="16">
        <f t="shared" si="0"/>
        <v>2322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>
        <v>12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0.5129515571976232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167</v>
      </c>
      <c r="D13" s="55" t="s">
        <v>776</v>
      </c>
      <c r="E13" s="57" t="s">
        <v>820</v>
      </c>
      <c r="F13" s="12" t="s">
        <v>821</v>
      </c>
      <c r="G13" s="12">
        <v>1</v>
      </c>
      <c r="H13" s="13">
        <v>25</v>
      </c>
      <c r="I13" s="7">
        <v>62000</v>
      </c>
      <c r="J13" s="14">
        <v>4180</v>
      </c>
      <c r="K13" s="15">
        <f>L13+3062+3955+2262</f>
        <v>13450</v>
      </c>
      <c r="L13" s="15">
        <f>1938+2233</f>
        <v>4171</v>
      </c>
      <c r="M13" s="16">
        <f t="shared" si="0"/>
        <v>4171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0.99784688995215309</v>
      </c>
      <c r="AC13" s="9">
        <f t="shared" si="5"/>
        <v>1</v>
      </c>
      <c r="AD13" s="10">
        <f t="shared" si="6"/>
        <v>0.99784688995215309</v>
      </c>
      <c r="AE13" s="39">
        <f t="shared" si="7"/>
        <v>0.5129515571976232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225</v>
      </c>
      <c r="E14" s="57" t="s">
        <v>822</v>
      </c>
      <c r="F14" s="12" t="s">
        <v>329</v>
      </c>
      <c r="G14" s="12">
        <v>1</v>
      </c>
      <c r="H14" s="13">
        <v>25</v>
      </c>
      <c r="I14" s="7">
        <v>4000</v>
      </c>
      <c r="J14" s="14">
        <v>1750</v>
      </c>
      <c r="K14" s="15">
        <f>L14+1579+2946+2628</f>
        <v>8899</v>
      </c>
      <c r="L14" s="15">
        <f>257+1489</f>
        <v>1746</v>
      </c>
      <c r="M14" s="16">
        <f t="shared" si="0"/>
        <v>1746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/>
      <c r="T14" s="17"/>
      <c r="U14" s="17"/>
      <c r="V14" s="18"/>
      <c r="W14" s="19">
        <v>14</v>
      </c>
      <c r="X14" s="17"/>
      <c r="Y14" s="20"/>
      <c r="Z14" s="20"/>
      <c r="AA14" s="21"/>
      <c r="AB14" s="8">
        <f t="shared" si="4"/>
        <v>0.99771428571428566</v>
      </c>
      <c r="AC14" s="9">
        <f t="shared" si="5"/>
        <v>0.41666666666666669</v>
      </c>
      <c r="AD14" s="10">
        <f t="shared" si="6"/>
        <v>0.4157142857142857</v>
      </c>
      <c r="AE14" s="39">
        <f t="shared" si="7"/>
        <v>0.5129515571976232</v>
      </c>
      <c r="AF14" s="94">
        <f t="shared" si="8"/>
        <v>8</v>
      </c>
    </row>
    <row r="15" spans="1:32" ht="27" customHeight="1">
      <c r="A15" s="109">
        <v>9</v>
      </c>
      <c r="B15" s="11" t="s">
        <v>418</v>
      </c>
      <c r="C15" s="37" t="s">
        <v>888</v>
      </c>
      <c r="D15" s="55" t="s">
        <v>889</v>
      </c>
      <c r="E15" s="57" t="s">
        <v>891</v>
      </c>
      <c r="F15" s="33" t="s">
        <v>892</v>
      </c>
      <c r="G15" s="36">
        <v>1</v>
      </c>
      <c r="H15" s="38">
        <v>25</v>
      </c>
      <c r="I15" s="7">
        <v>3000</v>
      </c>
      <c r="J15" s="5">
        <v>2480</v>
      </c>
      <c r="K15" s="15">
        <f>L15</f>
        <v>2472</v>
      </c>
      <c r="L15" s="15">
        <f>2472</f>
        <v>2472</v>
      </c>
      <c r="M15" s="16">
        <f t="shared" si="0"/>
        <v>2472</v>
      </c>
      <c r="N15" s="16">
        <v>0</v>
      </c>
      <c r="O15" s="62">
        <f t="shared" si="1"/>
        <v>0</v>
      </c>
      <c r="P15" s="42">
        <f t="shared" si="2"/>
        <v>13</v>
      </c>
      <c r="Q15" s="43">
        <f t="shared" si="3"/>
        <v>11</v>
      </c>
      <c r="R15" s="7"/>
      <c r="S15" s="6">
        <v>11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0.99677419354838714</v>
      </c>
      <c r="AC15" s="9">
        <f t="shared" si="5"/>
        <v>0.54166666666666663</v>
      </c>
      <c r="AD15" s="10">
        <f t="shared" si="6"/>
        <v>0.53991935483870968</v>
      </c>
      <c r="AE15" s="39">
        <f t="shared" si="7"/>
        <v>0.5129515571976232</v>
      </c>
      <c r="AF15" s="94">
        <f t="shared" si="8"/>
        <v>9</v>
      </c>
    </row>
    <row r="16" spans="1:32" ht="27" customHeight="1">
      <c r="A16" s="109">
        <v>10</v>
      </c>
      <c r="B16" s="11" t="s">
        <v>418</v>
      </c>
      <c r="C16" s="11" t="s">
        <v>888</v>
      </c>
      <c r="D16" s="55" t="s">
        <v>898</v>
      </c>
      <c r="E16" s="57" t="s">
        <v>900</v>
      </c>
      <c r="F16" s="12" t="s">
        <v>896</v>
      </c>
      <c r="G16" s="12">
        <v>1</v>
      </c>
      <c r="H16" s="13">
        <v>20</v>
      </c>
      <c r="I16" s="34">
        <v>3000</v>
      </c>
      <c r="J16" s="14">
        <v>15880</v>
      </c>
      <c r="K16" s="15">
        <f>L16</f>
        <v>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>
        <v>24</v>
      </c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0.5129515571976232</v>
      </c>
      <c r="AF16" s="94">
        <f t="shared" si="8"/>
        <v>10</v>
      </c>
    </row>
    <row r="17" spans="1:36" ht="27.75" customHeight="1">
      <c r="A17" s="109">
        <v>11</v>
      </c>
      <c r="B17" s="11" t="s">
        <v>418</v>
      </c>
      <c r="C17" s="11" t="s">
        <v>118</v>
      </c>
      <c r="D17" s="55" t="s">
        <v>205</v>
      </c>
      <c r="E17" s="56" t="s">
        <v>343</v>
      </c>
      <c r="F17" s="12">
        <v>7301</v>
      </c>
      <c r="G17" s="36">
        <v>1</v>
      </c>
      <c r="H17" s="38">
        <v>25</v>
      </c>
      <c r="I17" s="7">
        <v>28000</v>
      </c>
      <c r="J17" s="14">
        <v>1850</v>
      </c>
      <c r="K17" s="15">
        <f>L17+2401+4876+4853+4860+4517+2135</f>
        <v>25484</v>
      </c>
      <c r="L17" s="15">
        <v>1842</v>
      </c>
      <c r="M17" s="16">
        <f t="shared" si="0"/>
        <v>1842</v>
      </c>
      <c r="N17" s="16">
        <v>0</v>
      </c>
      <c r="O17" s="62">
        <f t="shared" si="1"/>
        <v>0</v>
      </c>
      <c r="P17" s="42">
        <f t="shared" si="2"/>
        <v>11</v>
      </c>
      <c r="Q17" s="43">
        <f t="shared" si="3"/>
        <v>13</v>
      </c>
      <c r="R17" s="7"/>
      <c r="S17" s="6"/>
      <c r="T17" s="17"/>
      <c r="U17" s="17"/>
      <c r="V17" s="18"/>
      <c r="W17" s="19">
        <v>13</v>
      </c>
      <c r="X17" s="17"/>
      <c r="Y17" s="20"/>
      <c r="Z17" s="20"/>
      <c r="AA17" s="21"/>
      <c r="AB17" s="8">
        <f t="shared" si="4"/>
        <v>0.99567567567567572</v>
      </c>
      <c r="AC17" s="9">
        <f t="shared" si="5"/>
        <v>0.45833333333333331</v>
      </c>
      <c r="AD17" s="10">
        <f t="shared" si="6"/>
        <v>0.45635135135135135</v>
      </c>
      <c r="AE17" s="39">
        <f t="shared" si="7"/>
        <v>0.5129515571976232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418</v>
      </c>
      <c r="C18" s="37" t="s">
        <v>888</v>
      </c>
      <c r="D18" s="55" t="s">
        <v>893</v>
      </c>
      <c r="E18" s="56" t="s">
        <v>895</v>
      </c>
      <c r="F18" s="12" t="s">
        <v>897</v>
      </c>
      <c r="G18" s="12">
        <v>1</v>
      </c>
      <c r="H18" s="13">
        <v>25</v>
      </c>
      <c r="I18" s="34">
        <v>3000</v>
      </c>
      <c r="J18" s="5">
        <v>3030</v>
      </c>
      <c r="K18" s="15">
        <f>L18</f>
        <v>3024</v>
      </c>
      <c r="L18" s="15">
        <v>3024</v>
      </c>
      <c r="M18" s="16">
        <f t="shared" si="0"/>
        <v>3024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>
        <v>10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0.99801980198019802</v>
      </c>
      <c r="AC18" s="9">
        <f t="shared" si="5"/>
        <v>0.58333333333333337</v>
      </c>
      <c r="AD18" s="10">
        <f t="shared" si="6"/>
        <v>0.58217821782178225</v>
      </c>
      <c r="AE18" s="39">
        <f t="shared" si="7"/>
        <v>0.5129515571976232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753</v>
      </c>
      <c r="E19" s="57" t="s">
        <v>784</v>
      </c>
      <c r="F19" s="33" t="s">
        <v>227</v>
      </c>
      <c r="G19" s="36">
        <v>1</v>
      </c>
      <c r="H19" s="38">
        <v>25</v>
      </c>
      <c r="I19" s="7">
        <v>62000</v>
      </c>
      <c r="J19" s="5">
        <v>3270</v>
      </c>
      <c r="K19" s="15">
        <f>L19+2232+4609+1982+1137</f>
        <v>13230</v>
      </c>
      <c r="L19" s="15">
        <f>2453+817</f>
        <v>3270</v>
      </c>
      <c r="M19" s="16">
        <f t="shared" si="0"/>
        <v>3270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9">
        <f t="shared" si="7"/>
        <v>0.5129515571976232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11" t="s">
        <v>167</v>
      </c>
      <c r="D20" s="55" t="s">
        <v>776</v>
      </c>
      <c r="E20" s="56" t="s">
        <v>785</v>
      </c>
      <c r="F20" s="12" t="s">
        <v>786</v>
      </c>
      <c r="G20" s="12">
        <v>1</v>
      </c>
      <c r="H20" s="38">
        <v>25</v>
      </c>
      <c r="I20" s="34">
        <v>45000</v>
      </c>
      <c r="J20" s="5">
        <v>4850</v>
      </c>
      <c r="K20" s="15">
        <f>L20+4457+5150+5194+2223</f>
        <v>21871</v>
      </c>
      <c r="L20" s="15">
        <f>2312+2535</f>
        <v>4847</v>
      </c>
      <c r="M20" s="16">
        <f t="shared" si="0"/>
        <v>4847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0.99938144329896905</v>
      </c>
      <c r="AC20" s="9">
        <f t="shared" si="5"/>
        <v>1</v>
      </c>
      <c r="AD20" s="10">
        <f t="shared" si="6"/>
        <v>0.99938144329896905</v>
      </c>
      <c r="AE20" s="39">
        <f t="shared" si="7"/>
        <v>0.5129515571976232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570</v>
      </c>
      <c r="F21" s="12" t="s">
        <v>117</v>
      </c>
      <c r="G21" s="12">
        <v>4</v>
      </c>
      <c r="H21" s="38">
        <v>15</v>
      </c>
      <c r="I21" s="7">
        <v>300000</v>
      </c>
      <c r="J21" s="14">
        <v>32870</v>
      </c>
      <c r="K21" s="15">
        <f>L21+28820+65228+31484+54604+68244+65068+68920+32864</f>
        <v>415232</v>
      </c>
      <c r="L21" s="15">
        <v>0</v>
      </c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0.5129515571976232</v>
      </c>
      <c r="AF21" s="94">
        <f t="shared" si="8"/>
        <v>15</v>
      </c>
    </row>
    <row r="22" spans="1:36" ht="31.5" customHeight="1" thickBot="1">
      <c r="A22" s="415" t="s">
        <v>34</v>
      </c>
      <c r="B22" s="416"/>
      <c r="C22" s="416"/>
      <c r="D22" s="416"/>
      <c r="E22" s="416"/>
      <c r="F22" s="416"/>
      <c r="G22" s="416"/>
      <c r="H22" s="417"/>
      <c r="I22" s="25">
        <f t="shared" ref="I22:N22" si="18">SUM(I6:I21)</f>
        <v>691000</v>
      </c>
      <c r="J22" s="22">
        <f t="shared" si="18"/>
        <v>84582</v>
      </c>
      <c r="K22" s="23">
        <f t="shared" si="18"/>
        <v>563719</v>
      </c>
      <c r="L22" s="24">
        <f t="shared" si="18"/>
        <v>35775</v>
      </c>
      <c r="M22" s="23">
        <f t="shared" si="18"/>
        <v>35775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185</v>
      </c>
      <c r="Q22" s="46">
        <f t="shared" si="19"/>
        <v>199</v>
      </c>
      <c r="R22" s="26">
        <f t="shared" si="19"/>
        <v>24</v>
      </c>
      <c r="S22" s="27">
        <f t="shared" si="19"/>
        <v>84</v>
      </c>
      <c r="T22" s="27">
        <f t="shared" si="19"/>
        <v>0</v>
      </c>
      <c r="U22" s="27">
        <f t="shared" si="19"/>
        <v>0</v>
      </c>
      <c r="V22" s="28">
        <f t="shared" si="19"/>
        <v>24</v>
      </c>
      <c r="W22" s="29">
        <f t="shared" si="19"/>
        <v>67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0.86423317165669933</v>
      </c>
      <c r="AC22" s="4">
        <f>SUM(AC6:AC21)/15</f>
        <v>0.51388888888888895</v>
      </c>
      <c r="AD22" s="4">
        <f>SUM(AD6:AD21)/15</f>
        <v>0.5129515571976232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8" t="s">
        <v>46</v>
      </c>
      <c r="B49" s="418"/>
      <c r="C49" s="418"/>
      <c r="D49" s="418"/>
      <c r="E49" s="418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9" t="s">
        <v>901</v>
      </c>
      <c r="B50" s="420"/>
      <c r="C50" s="420"/>
      <c r="D50" s="420"/>
      <c r="E50" s="420"/>
      <c r="F50" s="420"/>
      <c r="G50" s="420"/>
      <c r="H50" s="420"/>
      <c r="I50" s="420"/>
      <c r="J50" s="420"/>
      <c r="K50" s="420"/>
      <c r="L50" s="420"/>
      <c r="M50" s="421"/>
      <c r="N50" s="422" t="s">
        <v>914</v>
      </c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25" t="s">
        <v>2</v>
      </c>
      <c r="B51" s="426"/>
      <c r="C51" s="328" t="s">
        <v>47</v>
      </c>
      <c r="D51" s="328" t="s">
        <v>48</v>
      </c>
      <c r="E51" s="328" t="s">
        <v>110</v>
      </c>
      <c r="F51" s="426" t="s">
        <v>109</v>
      </c>
      <c r="G51" s="426"/>
      <c r="H51" s="426"/>
      <c r="I51" s="426"/>
      <c r="J51" s="426"/>
      <c r="K51" s="426"/>
      <c r="L51" s="426"/>
      <c r="M51" s="427"/>
      <c r="N51" s="73" t="s">
        <v>114</v>
      </c>
      <c r="O51" s="328" t="s">
        <v>47</v>
      </c>
      <c r="P51" s="428" t="s">
        <v>48</v>
      </c>
      <c r="Q51" s="429"/>
      <c r="R51" s="428" t="s">
        <v>39</v>
      </c>
      <c r="S51" s="430"/>
      <c r="T51" s="430"/>
      <c r="U51" s="429"/>
      <c r="V51" s="428" t="s">
        <v>49</v>
      </c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09" t="s">
        <v>788</v>
      </c>
      <c r="B52" s="410"/>
      <c r="C52" s="327" t="s">
        <v>842</v>
      </c>
      <c r="D52" s="324" t="s">
        <v>753</v>
      </c>
      <c r="E52" s="327" t="s">
        <v>843</v>
      </c>
      <c r="F52" s="394" t="s">
        <v>862</v>
      </c>
      <c r="G52" s="394"/>
      <c r="H52" s="394"/>
      <c r="I52" s="394"/>
      <c r="J52" s="394"/>
      <c r="K52" s="394"/>
      <c r="L52" s="394"/>
      <c r="M52" s="404"/>
      <c r="N52" s="323" t="s">
        <v>119</v>
      </c>
      <c r="O52" s="74" t="s">
        <v>915</v>
      </c>
      <c r="P52" s="411" t="s">
        <v>917</v>
      </c>
      <c r="Q52" s="412"/>
      <c r="R52" s="403" t="s">
        <v>918</v>
      </c>
      <c r="S52" s="403"/>
      <c r="T52" s="403"/>
      <c r="U52" s="403"/>
      <c r="V52" s="394" t="s">
        <v>919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880</v>
      </c>
      <c r="B53" s="410"/>
      <c r="C53" s="327" t="s">
        <v>902</v>
      </c>
      <c r="D53" s="324" t="s">
        <v>881</v>
      </c>
      <c r="E53" s="327" t="s">
        <v>882</v>
      </c>
      <c r="F53" s="394" t="s">
        <v>909</v>
      </c>
      <c r="G53" s="394"/>
      <c r="H53" s="394"/>
      <c r="I53" s="394"/>
      <c r="J53" s="394"/>
      <c r="K53" s="394"/>
      <c r="L53" s="394"/>
      <c r="M53" s="404"/>
      <c r="N53" s="323" t="s">
        <v>118</v>
      </c>
      <c r="O53" s="74" t="s">
        <v>466</v>
      </c>
      <c r="P53" s="411" t="s">
        <v>776</v>
      </c>
      <c r="Q53" s="412"/>
      <c r="R53" s="403" t="s">
        <v>831</v>
      </c>
      <c r="S53" s="403"/>
      <c r="T53" s="403"/>
      <c r="U53" s="403"/>
      <c r="V53" s="394" t="s">
        <v>852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888</v>
      </c>
      <c r="B54" s="410"/>
      <c r="C54" s="327" t="s">
        <v>903</v>
      </c>
      <c r="D54" s="324" t="s">
        <v>904</v>
      </c>
      <c r="E54" s="327" t="s">
        <v>890</v>
      </c>
      <c r="F54" s="394" t="s">
        <v>909</v>
      </c>
      <c r="G54" s="394"/>
      <c r="H54" s="394"/>
      <c r="I54" s="394"/>
      <c r="J54" s="394"/>
      <c r="K54" s="394"/>
      <c r="L54" s="394"/>
      <c r="M54" s="404"/>
      <c r="N54" s="323"/>
      <c r="O54" s="74"/>
      <c r="P54" s="411"/>
      <c r="Q54" s="412"/>
      <c r="R54" s="403"/>
      <c r="S54" s="403"/>
      <c r="T54" s="403"/>
      <c r="U54" s="403"/>
      <c r="V54" s="394"/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 t="s">
        <v>888</v>
      </c>
      <c r="B55" s="410"/>
      <c r="C55" s="327" t="s">
        <v>907</v>
      </c>
      <c r="D55" s="324" t="s">
        <v>908</v>
      </c>
      <c r="E55" s="327" t="s">
        <v>894</v>
      </c>
      <c r="F55" s="394" t="s">
        <v>909</v>
      </c>
      <c r="G55" s="394"/>
      <c r="H55" s="394"/>
      <c r="I55" s="394"/>
      <c r="J55" s="394"/>
      <c r="K55" s="394"/>
      <c r="L55" s="394"/>
      <c r="M55" s="404"/>
      <c r="N55" s="323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 t="s">
        <v>888</v>
      </c>
      <c r="B56" s="410"/>
      <c r="C56" s="327" t="s">
        <v>905</v>
      </c>
      <c r="D56" s="324" t="s">
        <v>906</v>
      </c>
      <c r="E56" s="327" t="s">
        <v>899</v>
      </c>
      <c r="F56" s="394" t="s">
        <v>909</v>
      </c>
      <c r="G56" s="394"/>
      <c r="H56" s="394"/>
      <c r="I56" s="394"/>
      <c r="J56" s="394"/>
      <c r="K56" s="394"/>
      <c r="L56" s="394"/>
      <c r="M56" s="404"/>
      <c r="N56" s="323"/>
      <c r="O56" s="74"/>
      <c r="P56" s="411"/>
      <c r="Q56" s="412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 t="s">
        <v>910</v>
      </c>
      <c r="B57" s="410"/>
      <c r="C57" s="327" t="s">
        <v>911</v>
      </c>
      <c r="D57" s="324" t="s">
        <v>912</v>
      </c>
      <c r="E57" s="327" t="s">
        <v>887</v>
      </c>
      <c r="F57" s="394" t="s">
        <v>913</v>
      </c>
      <c r="G57" s="394"/>
      <c r="H57" s="394"/>
      <c r="I57" s="394"/>
      <c r="J57" s="394"/>
      <c r="K57" s="394"/>
      <c r="L57" s="394"/>
      <c r="M57" s="404"/>
      <c r="N57" s="323"/>
      <c r="O57" s="74"/>
      <c r="P57" s="403"/>
      <c r="Q57" s="403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 t="s">
        <v>119</v>
      </c>
      <c r="B58" s="410"/>
      <c r="C58" s="327" t="s">
        <v>915</v>
      </c>
      <c r="D58" s="324" t="s">
        <v>884</v>
      </c>
      <c r="E58" s="327" t="s">
        <v>885</v>
      </c>
      <c r="F58" s="394" t="s">
        <v>916</v>
      </c>
      <c r="G58" s="394"/>
      <c r="H58" s="394"/>
      <c r="I58" s="394"/>
      <c r="J58" s="394"/>
      <c r="K58" s="394"/>
      <c r="L58" s="394"/>
      <c r="M58" s="404"/>
      <c r="N58" s="323"/>
      <c r="O58" s="74"/>
      <c r="P58" s="411"/>
      <c r="Q58" s="412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9"/>
      <c r="B59" s="410"/>
      <c r="C59" s="327"/>
      <c r="D59" s="324"/>
      <c r="E59" s="327"/>
      <c r="F59" s="394"/>
      <c r="G59" s="394"/>
      <c r="H59" s="394"/>
      <c r="I59" s="394"/>
      <c r="J59" s="394"/>
      <c r="K59" s="394"/>
      <c r="L59" s="394"/>
      <c r="M59" s="404"/>
      <c r="N59" s="323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</row>
    <row r="60" spans="1:32" ht="27" customHeight="1">
      <c r="A60" s="402"/>
      <c r="B60" s="403"/>
      <c r="C60" s="324"/>
      <c r="D60" s="324"/>
      <c r="E60" s="324"/>
      <c r="F60" s="394"/>
      <c r="G60" s="394"/>
      <c r="H60" s="394"/>
      <c r="I60" s="394"/>
      <c r="J60" s="394"/>
      <c r="K60" s="394"/>
      <c r="L60" s="394"/>
      <c r="M60" s="404"/>
      <c r="N60" s="323"/>
      <c r="O60" s="74"/>
      <c r="P60" s="403"/>
      <c r="Q60" s="403"/>
      <c r="R60" s="403"/>
      <c r="S60" s="403"/>
      <c r="T60" s="403"/>
      <c r="U60" s="403"/>
      <c r="V60" s="394"/>
      <c r="W60" s="394"/>
      <c r="X60" s="394"/>
      <c r="Y60" s="394"/>
      <c r="Z60" s="394"/>
      <c r="AA60" s="394"/>
      <c r="AB60" s="394"/>
      <c r="AC60" s="394"/>
      <c r="AD60" s="404"/>
      <c r="AF60" s="94">
        <f>8*3000</f>
        <v>24000</v>
      </c>
    </row>
    <row r="61" spans="1:32" ht="27" customHeight="1" thickBot="1">
      <c r="A61" s="405"/>
      <c r="B61" s="406"/>
      <c r="C61" s="326"/>
      <c r="D61" s="326"/>
      <c r="E61" s="326"/>
      <c r="F61" s="407"/>
      <c r="G61" s="407"/>
      <c r="H61" s="407"/>
      <c r="I61" s="407"/>
      <c r="J61" s="407"/>
      <c r="K61" s="407"/>
      <c r="L61" s="407"/>
      <c r="M61" s="408"/>
      <c r="N61" s="325"/>
      <c r="O61" s="121"/>
      <c r="P61" s="406"/>
      <c r="Q61" s="406"/>
      <c r="R61" s="406"/>
      <c r="S61" s="406"/>
      <c r="T61" s="406"/>
      <c r="U61" s="406"/>
      <c r="V61" s="407"/>
      <c r="W61" s="407"/>
      <c r="X61" s="407"/>
      <c r="Y61" s="407"/>
      <c r="Z61" s="407"/>
      <c r="AA61" s="407"/>
      <c r="AB61" s="407"/>
      <c r="AC61" s="407"/>
      <c r="AD61" s="408"/>
      <c r="AF61" s="94">
        <f>16*3000</f>
        <v>48000</v>
      </c>
    </row>
    <row r="62" spans="1:32" ht="27.75" thickBot="1">
      <c r="A62" s="400" t="s">
        <v>920</v>
      </c>
      <c r="B62" s="400"/>
      <c r="C62" s="400"/>
      <c r="D62" s="400"/>
      <c r="E62" s="400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1" t="s">
        <v>115</v>
      </c>
      <c r="B63" s="398"/>
      <c r="C63" s="322" t="s">
        <v>2</v>
      </c>
      <c r="D63" s="322" t="s">
        <v>38</v>
      </c>
      <c r="E63" s="322" t="s">
        <v>3</v>
      </c>
      <c r="F63" s="398" t="s">
        <v>112</v>
      </c>
      <c r="G63" s="398"/>
      <c r="H63" s="398"/>
      <c r="I63" s="398"/>
      <c r="J63" s="398"/>
      <c r="K63" s="398" t="s">
        <v>40</v>
      </c>
      <c r="L63" s="398"/>
      <c r="M63" s="322" t="s">
        <v>41</v>
      </c>
      <c r="N63" s="398" t="s">
        <v>42</v>
      </c>
      <c r="O63" s="398"/>
      <c r="P63" s="395" t="s">
        <v>43</v>
      </c>
      <c r="Q63" s="397"/>
      <c r="R63" s="395" t="s">
        <v>44</v>
      </c>
      <c r="S63" s="396"/>
      <c r="T63" s="396"/>
      <c r="U63" s="396"/>
      <c r="V63" s="396"/>
      <c r="W63" s="396"/>
      <c r="X63" s="396"/>
      <c r="Y63" s="396"/>
      <c r="Z63" s="396"/>
      <c r="AA63" s="397"/>
      <c r="AB63" s="398" t="s">
        <v>45</v>
      </c>
      <c r="AC63" s="398"/>
      <c r="AD63" s="399"/>
      <c r="AF63" s="94">
        <f>SUM(AF60:AF62)</f>
        <v>96000</v>
      </c>
    </row>
    <row r="64" spans="1:32" ht="25.5" customHeight="1">
      <c r="A64" s="390">
        <v>1</v>
      </c>
      <c r="B64" s="391"/>
      <c r="C64" s="124" t="s">
        <v>888</v>
      </c>
      <c r="D64" s="318"/>
      <c r="E64" s="320" t="s">
        <v>921</v>
      </c>
      <c r="F64" s="392" t="s">
        <v>882</v>
      </c>
      <c r="G64" s="382"/>
      <c r="H64" s="382"/>
      <c r="I64" s="382"/>
      <c r="J64" s="382"/>
      <c r="K64" s="382" t="s">
        <v>883</v>
      </c>
      <c r="L64" s="382"/>
      <c r="M64" s="54" t="s">
        <v>924</v>
      </c>
      <c r="N64" s="382">
        <v>2</v>
      </c>
      <c r="O64" s="382"/>
      <c r="P64" s="393">
        <v>20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2</v>
      </c>
      <c r="B65" s="391"/>
      <c r="C65" s="124" t="s">
        <v>888</v>
      </c>
      <c r="D65" s="318"/>
      <c r="E65" s="320" t="s">
        <v>904</v>
      </c>
      <c r="F65" s="392" t="s">
        <v>890</v>
      </c>
      <c r="G65" s="382"/>
      <c r="H65" s="382"/>
      <c r="I65" s="382"/>
      <c r="J65" s="382"/>
      <c r="K65" s="382" t="s">
        <v>883</v>
      </c>
      <c r="L65" s="382"/>
      <c r="M65" s="54" t="s">
        <v>924</v>
      </c>
      <c r="N65" s="382">
        <v>9</v>
      </c>
      <c r="O65" s="382"/>
      <c r="P65" s="393">
        <v>20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3</v>
      </c>
      <c r="B66" s="391"/>
      <c r="C66" s="124" t="s">
        <v>888</v>
      </c>
      <c r="D66" s="318"/>
      <c r="E66" s="320" t="s">
        <v>908</v>
      </c>
      <c r="F66" s="392" t="s">
        <v>894</v>
      </c>
      <c r="G66" s="382"/>
      <c r="H66" s="382"/>
      <c r="I66" s="382"/>
      <c r="J66" s="382"/>
      <c r="K66" s="382" t="s">
        <v>896</v>
      </c>
      <c r="L66" s="382"/>
      <c r="M66" s="54" t="s">
        <v>924</v>
      </c>
      <c r="N66" s="382">
        <v>12</v>
      </c>
      <c r="O66" s="382"/>
      <c r="P66" s="393">
        <v>20</v>
      </c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4</v>
      </c>
      <c r="B67" s="391"/>
      <c r="C67" s="124" t="s">
        <v>888</v>
      </c>
      <c r="D67" s="318"/>
      <c r="E67" s="320" t="s">
        <v>922</v>
      </c>
      <c r="F67" s="392" t="s">
        <v>899</v>
      </c>
      <c r="G67" s="382"/>
      <c r="H67" s="382"/>
      <c r="I67" s="382"/>
      <c r="J67" s="382"/>
      <c r="K67" s="382" t="s">
        <v>923</v>
      </c>
      <c r="L67" s="382"/>
      <c r="M67" s="54" t="s">
        <v>924</v>
      </c>
      <c r="N67" s="382">
        <v>10</v>
      </c>
      <c r="O67" s="382"/>
      <c r="P67" s="393">
        <v>20</v>
      </c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5</v>
      </c>
      <c r="B68" s="391"/>
      <c r="C68" s="124"/>
      <c r="D68" s="318"/>
      <c r="E68" s="320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6</v>
      </c>
      <c r="B69" s="391"/>
      <c r="C69" s="124"/>
      <c r="D69" s="318"/>
      <c r="E69" s="320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7</v>
      </c>
      <c r="B70" s="391"/>
      <c r="C70" s="124"/>
      <c r="D70" s="318"/>
      <c r="E70" s="320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5.5" customHeight="1">
      <c r="A71" s="390">
        <v>8</v>
      </c>
      <c r="B71" s="391"/>
      <c r="C71" s="124"/>
      <c r="D71" s="318"/>
      <c r="E71" s="320"/>
      <c r="F71" s="392"/>
      <c r="G71" s="382"/>
      <c r="H71" s="382"/>
      <c r="I71" s="382"/>
      <c r="J71" s="382"/>
      <c r="K71" s="382"/>
      <c r="L71" s="382"/>
      <c r="M71" s="54"/>
      <c r="N71" s="382"/>
      <c r="O71" s="382"/>
      <c r="P71" s="393"/>
      <c r="Q71" s="393"/>
      <c r="R71" s="394"/>
      <c r="S71" s="394"/>
      <c r="T71" s="394"/>
      <c r="U71" s="394"/>
      <c r="V71" s="394"/>
      <c r="W71" s="394"/>
      <c r="X71" s="394"/>
      <c r="Y71" s="394"/>
      <c r="Z71" s="394"/>
      <c r="AA71" s="394"/>
      <c r="AB71" s="382"/>
      <c r="AC71" s="382"/>
      <c r="AD71" s="383"/>
      <c r="AF71" s="53"/>
    </row>
    <row r="72" spans="1:32" ht="26.25" customHeight="1" thickBot="1">
      <c r="A72" s="363" t="s">
        <v>925</v>
      </c>
      <c r="B72" s="363"/>
      <c r="C72" s="363"/>
      <c r="D72" s="363"/>
      <c r="E72" s="363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84" t="s">
        <v>115</v>
      </c>
      <c r="B73" s="385"/>
      <c r="C73" s="321" t="s">
        <v>2</v>
      </c>
      <c r="D73" s="321" t="s">
        <v>38</v>
      </c>
      <c r="E73" s="321" t="s">
        <v>3</v>
      </c>
      <c r="F73" s="385" t="s">
        <v>39</v>
      </c>
      <c r="G73" s="385"/>
      <c r="H73" s="385"/>
      <c r="I73" s="385"/>
      <c r="J73" s="385"/>
      <c r="K73" s="386" t="s">
        <v>60</v>
      </c>
      <c r="L73" s="387"/>
      <c r="M73" s="387"/>
      <c r="N73" s="387"/>
      <c r="O73" s="387"/>
      <c r="P73" s="387"/>
      <c r="Q73" s="387"/>
      <c r="R73" s="387"/>
      <c r="S73" s="388"/>
      <c r="T73" s="385" t="s">
        <v>50</v>
      </c>
      <c r="U73" s="385"/>
      <c r="V73" s="386" t="s">
        <v>51</v>
      </c>
      <c r="W73" s="388"/>
      <c r="X73" s="387" t="s">
        <v>52</v>
      </c>
      <c r="Y73" s="387"/>
      <c r="Z73" s="387"/>
      <c r="AA73" s="387"/>
      <c r="AB73" s="387"/>
      <c r="AC73" s="387"/>
      <c r="AD73" s="389"/>
      <c r="AF73" s="53"/>
    </row>
    <row r="74" spans="1:32" ht="33.75" customHeight="1">
      <c r="A74" s="357">
        <v>1</v>
      </c>
      <c r="B74" s="358"/>
      <c r="C74" s="319" t="s">
        <v>118</v>
      </c>
      <c r="D74" s="319"/>
      <c r="E74" s="71" t="s">
        <v>124</v>
      </c>
      <c r="F74" s="371" t="s">
        <v>125</v>
      </c>
      <c r="G74" s="372"/>
      <c r="H74" s="372"/>
      <c r="I74" s="372"/>
      <c r="J74" s="373"/>
      <c r="K74" s="374" t="s">
        <v>120</v>
      </c>
      <c r="L74" s="375"/>
      <c r="M74" s="375"/>
      <c r="N74" s="375"/>
      <c r="O74" s="375"/>
      <c r="P74" s="375"/>
      <c r="Q74" s="375"/>
      <c r="R74" s="375"/>
      <c r="S74" s="376"/>
      <c r="T74" s="377">
        <v>42901</v>
      </c>
      <c r="U74" s="378"/>
      <c r="V74" s="379"/>
      <c r="W74" s="379"/>
      <c r="X74" s="380"/>
      <c r="Y74" s="380"/>
      <c r="Z74" s="380"/>
      <c r="AA74" s="380"/>
      <c r="AB74" s="380"/>
      <c r="AC74" s="380"/>
      <c r="AD74" s="381"/>
      <c r="AF74" s="53"/>
    </row>
    <row r="75" spans="1:32" ht="30" customHeight="1">
      <c r="A75" s="350">
        <f>A74+1</f>
        <v>2</v>
      </c>
      <c r="B75" s="351"/>
      <c r="C75" s="318" t="s">
        <v>118</v>
      </c>
      <c r="D75" s="318"/>
      <c r="E75" s="35" t="s">
        <v>121</v>
      </c>
      <c r="F75" s="351" t="s">
        <v>122</v>
      </c>
      <c r="G75" s="351"/>
      <c r="H75" s="351"/>
      <c r="I75" s="351"/>
      <c r="J75" s="351"/>
      <c r="K75" s="365" t="s">
        <v>123</v>
      </c>
      <c r="L75" s="366"/>
      <c r="M75" s="366"/>
      <c r="N75" s="366"/>
      <c r="O75" s="366"/>
      <c r="P75" s="366"/>
      <c r="Q75" s="366"/>
      <c r="R75" s="366"/>
      <c r="S75" s="367"/>
      <c r="T75" s="368">
        <v>42867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ref="A76:A82" si="20">A75+1</f>
        <v>3</v>
      </c>
      <c r="B76" s="351"/>
      <c r="C76" s="318" t="s">
        <v>137</v>
      </c>
      <c r="D76" s="318"/>
      <c r="E76" s="35" t="s">
        <v>135</v>
      </c>
      <c r="F76" s="351" t="s">
        <v>138</v>
      </c>
      <c r="G76" s="351"/>
      <c r="H76" s="351"/>
      <c r="I76" s="351"/>
      <c r="J76" s="351"/>
      <c r="K76" s="365" t="s">
        <v>120</v>
      </c>
      <c r="L76" s="366"/>
      <c r="M76" s="366"/>
      <c r="N76" s="366"/>
      <c r="O76" s="366"/>
      <c r="P76" s="366"/>
      <c r="Q76" s="366"/>
      <c r="R76" s="366"/>
      <c r="S76" s="367"/>
      <c r="T76" s="368">
        <v>42937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20"/>
        <v>4</v>
      </c>
      <c r="B77" s="351"/>
      <c r="C77" s="318" t="s">
        <v>119</v>
      </c>
      <c r="D77" s="318"/>
      <c r="E77" s="35" t="s">
        <v>133</v>
      </c>
      <c r="F77" s="351" t="s">
        <v>134</v>
      </c>
      <c r="G77" s="351"/>
      <c r="H77" s="351"/>
      <c r="I77" s="351"/>
      <c r="J77" s="351"/>
      <c r="K77" s="365" t="s">
        <v>136</v>
      </c>
      <c r="L77" s="366"/>
      <c r="M77" s="366"/>
      <c r="N77" s="366"/>
      <c r="O77" s="366"/>
      <c r="P77" s="366"/>
      <c r="Q77" s="366"/>
      <c r="R77" s="366"/>
      <c r="S77" s="367"/>
      <c r="T77" s="368">
        <v>42920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20"/>
        <v>5</v>
      </c>
      <c r="B78" s="351"/>
      <c r="C78" s="318" t="s">
        <v>118</v>
      </c>
      <c r="D78" s="318"/>
      <c r="E78" s="35" t="s">
        <v>157</v>
      </c>
      <c r="F78" s="351" t="s">
        <v>715</v>
      </c>
      <c r="G78" s="351"/>
      <c r="H78" s="351"/>
      <c r="I78" s="351"/>
      <c r="J78" s="351"/>
      <c r="K78" s="365" t="s">
        <v>716</v>
      </c>
      <c r="L78" s="366"/>
      <c r="M78" s="366"/>
      <c r="N78" s="366"/>
      <c r="O78" s="366"/>
      <c r="P78" s="366"/>
      <c r="Q78" s="366"/>
      <c r="R78" s="366"/>
      <c r="S78" s="367"/>
      <c r="T78" s="368">
        <v>43033</v>
      </c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20"/>
        <v>6</v>
      </c>
      <c r="B79" s="351"/>
      <c r="C79" s="318"/>
      <c r="D79" s="318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20"/>
        <v>7</v>
      </c>
      <c r="B80" s="351"/>
      <c r="C80" s="318"/>
      <c r="D80" s="318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20"/>
        <v>8</v>
      </c>
      <c r="B81" s="351"/>
      <c r="C81" s="318"/>
      <c r="D81" s="318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0" customHeight="1">
      <c r="A82" s="350">
        <f t="shared" si="20"/>
        <v>9</v>
      </c>
      <c r="B82" s="351"/>
      <c r="C82" s="318"/>
      <c r="D82" s="318"/>
      <c r="E82" s="35"/>
      <c r="F82" s="351"/>
      <c r="G82" s="351"/>
      <c r="H82" s="351"/>
      <c r="I82" s="351"/>
      <c r="J82" s="351"/>
      <c r="K82" s="365"/>
      <c r="L82" s="366"/>
      <c r="M82" s="366"/>
      <c r="N82" s="366"/>
      <c r="O82" s="366"/>
      <c r="P82" s="366"/>
      <c r="Q82" s="366"/>
      <c r="R82" s="366"/>
      <c r="S82" s="367"/>
      <c r="T82" s="368"/>
      <c r="U82" s="368"/>
      <c r="V82" s="368"/>
      <c r="W82" s="368"/>
      <c r="X82" s="369"/>
      <c r="Y82" s="369"/>
      <c r="Z82" s="369"/>
      <c r="AA82" s="369"/>
      <c r="AB82" s="369"/>
      <c r="AC82" s="369"/>
      <c r="AD82" s="370"/>
      <c r="AF82" s="53"/>
    </row>
    <row r="83" spans="1:32" ht="36" thickBot="1">
      <c r="A83" s="363" t="s">
        <v>926</v>
      </c>
      <c r="B83" s="363"/>
      <c r="C83" s="363"/>
      <c r="D83" s="363"/>
      <c r="E83" s="363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84" t="s">
        <v>115</v>
      </c>
      <c r="B84" s="385"/>
      <c r="C84" s="355" t="s">
        <v>53</v>
      </c>
      <c r="D84" s="355"/>
      <c r="E84" s="355" t="s">
        <v>54</v>
      </c>
      <c r="F84" s="355"/>
      <c r="G84" s="355"/>
      <c r="H84" s="355"/>
      <c r="I84" s="355"/>
      <c r="J84" s="355"/>
      <c r="K84" s="355" t="s">
        <v>55</v>
      </c>
      <c r="L84" s="355"/>
      <c r="M84" s="355"/>
      <c r="N84" s="355"/>
      <c r="O84" s="355"/>
      <c r="P84" s="355"/>
      <c r="Q84" s="355"/>
      <c r="R84" s="355"/>
      <c r="S84" s="355"/>
      <c r="T84" s="355" t="s">
        <v>56</v>
      </c>
      <c r="U84" s="355"/>
      <c r="V84" s="355" t="s">
        <v>57</v>
      </c>
      <c r="W84" s="355"/>
      <c r="X84" s="355"/>
      <c r="Y84" s="355" t="s">
        <v>52</v>
      </c>
      <c r="Z84" s="355"/>
      <c r="AA84" s="355"/>
      <c r="AB84" s="355"/>
      <c r="AC84" s="355"/>
      <c r="AD84" s="356"/>
      <c r="AF84" s="53"/>
    </row>
    <row r="85" spans="1:32" ht="30.75" customHeight="1">
      <c r="A85" s="357">
        <v>1</v>
      </c>
      <c r="B85" s="358"/>
      <c r="C85" s="359">
        <v>1</v>
      </c>
      <c r="D85" s="359"/>
      <c r="E85" s="359" t="s">
        <v>128</v>
      </c>
      <c r="F85" s="359"/>
      <c r="G85" s="359"/>
      <c r="H85" s="359"/>
      <c r="I85" s="359"/>
      <c r="J85" s="359"/>
      <c r="K85" s="359" t="s">
        <v>129</v>
      </c>
      <c r="L85" s="359"/>
      <c r="M85" s="359"/>
      <c r="N85" s="359"/>
      <c r="O85" s="359"/>
      <c r="P85" s="359"/>
      <c r="Q85" s="359"/>
      <c r="R85" s="359"/>
      <c r="S85" s="359"/>
      <c r="T85" s="359" t="s">
        <v>130</v>
      </c>
      <c r="U85" s="359"/>
      <c r="V85" s="360">
        <v>1500000</v>
      </c>
      <c r="W85" s="360"/>
      <c r="X85" s="360"/>
      <c r="Y85" s="361" t="s">
        <v>131</v>
      </c>
      <c r="Z85" s="361"/>
      <c r="AA85" s="361"/>
      <c r="AB85" s="361"/>
      <c r="AC85" s="361"/>
      <c r="AD85" s="362"/>
      <c r="AF85" s="53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3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abSelected="1" zoomScale="72" zoomScaleNormal="72" zoomScaleSheetLayoutView="70" workbookViewId="0">
      <selection activeCell="F54" sqref="F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42" t="s">
        <v>927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43"/>
      <c r="B3" s="443"/>
      <c r="C3" s="443"/>
      <c r="D3" s="443"/>
      <c r="E3" s="443"/>
      <c r="F3" s="443"/>
      <c r="G3" s="44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44" t="s">
        <v>0</v>
      </c>
      <c r="B4" s="446" t="s">
        <v>1</v>
      </c>
      <c r="C4" s="446" t="s">
        <v>2</v>
      </c>
      <c r="D4" s="449" t="s">
        <v>3</v>
      </c>
      <c r="E4" s="451" t="s">
        <v>4</v>
      </c>
      <c r="F4" s="449" t="s">
        <v>5</v>
      </c>
      <c r="G4" s="446" t="s">
        <v>6</v>
      </c>
      <c r="H4" s="452" t="s">
        <v>7</v>
      </c>
      <c r="I4" s="432" t="s">
        <v>8</v>
      </c>
      <c r="J4" s="433"/>
      <c r="K4" s="433"/>
      <c r="L4" s="433"/>
      <c r="M4" s="433"/>
      <c r="N4" s="433"/>
      <c r="O4" s="434"/>
      <c r="P4" s="435" t="s">
        <v>9</v>
      </c>
      <c r="Q4" s="436"/>
      <c r="R4" s="437" t="s">
        <v>10</v>
      </c>
      <c r="S4" s="437"/>
      <c r="T4" s="437"/>
      <c r="U4" s="437"/>
      <c r="V4" s="437"/>
      <c r="W4" s="438" t="s">
        <v>11</v>
      </c>
      <c r="X4" s="437"/>
      <c r="Y4" s="437"/>
      <c r="Z4" s="437"/>
      <c r="AA4" s="439"/>
      <c r="AB4" s="440" t="s">
        <v>12</v>
      </c>
      <c r="AC4" s="413" t="s">
        <v>13</v>
      </c>
      <c r="AD4" s="413" t="s">
        <v>14</v>
      </c>
      <c r="AE4" s="58"/>
    </row>
    <row r="5" spans="1:36" ht="51" customHeight="1" thickBot="1">
      <c r="A5" s="445"/>
      <c r="B5" s="447"/>
      <c r="C5" s="448"/>
      <c r="D5" s="450"/>
      <c r="E5" s="450"/>
      <c r="F5" s="450"/>
      <c r="G5" s="447"/>
      <c r="H5" s="453"/>
      <c r="I5" s="59" t="s">
        <v>15</v>
      </c>
      <c r="J5" s="60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1"/>
      <c r="AC5" s="414"/>
      <c r="AD5" s="414"/>
      <c r="AE5" s="58"/>
    </row>
    <row r="6" spans="1:36" ht="27" customHeight="1">
      <c r="A6" s="108">
        <v>1</v>
      </c>
      <c r="B6" s="11"/>
      <c r="C6" s="11"/>
      <c r="D6" s="55"/>
      <c r="E6" s="56"/>
      <c r="F6" s="12"/>
      <c r="G6" s="36"/>
      <c r="H6" s="38"/>
      <c r="I6" s="7"/>
      <c r="J6" s="14"/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0.41589957497510083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418</v>
      </c>
      <c r="C7" s="37" t="s">
        <v>880</v>
      </c>
      <c r="D7" s="55" t="s">
        <v>371</v>
      </c>
      <c r="E7" s="57" t="s">
        <v>882</v>
      </c>
      <c r="F7" s="33" t="s">
        <v>883</v>
      </c>
      <c r="G7" s="12">
        <v>1</v>
      </c>
      <c r="H7" s="13">
        <v>25</v>
      </c>
      <c r="I7" s="34">
        <v>3000</v>
      </c>
      <c r="J7" s="5">
        <v>1160</v>
      </c>
      <c r="K7" s="15">
        <f>L7+2022</f>
        <v>3181</v>
      </c>
      <c r="L7" s="15">
        <f>1159</f>
        <v>1159</v>
      </c>
      <c r="M7" s="16">
        <f t="shared" si="0"/>
        <v>1159</v>
      </c>
      <c r="N7" s="16">
        <v>0</v>
      </c>
      <c r="O7" s="62">
        <f t="shared" si="1"/>
        <v>0</v>
      </c>
      <c r="P7" s="42">
        <f t="shared" si="2"/>
        <v>9</v>
      </c>
      <c r="Q7" s="43">
        <f t="shared" si="3"/>
        <v>15</v>
      </c>
      <c r="R7" s="7"/>
      <c r="S7" s="6"/>
      <c r="T7" s="17"/>
      <c r="U7" s="17"/>
      <c r="V7" s="18"/>
      <c r="W7" s="19">
        <v>15</v>
      </c>
      <c r="X7" s="17"/>
      <c r="Y7" s="20"/>
      <c r="Z7" s="20"/>
      <c r="AA7" s="21"/>
      <c r="AB7" s="8">
        <f t="shared" si="4"/>
        <v>0.99913793103448278</v>
      </c>
      <c r="AC7" s="9">
        <f t="shared" si="5"/>
        <v>0.375</v>
      </c>
      <c r="AD7" s="10">
        <f t="shared" si="6"/>
        <v>0.37467672413793107</v>
      </c>
      <c r="AE7" s="39">
        <f t="shared" si="7"/>
        <v>0.41589957497510083</v>
      </c>
      <c r="AF7" s="94">
        <f t="shared" si="8"/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884</v>
      </c>
      <c r="E8" s="56" t="s">
        <v>885</v>
      </c>
      <c r="F8" s="12" t="s">
        <v>143</v>
      </c>
      <c r="G8" s="12">
        <v>1</v>
      </c>
      <c r="H8" s="13">
        <v>25</v>
      </c>
      <c r="I8" s="34">
        <v>65000</v>
      </c>
      <c r="J8" s="14">
        <v>3800</v>
      </c>
      <c r="K8" s="15">
        <f>L8+452</f>
        <v>4247</v>
      </c>
      <c r="L8" s="15">
        <f>2391+1404</f>
        <v>3795</v>
      </c>
      <c r="M8" s="16">
        <f t="shared" si="0"/>
        <v>3795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>
        <v>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0.99868421052631584</v>
      </c>
      <c r="AC8" s="9">
        <f t="shared" si="5"/>
        <v>0.875</v>
      </c>
      <c r="AD8" s="10">
        <f t="shared" si="6"/>
        <v>0.87384868421052642</v>
      </c>
      <c r="AE8" s="39">
        <f t="shared" si="7"/>
        <v>0.41589957497510083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167</v>
      </c>
      <c r="D9" s="55" t="s">
        <v>193</v>
      </c>
      <c r="E9" s="57" t="s">
        <v>197</v>
      </c>
      <c r="F9" s="33" t="s">
        <v>334</v>
      </c>
      <c r="G9" s="36">
        <v>1</v>
      </c>
      <c r="H9" s="38">
        <v>25</v>
      </c>
      <c r="I9" s="7">
        <v>45000</v>
      </c>
      <c r="J9" s="5">
        <v>5100</v>
      </c>
      <c r="K9" s="15">
        <f>L9+2660</f>
        <v>7743</v>
      </c>
      <c r="L9" s="15">
        <f>2578+2505</f>
        <v>5083</v>
      </c>
      <c r="M9" s="16">
        <f t="shared" si="0"/>
        <v>5083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0.9966666666666667</v>
      </c>
      <c r="AC9" s="9">
        <f t="shared" si="5"/>
        <v>1</v>
      </c>
      <c r="AD9" s="10">
        <f t="shared" si="6"/>
        <v>0.9966666666666667</v>
      </c>
      <c r="AE9" s="39">
        <f t="shared" si="7"/>
        <v>0.41589957497510083</v>
      </c>
      <c r="AF9" s="94">
        <f t="shared" ref="AF9" si="9">A9</f>
        <v>4</v>
      </c>
    </row>
    <row r="10" spans="1:36" ht="27" customHeight="1">
      <c r="A10" s="110">
        <v>5</v>
      </c>
      <c r="B10" s="11" t="s">
        <v>59</v>
      </c>
      <c r="C10" s="11" t="s">
        <v>137</v>
      </c>
      <c r="D10" s="55" t="s">
        <v>135</v>
      </c>
      <c r="E10" s="56" t="s">
        <v>561</v>
      </c>
      <c r="F10" s="12" t="s">
        <v>408</v>
      </c>
      <c r="G10" s="12">
        <v>1</v>
      </c>
      <c r="H10" s="13">
        <v>25</v>
      </c>
      <c r="I10" s="34">
        <v>55000</v>
      </c>
      <c r="J10" s="14">
        <v>3600</v>
      </c>
      <c r="K10" s="15">
        <f>L10+2928+5697+2831+3697+5889+4241+5564+2325+1191+1007+5147</f>
        <v>44108</v>
      </c>
      <c r="L10" s="15">
        <f>1221+2370</f>
        <v>3591</v>
      </c>
      <c r="M10" s="16">
        <f t="shared" si="0"/>
        <v>3591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>
        <v>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0.99750000000000005</v>
      </c>
      <c r="AC10" s="9">
        <f t="shared" si="5"/>
        <v>0.75</v>
      </c>
      <c r="AD10" s="10">
        <f t="shared" si="6"/>
        <v>0.74812500000000004</v>
      </c>
      <c r="AE10" s="39">
        <f t="shared" si="7"/>
        <v>0.41589957497510083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880</v>
      </c>
      <c r="D11" s="55" t="s">
        <v>898</v>
      </c>
      <c r="E11" s="57" t="s">
        <v>900</v>
      </c>
      <c r="F11" s="12" t="s">
        <v>361</v>
      </c>
      <c r="G11" s="12">
        <v>1</v>
      </c>
      <c r="H11" s="13">
        <v>25</v>
      </c>
      <c r="I11" s="34">
        <v>3000</v>
      </c>
      <c r="J11" s="14">
        <v>1360</v>
      </c>
      <c r="K11" s="15">
        <f>L11+2322</f>
        <v>3673</v>
      </c>
      <c r="L11" s="15">
        <v>1351</v>
      </c>
      <c r="M11" s="16">
        <f t="shared" si="0"/>
        <v>1351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0.99338235294117649</v>
      </c>
      <c r="AC11" s="9">
        <f t="shared" si="5"/>
        <v>0.25</v>
      </c>
      <c r="AD11" s="10">
        <f t="shared" si="6"/>
        <v>0.24834558823529412</v>
      </c>
      <c r="AE11" s="39">
        <f t="shared" si="7"/>
        <v>0.41589957497510083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167</v>
      </c>
      <c r="D12" s="55" t="s">
        <v>58</v>
      </c>
      <c r="E12" s="57" t="s">
        <v>796</v>
      </c>
      <c r="F12" s="12" t="s">
        <v>259</v>
      </c>
      <c r="G12" s="12">
        <v>1</v>
      </c>
      <c r="H12" s="13">
        <v>25</v>
      </c>
      <c r="I12" s="7">
        <v>62000</v>
      </c>
      <c r="J12" s="14">
        <v>4500</v>
      </c>
      <c r="K12" s="15">
        <f>L12+3062+3955+2262+4171</f>
        <v>17942</v>
      </c>
      <c r="L12" s="15">
        <f>2330+2162</f>
        <v>4492</v>
      </c>
      <c r="M12" s="16">
        <f t="shared" si="0"/>
        <v>4492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0.99822222222222223</v>
      </c>
      <c r="AC12" s="9">
        <f t="shared" si="5"/>
        <v>1</v>
      </c>
      <c r="AD12" s="10">
        <f t="shared" si="6"/>
        <v>0.99822222222222223</v>
      </c>
      <c r="AE12" s="39">
        <f t="shared" si="7"/>
        <v>0.41589957497510083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225</v>
      </c>
      <c r="E13" s="57" t="s">
        <v>226</v>
      </c>
      <c r="F13" s="12" t="s">
        <v>227</v>
      </c>
      <c r="G13" s="12">
        <v>1</v>
      </c>
      <c r="H13" s="13">
        <v>25</v>
      </c>
      <c r="I13" s="7">
        <v>4000</v>
      </c>
      <c r="J13" s="14">
        <v>1750</v>
      </c>
      <c r="K13" s="15">
        <f>L13+1579+2946+2628+1746</f>
        <v>8899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0.41589957497510083</v>
      </c>
      <c r="AF13" s="94">
        <f t="shared" si="8"/>
        <v>8</v>
      </c>
    </row>
    <row r="14" spans="1:36" ht="27" customHeight="1">
      <c r="A14" s="109">
        <v>9</v>
      </c>
      <c r="B14" s="11" t="s">
        <v>418</v>
      </c>
      <c r="C14" s="37" t="s">
        <v>880</v>
      </c>
      <c r="D14" s="55" t="s">
        <v>765</v>
      </c>
      <c r="E14" s="57" t="s">
        <v>891</v>
      </c>
      <c r="F14" s="33" t="s">
        <v>149</v>
      </c>
      <c r="G14" s="36">
        <v>1</v>
      </c>
      <c r="H14" s="38">
        <v>25</v>
      </c>
      <c r="I14" s="7">
        <v>3000</v>
      </c>
      <c r="J14" s="5">
        <v>2480</v>
      </c>
      <c r="K14" s="15">
        <f>L14+2472</f>
        <v>3117</v>
      </c>
      <c r="L14" s="15">
        <v>645</v>
      </c>
      <c r="M14" s="16">
        <f t="shared" si="0"/>
        <v>645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0.26008064516129031</v>
      </c>
      <c r="AC14" s="9">
        <f t="shared" si="5"/>
        <v>0.16666666666666666</v>
      </c>
      <c r="AD14" s="10">
        <f t="shared" si="6"/>
        <v>4.3346774193548383E-2</v>
      </c>
      <c r="AE14" s="39">
        <f t="shared" si="7"/>
        <v>0.41589957497510083</v>
      </c>
      <c r="AF14" s="94">
        <f t="shared" si="8"/>
        <v>9</v>
      </c>
    </row>
    <row r="15" spans="1:36" ht="27" customHeight="1">
      <c r="A15" s="109">
        <v>10</v>
      </c>
      <c r="B15" s="11" t="s">
        <v>418</v>
      </c>
      <c r="C15" s="11" t="s">
        <v>880</v>
      </c>
      <c r="D15" s="55" t="s">
        <v>898</v>
      </c>
      <c r="E15" s="57" t="s">
        <v>900</v>
      </c>
      <c r="F15" s="12" t="s">
        <v>896</v>
      </c>
      <c r="G15" s="12">
        <v>1</v>
      </c>
      <c r="H15" s="13">
        <v>20</v>
      </c>
      <c r="I15" s="34">
        <v>3000</v>
      </c>
      <c r="J15" s="14">
        <v>15880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0.41589957497510083</v>
      </c>
      <c r="AF15" s="94">
        <f t="shared" si="8"/>
        <v>10</v>
      </c>
    </row>
    <row r="16" spans="1:36" ht="27.75" customHeight="1">
      <c r="A16" s="109">
        <v>11</v>
      </c>
      <c r="B16" s="11" t="s">
        <v>418</v>
      </c>
      <c r="C16" s="11" t="s">
        <v>118</v>
      </c>
      <c r="D16" s="55" t="s">
        <v>205</v>
      </c>
      <c r="E16" s="56" t="s">
        <v>928</v>
      </c>
      <c r="F16" s="12">
        <v>7301</v>
      </c>
      <c r="G16" s="36">
        <v>1</v>
      </c>
      <c r="H16" s="38">
        <v>25</v>
      </c>
      <c r="I16" s="7">
        <v>500</v>
      </c>
      <c r="J16" s="14">
        <v>690</v>
      </c>
      <c r="K16" s="15">
        <f>L16</f>
        <v>689</v>
      </c>
      <c r="L16" s="15">
        <v>689</v>
      </c>
      <c r="M16" s="16">
        <f t="shared" si="0"/>
        <v>689</v>
      </c>
      <c r="N16" s="16">
        <v>0</v>
      </c>
      <c r="O16" s="62">
        <f t="shared" si="1"/>
        <v>0</v>
      </c>
      <c r="P16" s="42">
        <f t="shared" si="2"/>
        <v>6</v>
      </c>
      <c r="Q16" s="43">
        <f t="shared" si="3"/>
        <v>18</v>
      </c>
      <c r="R16" s="7"/>
      <c r="S16" s="6"/>
      <c r="T16" s="17"/>
      <c r="U16" s="17"/>
      <c r="V16" s="18"/>
      <c r="W16" s="19">
        <v>18</v>
      </c>
      <c r="X16" s="17"/>
      <c r="Y16" s="20"/>
      <c r="Z16" s="20"/>
      <c r="AA16" s="21"/>
      <c r="AB16" s="8">
        <f t="shared" si="4"/>
        <v>0.99855072463768113</v>
      </c>
      <c r="AC16" s="9">
        <f t="shared" si="5"/>
        <v>0.25</v>
      </c>
      <c r="AD16" s="10">
        <f t="shared" si="6"/>
        <v>0.24963768115942028</v>
      </c>
      <c r="AE16" s="39">
        <f t="shared" si="7"/>
        <v>0.41589957497510083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418</v>
      </c>
      <c r="C17" s="37" t="s">
        <v>880</v>
      </c>
      <c r="D17" s="55" t="s">
        <v>893</v>
      </c>
      <c r="E17" s="56" t="s">
        <v>895</v>
      </c>
      <c r="F17" s="12" t="s">
        <v>361</v>
      </c>
      <c r="G17" s="12">
        <v>1</v>
      </c>
      <c r="H17" s="13">
        <v>25</v>
      </c>
      <c r="I17" s="34">
        <v>3000</v>
      </c>
      <c r="J17" s="5">
        <v>660</v>
      </c>
      <c r="K17" s="15">
        <f>L17+3024</f>
        <v>3676</v>
      </c>
      <c r="L17" s="15">
        <v>652</v>
      </c>
      <c r="M17" s="16">
        <f t="shared" si="0"/>
        <v>652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0.98787878787878791</v>
      </c>
      <c r="AC17" s="9">
        <f t="shared" si="5"/>
        <v>0.16666666666666666</v>
      </c>
      <c r="AD17" s="10">
        <f t="shared" si="6"/>
        <v>0.16464646464646465</v>
      </c>
      <c r="AE17" s="39">
        <f t="shared" si="7"/>
        <v>0.41589957497510083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193</v>
      </c>
      <c r="E18" s="57" t="s">
        <v>784</v>
      </c>
      <c r="F18" s="33" t="s">
        <v>227</v>
      </c>
      <c r="G18" s="36">
        <v>1</v>
      </c>
      <c r="H18" s="38">
        <v>25</v>
      </c>
      <c r="I18" s="7">
        <v>62000</v>
      </c>
      <c r="J18" s="5">
        <v>2190</v>
      </c>
      <c r="K18" s="15">
        <f>L18+2232+4609+1982+1137+3270</f>
        <v>15418</v>
      </c>
      <c r="L18" s="15">
        <f>923+1265</f>
        <v>2188</v>
      </c>
      <c r="M18" s="16">
        <f t="shared" si="0"/>
        <v>2188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>
        <v>11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0.99908675799086755</v>
      </c>
      <c r="AC18" s="9">
        <f t="shared" si="5"/>
        <v>0.54166666666666663</v>
      </c>
      <c r="AD18" s="10">
        <f t="shared" si="6"/>
        <v>0.54117199391171988</v>
      </c>
      <c r="AE18" s="39">
        <f t="shared" si="7"/>
        <v>0.41589957497510083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11" t="s">
        <v>167</v>
      </c>
      <c r="D19" s="55" t="s">
        <v>58</v>
      </c>
      <c r="E19" s="56" t="s">
        <v>785</v>
      </c>
      <c r="F19" s="12" t="s">
        <v>259</v>
      </c>
      <c r="G19" s="12">
        <v>1</v>
      </c>
      <c r="H19" s="38">
        <v>25</v>
      </c>
      <c r="I19" s="34">
        <v>45000</v>
      </c>
      <c r="J19" s="5">
        <v>5150</v>
      </c>
      <c r="K19" s="15">
        <f>L19+4457+5150+5194+2223+4847</f>
        <v>27020</v>
      </c>
      <c r="L19" s="15">
        <f>2652+2497</f>
        <v>5149</v>
      </c>
      <c r="M19" s="16">
        <f t="shared" si="0"/>
        <v>5149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0.99980582524271844</v>
      </c>
      <c r="AC19" s="9">
        <f t="shared" si="5"/>
        <v>1</v>
      </c>
      <c r="AD19" s="10">
        <f t="shared" si="6"/>
        <v>0.99980582524271844</v>
      </c>
      <c r="AE19" s="39">
        <f t="shared" si="7"/>
        <v>0.41589957497510083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570</v>
      </c>
      <c r="F20" s="12" t="s">
        <v>117</v>
      </c>
      <c r="G20" s="12">
        <v>4</v>
      </c>
      <c r="H20" s="38">
        <v>15</v>
      </c>
      <c r="I20" s="7">
        <v>300000</v>
      </c>
      <c r="J20" s="14">
        <v>32870</v>
      </c>
      <c r="K20" s="15">
        <f>L20+28820+65228+31484+54604+68244+65068+68920+32864</f>
        <v>415232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0.41589957497510083</v>
      </c>
      <c r="AF20" s="94">
        <f t="shared" si="8"/>
        <v>15</v>
      </c>
    </row>
    <row r="21" spans="1:32" ht="31.5" customHeight="1" thickBot="1">
      <c r="A21" s="415" t="s">
        <v>34</v>
      </c>
      <c r="B21" s="416"/>
      <c r="C21" s="416"/>
      <c r="D21" s="416"/>
      <c r="E21" s="416"/>
      <c r="F21" s="416"/>
      <c r="G21" s="416"/>
      <c r="H21" s="417"/>
      <c r="I21" s="25">
        <f t="shared" ref="I21:N21" si="10">SUM(I6:I20)</f>
        <v>653500</v>
      </c>
      <c r="J21" s="22">
        <f t="shared" si="10"/>
        <v>81190</v>
      </c>
      <c r="K21" s="23">
        <f t="shared" si="10"/>
        <v>554945</v>
      </c>
      <c r="L21" s="24">
        <f t="shared" si="10"/>
        <v>28794</v>
      </c>
      <c r="M21" s="23">
        <f t="shared" si="10"/>
        <v>28794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153</v>
      </c>
      <c r="Q21" s="46">
        <f t="shared" si="11"/>
        <v>207</v>
      </c>
      <c r="R21" s="26">
        <f t="shared" si="11"/>
        <v>24</v>
      </c>
      <c r="S21" s="27">
        <f t="shared" si="11"/>
        <v>20</v>
      </c>
      <c r="T21" s="27">
        <f t="shared" si="11"/>
        <v>0</v>
      </c>
      <c r="U21" s="27">
        <f t="shared" si="11"/>
        <v>0</v>
      </c>
      <c r="V21" s="28">
        <f t="shared" si="11"/>
        <v>24</v>
      </c>
      <c r="W21" s="29">
        <f t="shared" si="11"/>
        <v>139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0.68193307495348054</v>
      </c>
      <c r="AC21" s="4">
        <f>SUM(AC6:AC20)/15</f>
        <v>0.42500000000000004</v>
      </c>
      <c r="AD21" s="4">
        <f>SUM(AD6:AD20)/15</f>
        <v>0.41589957497510083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8" t="s">
        <v>46</v>
      </c>
      <c r="B48" s="418"/>
      <c r="C48" s="418"/>
      <c r="D48" s="418"/>
      <c r="E48" s="418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9" t="s">
        <v>929</v>
      </c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1"/>
      <c r="N49" s="422" t="s">
        <v>942</v>
      </c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4"/>
    </row>
    <row r="50" spans="1:32" ht="27" customHeight="1">
      <c r="A50" s="425" t="s">
        <v>2</v>
      </c>
      <c r="B50" s="426"/>
      <c r="C50" s="331" t="s">
        <v>47</v>
      </c>
      <c r="D50" s="331" t="s">
        <v>48</v>
      </c>
      <c r="E50" s="331" t="s">
        <v>110</v>
      </c>
      <c r="F50" s="426" t="s">
        <v>109</v>
      </c>
      <c r="G50" s="426"/>
      <c r="H50" s="426"/>
      <c r="I50" s="426"/>
      <c r="J50" s="426"/>
      <c r="K50" s="426"/>
      <c r="L50" s="426"/>
      <c r="M50" s="427"/>
      <c r="N50" s="73" t="s">
        <v>114</v>
      </c>
      <c r="O50" s="331" t="s">
        <v>47</v>
      </c>
      <c r="P50" s="428" t="s">
        <v>48</v>
      </c>
      <c r="Q50" s="429"/>
      <c r="R50" s="428" t="s">
        <v>39</v>
      </c>
      <c r="S50" s="430"/>
      <c r="T50" s="430"/>
      <c r="U50" s="429"/>
      <c r="V50" s="428" t="s">
        <v>49</v>
      </c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09" t="s">
        <v>119</v>
      </c>
      <c r="B51" s="410"/>
      <c r="C51" s="332" t="s">
        <v>915</v>
      </c>
      <c r="D51" s="333" t="s">
        <v>884</v>
      </c>
      <c r="E51" s="332" t="s">
        <v>885</v>
      </c>
      <c r="F51" s="394" t="s">
        <v>930</v>
      </c>
      <c r="G51" s="394"/>
      <c r="H51" s="394"/>
      <c r="I51" s="394"/>
      <c r="J51" s="394"/>
      <c r="K51" s="394"/>
      <c r="L51" s="394"/>
      <c r="M51" s="404"/>
      <c r="N51" s="337" t="s">
        <v>119</v>
      </c>
      <c r="O51" s="74" t="s">
        <v>915</v>
      </c>
      <c r="P51" s="411" t="s">
        <v>155</v>
      </c>
      <c r="Q51" s="412"/>
      <c r="R51" s="403" t="s">
        <v>871</v>
      </c>
      <c r="S51" s="403"/>
      <c r="T51" s="403"/>
      <c r="U51" s="403"/>
      <c r="V51" s="394" t="s">
        <v>248</v>
      </c>
      <c r="W51" s="394"/>
      <c r="X51" s="394"/>
      <c r="Y51" s="394"/>
      <c r="Z51" s="394"/>
      <c r="AA51" s="394"/>
      <c r="AB51" s="394"/>
      <c r="AC51" s="394"/>
      <c r="AD51" s="404"/>
    </row>
    <row r="52" spans="1:32" ht="27" customHeight="1">
      <c r="A52" s="409" t="s">
        <v>931</v>
      </c>
      <c r="B52" s="410"/>
      <c r="C52" s="332" t="s">
        <v>932</v>
      </c>
      <c r="D52" s="333" t="s">
        <v>933</v>
      </c>
      <c r="E52" s="332" t="s">
        <v>928</v>
      </c>
      <c r="F52" s="394" t="s">
        <v>934</v>
      </c>
      <c r="G52" s="394"/>
      <c r="H52" s="394"/>
      <c r="I52" s="394"/>
      <c r="J52" s="394"/>
      <c r="K52" s="394"/>
      <c r="L52" s="394"/>
      <c r="M52" s="404"/>
      <c r="N52" s="337" t="s">
        <v>118</v>
      </c>
      <c r="O52" s="74" t="s">
        <v>236</v>
      </c>
      <c r="P52" s="411" t="s">
        <v>58</v>
      </c>
      <c r="Q52" s="412"/>
      <c r="R52" s="403" t="s">
        <v>831</v>
      </c>
      <c r="S52" s="403"/>
      <c r="T52" s="403"/>
      <c r="U52" s="403"/>
      <c r="V52" s="394" t="s">
        <v>248</v>
      </c>
      <c r="W52" s="394"/>
      <c r="X52" s="394"/>
      <c r="Y52" s="394"/>
      <c r="Z52" s="394"/>
      <c r="AA52" s="394"/>
      <c r="AB52" s="394"/>
      <c r="AC52" s="394"/>
      <c r="AD52" s="404"/>
    </row>
    <row r="53" spans="1:32" ht="27" customHeight="1">
      <c r="A53" s="409" t="s">
        <v>118</v>
      </c>
      <c r="B53" s="410"/>
      <c r="C53" s="332" t="s">
        <v>236</v>
      </c>
      <c r="D53" s="333" t="s">
        <v>58</v>
      </c>
      <c r="E53" s="332" t="s">
        <v>935</v>
      </c>
      <c r="F53" s="394" t="s">
        <v>936</v>
      </c>
      <c r="G53" s="394"/>
      <c r="H53" s="394"/>
      <c r="I53" s="394"/>
      <c r="J53" s="394"/>
      <c r="K53" s="394"/>
      <c r="L53" s="394"/>
      <c r="M53" s="404"/>
      <c r="N53" s="337" t="s">
        <v>943</v>
      </c>
      <c r="O53" s="74" t="s">
        <v>230</v>
      </c>
      <c r="P53" s="411" t="s">
        <v>944</v>
      </c>
      <c r="Q53" s="412"/>
      <c r="R53" s="403" t="s">
        <v>945</v>
      </c>
      <c r="S53" s="403"/>
      <c r="T53" s="403"/>
      <c r="U53" s="403"/>
      <c r="V53" s="394" t="s">
        <v>934</v>
      </c>
      <c r="W53" s="394"/>
      <c r="X53" s="394"/>
      <c r="Y53" s="394"/>
      <c r="Z53" s="394"/>
      <c r="AA53" s="394"/>
      <c r="AB53" s="394"/>
      <c r="AC53" s="394"/>
      <c r="AD53" s="404"/>
    </row>
    <row r="54" spans="1:32" ht="27" customHeight="1">
      <c r="A54" s="409" t="s">
        <v>937</v>
      </c>
      <c r="B54" s="410"/>
      <c r="C54" s="332" t="s">
        <v>938</v>
      </c>
      <c r="D54" s="333" t="s">
        <v>939</v>
      </c>
      <c r="E54" s="332" t="s">
        <v>940</v>
      </c>
      <c r="F54" s="394" t="s">
        <v>941</v>
      </c>
      <c r="G54" s="394"/>
      <c r="H54" s="394"/>
      <c r="I54" s="394"/>
      <c r="J54" s="394"/>
      <c r="K54" s="394"/>
      <c r="L54" s="394"/>
      <c r="M54" s="404"/>
      <c r="N54" s="337" t="s">
        <v>151</v>
      </c>
      <c r="O54" s="74" t="s">
        <v>932</v>
      </c>
      <c r="P54" s="411" t="s">
        <v>947</v>
      </c>
      <c r="Q54" s="412"/>
      <c r="R54" s="403" t="s">
        <v>946</v>
      </c>
      <c r="S54" s="403"/>
      <c r="T54" s="403"/>
      <c r="U54" s="403"/>
      <c r="V54" s="394" t="s">
        <v>934</v>
      </c>
      <c r="W54" s="394"/>
      <c r="X54" s="394"/>
      <c r="Y54" s="394"/>
      <c r="Z54" s="394"/>
      <c r="AA54" s="394"/>
      <c r="AB54" s="394"/>
      <c r="AC54" s="394"/>
      <c r="AD54" s="404"/>
    </row>
    <row r="55" spans="1:32" ht="27" customHeight="1">
      <c r="A55" s="409"/>
      <c r="B55" s="410"/>
      <c r="C55" s="332"/>
      <c r="D55" s="333"/>
      <c r="E55" s="332"/>
      <c r="F55" s="394"/>
      <c r="G55" s="394"/>
      <c r="H55" s="394"/>
      <c r="I55" s="394"/>
      <c r="J55" s="394"/>
      <c r="K55" s="394"/>
      <c r="L55" s="394"/>
      <c r="M55" s="404"/>
      <c r="N55" s="337"/>
      <c r="O55" s="74"/>
      <c r="P55" s="411"/>
      <c r="Q55" s="412"/>
      <c r="R55" s="403"/>
      <c r="S55" s="403"/>
      <c r="T55" s="403"/>
      <c r="U55" s="403"/>
      <c r="V55" s="394"/>
      <c r="W55" s="394"/>
      <c r="X55" s="394"/>
      <c r="Y55" s="394"/>
      <c r="Z55" s="394"/>
      <c r="AA55" s="394"/>
      <c r="AB55" s="394"/>
      <c r="AC55" s="394"/>
      <c r="AD55" s="404"/>
    </row>
    <row r="56" spans="1:32" ht="27" customHeight="1">
      <c r="A56" s="409"/>
      <c r="B56" s="410"/>
      <c r="C56" s="332"/>
      <c r="D56" s="333"/>
      <c r="E56" s="332"/>
      <c r="F56" s="394"/>
      <c r="G56" s="394"/>
      <c r="H56" s="394"/>
      <c r="I56" s="394"/>
      <c r="J56" s="394"/>
      <c r="K56" s="394"/>
      <c r="L56" s="394"/>
      <c r="M56" s="404"/>
      <c r="N56" s="337"/>
      <c r="O56" s="74"/>
      <c r="P56" s="403"/>
      <c r="Q56" s="403"/>
      <c r="R56" s="403"/>
      <c r="S56" s="403"/>
      <c r="T56" s="403"/>
      <c r="U56" s="403"/>
      <c r="V56" s="394"/>
      <c r="W56" s="394"/>
      <c r="X56" s="394"/>
      <c r="Y56" s="394"/>
      <c r="Z56" s="394"/>
      <c r="AA56" s="394"/>
      <c r="AB56" s="394"/>
      <c r="AC56" s="394"/>
      <c r="AD56" s="404"/>
    </row>
    <row r="57" spans="1:32" ht="27" customHeight="1">
      <c r="A57" s="409"/>
      <c r="B57" s="410"/>
      <c r="C57" s="332"/>
      <c r="D57" s="333"/>
      <c r="E57" s="332"/>
      <c r="F57" s="394"/>
      <c r="G57" s="394"/>
      <c r="H57" s="394"/>
      <c r="I57" s="394"/>
      <c r="J57" s="394"/>
      <c r="K57" s="394"/>
      <c r="L57" s="394"/>
      <c r="M57" s="404"/>
      <c r="N57" s="337"/>
      <c r="O57" s="74"/>
      <c r="P57" s="411"/>
      <c r="Q57" s="412"/>
      <c r="R57" s="403"/>
      <c r="S57" s="403"/>
      <c r="T57" s="403"/>
      <c r="U57" s="403"/>
      <c r="V57" s="394"/>
      <c r="W57" s="394"/>
      <c r="X57" s="394"/>
      <c r="Y57" s="394"/>
      <c r="Z57" s="394"/>
      <c r="AA57" s="394"/>
      <c r="AB57" s="394"/>
      <c r="AC57" s="394"/>
      <c r="AD57" s="404"/>
    </row>
    <row r="58" spans="1:32" ht="27" customHeight="1">
      <c r="A58" s="409"/>
      <c r="B58" s="410"/>
      <c r="C58" s="332"/>
      <c r="D58" s="333"/>
      <c r="E58" s="332"/>
      <c r="F58" s="394"/>
      <c r="G58" s="394"/>
      <c r="H58" s="394"/>
      <c r="I58" s="394"/>
      <c r="J58" s="394"/>
      <c r="K58" s="394"/>
      <c r="L58" s="394"/>
      <c r="M58" s="404"/>
      <c r="N58" s="337"/>
      <c r="O58" s="74"/>
      <c r="P58" s="403"/>
      <c r="Q58" s="403"/>
      <c r="R58" s="403"/>
      <c r="S58" s="403"/>
      <c r="T58" s="403"/>
      <c r="U58" s="403"/>
      <c r="V58" s="394"/>
      <c r="W58" s="394"/>
      <c r="X58" s="394"/>
      <c r="Y58" s="394"/>
      <c r="Z58" s="394"/>
      <c r="AA58" s="394"/>
      <c r="AB58" s="394"/>
      <c r="AC58" s="394"/>
      <c r="AD58" s="404"/>
    </row>
    <row r="59" spans="1:32" ht="27" customHeight="1">
      <c r="A59" s="402"/>
      <c r="B59" s="403"/>
      <c r="C59" s="333"/>
      <c r="D59" s="333"/>
      <c r="E59" s="333"/>
      <c r="F59" s="394"/>
      <c r="G59" s="394"/>
      <c r="H59" s="394"/>
      <c r="I59" s="394"/>
      <c r="J59" s="394"/>
      <c r="K59" s="394"/>
      <c r="L59" s="394"/>
      <c r="M59" s="404"/>
      <c r="N59" s="337"/>
      <c r="O59" s="74"/>
      <c r="P59" s="403"/>
      <c r="Q59" s="403"/>
      <c r="R59" s="403"/>
      <c r="S59" s="403"/>
      <c r="T59" s="403"/>
      <c r="U59" s="403"/>
      <c r="V59" s="394"/>
      <c r="W59" s="394"/>
      <c r="X59" s="394"/>
      <c r="Y59" s="394"/>
      <c r="Z59" s="394"/>
      <c r="AA59" s="394"/>
      <c r="AB59" s="394"/>
      <c r="AC59" s="394"/>
      <c r="AD59" s="404"/>
      <c r="AF59" s="94">
        <f>8*3000</f>
        <v>24000</v>
      </c>
    </row>
    <row r="60" spans="1:32" ht="27" customHeight="1" thickBot="1">
      <c r="A60" s="405"/>
      <c r="B60" s="406"/>
      <c r="C60" s="335"/>
      <c r="D60" s="335"/>
      <c r="E60" s="335"/>
      <c r="F60" s="407"/>
      <c r="G60" s="407"/>
      <c r="H60" s="407"/>
      <c r="I60" s="407"/>
      <c r="J60" s="407"/>
      <c r="K60" s="407"/>
      <c r="L60" s="407"/>
      <c r="M60" s="408"/>
      <c r="N60" s="334"/>
      <c r="O60" s="121"/>
      <c r="P60" s="406"/>
      <c r="Q60" s="406"/>
      <c r="R60" s="406"/>
      <c r="S60" s="406"/>
      <c r="T60" s="406"/>
      <c r="U60" s="406"/>
      <c r="V60" s="407"/>
      <c r="W60" s="407"/>
      <c r="X60" s="407"/>
      <c r="Y60" s="407"/>
      <c r="Z60" s="407"/>
      <c r="AA60" s="407"/>
      <c r="AB60" s="407"/>
      <c r="AC60" s="407"/>
      <c r="AD60" s="408"/>
      <c r="AF60" s="94">
        <f>16*3000</f>
        <v>48000</v>
      </c>
    </row>
    <row r="61" spans="1:32" ht="27.75" thickBot="1">
      <c r="A61" s="400" t="s">
        <v>960</v>
      </c>
      <c r="B61" s="400"/>
      <c r="C61" s="400"/>
      <c r="D61" s="400"/>
      <c r="E61" s="400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1" t="s">
        <v>115</v>
      </c>
      <c r="B62" s="398"/>
      <c r="C62" s="336" t="s">
        <v>2</v>
      </c>
      <c r="D62" s="336" t="s">
        <v>38</v>
      </c>
      <c r="E62" s="336" t="s">
        <v>3</v>
      </c>
      <c r="F62" s="398" t="s">
        <v>112</v>
      </c>
      <c r="G62" s="398"/>
      <c r="H62" s="398"/>
      <c r="I62" s="398"/>
      <c r="J62" s="398"/>
      <c r="K62" s="398" t="s">
        <v>40</v>
      </c>
      <c r="L62" s="398"/>
      <c r="M62" s="336" t="s">
        <v>41</v>
      </c>
      <c r="N62" s="398" t="s">
        <v>42</v>
      </c>
      <c r="O62" s="398"/>
      <c r="P62" s="395" t="s">
        <v>43</v>
      </c>
      <c r="Q62" s="397"/>
      <c r="R62" s="395" t="s">
        <v>44</v>
      </c>
      <c r="S62" s="396"/>
      <c r="T62" s="396"/>
      <c r="U62" s="396"/>
      <c r="V62" s="396"/>
      <c r="W62" s="396"/>
      <c r="X62" s="396"/>
      <c r="Y62" s="396"/>
      <c r="Z62" s="396"/>
      <c r="AA62" s="397"/>
      <c r="AB62" s="398" t="s">
        <v>45</v>
      </c>
      <c r="AC62" s="398"/>
      <c r="AD62" s="399"/>
      <c r="AF62" s="94">
        <f>SUM(AF59:AF61)</f>
        <v>96000</v>
      </c>
    </row>
    <row r="63" spans="1:32" ht="25.5" customHeight="1">
      <c r="A63" s="390">
        <v>1</v>
      </c>
      <c r="B63" s="391"/>
      <c r="C63" s="124" t="s">
        <v>948</v>
      </c>
      <c r="D63" s="340"/>
      <c r="E63" s="338"/>
      <c r="F63" s="392" t="s">
        <v>949</v>
      </c>
      <c r="G63" s="382"/>
      <c r="H63" s="382"/>
      <c r="I63" s="382"/>
      <c r="J63" s="382"/>
      <c r="K63" s="382">
        <v>7301</v>
      </c>
      <c r="L63" s="382"/>
      <c r="M63" s="54" t="s">
        <v>924</v>
      </c>
      <c r="N63" s="382">
        <v>8</v>
      </c>
      <c r="O63" s="382"/>
      <c r="P63" s="393">
        <v>100</v>
      </c>
      <c r="Q63" s="393"/>
      <c r="R63" s="394" t="s">
        <v>950</v>
      </c>
      <c r="S63" s="394"/>
      <c r="T63" s="394"/>
      <c r="U63" s="394"/>
      <c r="V63" s="394"/>
      <c r="W63" s="394"/>
      <c r="X63" s="394"/>
      <c r="Y63" s="394"/>
      <c r="Z63" s="394"/>
      <c r="AA63" s="394"/>
      <c r="AB63" s="382"/>
      <c r="AC63" s="382"/>
      <c r="AD63" s="383"/>
      <c r="AF63" s="53"/>
    </row>
    <row r="64" spans="1:32" ht="25.5" customHeight="1">
      <c r="A64" s="390">
        <v>2</v>
      </c>
      <c r="B64" s="391"/>
      <c r="C64" s="124" t="s">
        <v>119</v>
      </c>
      <c r="D64" s="340"/>
      <c r="E64" s="338" t="s">
        <v>951</v>
      </c>
      <c r="F64" s="392" t="s">
        <v>952</v>
      </c>
      <c r="G64" s="382"/>
      <c r="H64" s="382"/>
      <c r="I64" s="382"/>
      <c r="J64" s="382"/>
      <c r="K64" s="382" t="s">
        <v>953</v>
      </c>
      <c r="L64" s="382"/>
      <c r="M64" s="54" t="s">
        <v>924</v>
      </c>
      <c r="N64" s="382">
        <v>12</v>
      </c>
      <c r="O64" s="382"/>
      <c r="P64" s="393">
        <v>100</v>
      </c>
      <c r="Q64" s="393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82"/>
      <c r="AC64" s="382"/>
      <c r="AD64" s="383"/>
      <c r="AF64" s="53"/>
    </row>
    <row r="65" spans="1:32" ht="25.5" customHeight="1">
      <c r="A65" s="390">
        <v>3</v>
      </c>
      <c r="B65" s="391"/>
      <c r="C65" s="124" t="s">
        <v>119</v>
      </c>
      <c r="D65" s="340"/>
      <c r="E65" s="338" t="s">
        <v>954</v>
      </c>
      <c r="F65" s="392" t="s">
        <v>955</v>
      </c>
      <c r="G65" s="382"/>
      <c r="H65" s="382"/>
      <c r="I65" s="382"/>
      <c r="J65" s="382"/>
      <c r="K65" s="382" t="s">
        <v>956</v>
      </c>
      <c r="L65" s="382"/>
      <c r="M65" s="54" t="s">
        <v>924</v>
      </c>
      <c r="N65" s="382">
        <v>2</v>
      </c>
      <c r="O65" s="382"/>
      <c r="P65" s="393">
        <v>100</v>
      </c>
      <c r="Q65" s="393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82"/>
      <c r="AC65" s="382"/>
      <c r="AD65" s="383"/>
      <c r="AF65" s="53"/>
    </row>
    <row r="66" spans="1:32" ht="25.5" customHeight="1">
      <c r="A66" s="390">
        <v>4</v>
      </c>
      <c r="B66" s="391"/>
      <c r="C66" s="124" t="s">
        <v>119</v>
      </c>
      <c r="D66" s="340"/>
      <c r="E66" s="338" t="s">
        <v>951</v>
      </c>
      <c r="F66" s="392" t="s">
        <v>952</v>
      </c>
      <c r="G66" s="382"/>
      <c r="H66" s="382"/>
      <c r="I66" s="382"/>
      <c r="J66" s="382"/>
      <c r="K66" s="382" t="s">
        <v>957</v>
      </c>
      <c r="L66" s="382"/>
      <c r="M66" s="54" t="s">
        <v>924</v>
      </c>
      <c r="N66" s="382">
        <v>2</v>
      </c>
      <c r="O66" s="382"/>
      <c r="P66" s="393">
        <v>100</v>
      </c>
      <c r="Q66" s="393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82"/>
      <c r="AC66" s="382"/>
      <c r="AD66" s="383"/>
      <c r="AF66" s="53"/>
    </row>
    <row r="67" spans="1:32" ht="25.5" customHeight="1">
      <c r="A67" s="390">
        <v>5</v>
      </c>
      <c r="B67" s="391"/>
      <c r="C67" s="124" t="s">
        <v>118</v>
      </c>
      <c r="D67" s="340"/>
      <c r="E67" s="338" t="s">
        <v>58</v>
      </c>
      <c r="F67" s="392" t="s">
        <v>958</v>
      </c>
      <c r="G67" s="382"/>
      <c r="H67" s="382"/>
      <c r="I67" s="382"/>
      <c r="J67" s="382"/>
      <c r="K67" s="382">
        <v>7301</v>
      </c>
      <c r="L67" s="382"/>
      <c r="M67" s="54" t="s">
        <v>959</v>
      </c>
      <c r="N67" s="382">
        <v>8</v>
      </c>
      <c r="O67" s="382"/>
      <c r="P67" s="393">
        <v>50</v>
      </c>
      <c r="Q67" s="393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82"/>
      <c r="AC67" s="382"/>
      <c r="AD67" s="383"/>
      <c r="AF67" s="53"/>
    </row>
    <row r="68" spans="1:32" ht="25.5" customHeight="1">
      <c r="A68" s="390">
        <v>6</v>
      </c>
      <c r="B68" s="391"/>
      <c r="C68" s="124"/>
      <c r="D68" s="340"/>
      <c r="E68" s="338"/>
      <c r="F68" s="392"/>
      <c r="G68" s="382"/>
      <c r="H68" s="382"/>
      <c r="I68" s="382"/>
      <c r="J68" s="382"/>
      <c r="K68" s="382"/>
      <c r="L68" s="382"/>
      <c r="M68" s="54"/>
      <c r="N68" s="382"/>
      <c r="O68" s="382"/>
      <c r="P68" s="393"/>
      <c r="Q68" s="393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82"/>
      <c r="AC68" s="382"/>
      <c r="AD68" s="383"/>
      <c r="AF68" s="53"/>
    </row>
    <row r="69" spans="1:32" ht="25.5" customHeight="1">
      <c r="A69" s="390">
        <v>7</v>
      </c>
      <c r="B69" s="391"/>
      <c r="C69" s="124"/>
      <c r="D69" s="340"/>
      <c r="E69" s="338"/>
      <c r="F69" s="392"/>
      <c r="G69" s="382"/>
      <c r="H69" s="382"/>
      <c r="I69" s="382"/>
      <c r="J69" s="382"/>
      <c r="K69" s="382"/>
      <c r="L69" s="382"/>
      <c r="M69" s="54"/>
      <c r="N69" s="382"/>
      <c r="O69" s="382"/>
      <c r="P69" s="393"/>
      <c r="Q69" s="393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82"/>
      <c r="AC69" s="382"/>
      <c r="AD69" s="383"/>
      <c r="AF69" s="53"/>
    </row>
    <row r="70" spans="1:32" ht="25.5" customHeight="1">
      <c r="A70" s="390">
        <v>8</v>
      </c>
      <c r="B70" s="391"/>
      <c r="C70" s="124"/>
      <c r="D70" s="340"/>
      <c r="E70" s="338"/>
      <c r="F70" s="392"/>
      <c r="G70" s="382"/>
      <c r="H70" s="382"/>
      <c r="I70" s="382"/>
      <c r="J70" s="382"/>
      <c r="K70" s="382"/>
      <c r="L70" s="382"/>
      <c r="M70" s="54"/>
      <c r="N70" s="382"/>
      <c r="O70" s="382"/>
      <c r="P70" s="393"/>
      <c r="Q70" s="393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82"/>
      <c r="AC70" s="382"/>
      <c r="AD70" s="383"/>
      <c r="AF70" s="53"/>
    </row>
    <row r="71" spans="1:32" ht="26.25" customHeight="1" thickBot="1">
      <c r="A71" s="363" t="s">
        <v>961</v>
      </c>
      <c r="B71" s="363"/>
      <c r="C71" s="363"/>
      <c r="D71" s="363"/>
      <c r="E71" s="363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84" t="s">
        <v>115</v>
      </c>
      <c r="B72" s="385"/>
      <c r="C72" s="339" t="s">
        <v>2</v>
      </c>
      <c r="D72" s="339" t="s">
        <v>38</v>
      </c>
      <c r="E72" s="339" t="s">
        <v>3</v>
      </c>
      <c r="F72" s="385" t="s">
        <v>39</v>
      </c>
      <c r="G72" s="385"/>
      <c r="H72" s="385"/>
      <c r="I72" s="385"/>
      <c r="J72" s="385"/>
      <c r="K72" s="386" t="s">
        <v>60</v>
      </c>
      <c r="L72" s="387"/>
      <c r="M72" s="387"/>
      <c r="N72" s="387"/>
      <c r="O72" s="387"/>
      <c r="P72" s="387"/>
      <c r="Q72" s="387"/>
      <c r="R72" s="387"/>
      <c r="S72" s="388"/>
      <c r="T72" s="385" t="s">
        <v>50</v>
      </c>
      <c r="U72" s="385"/>
      <c r="V72" s="386" t="s">
        <v>51</v>
      </c>
      <c r="W72" s="388"/>
      <c r="X72" s="387" t="s">
        <v>52</v>
      </c>
      <c r="Y72" s="387"/>
      <c r="Z72" s="387"/>
      <c r="AA72" s="387"/>
      <c r="AB72" s="387"/>
      <c r="AC72" s="387"/>
      <c r="AD72" s="389"/>
      <c r="AF72" s="53"/>
    </row>
    <row r="73" spans="1:32" ht="33.75" customHeight="1">
      <c r="A73" s="357">
        <v>1</v>
      </c>
      <c r="B73" s="358"/>
      <c r="C73" s="341" t="s">
        <v>118</v>
      </c>
      <c r="D73" s="341"/>
      <c r="E73" s="71" t="s">
        <v>124</v>
      </c>
      <c r="F73" s="371" t="s">
        <v>125</v>
      </c>
      <c r="G73" s="372"/>
      <c r="H73" s="372"/>
      <c r="I73" s="372"/>
      <c r="J73" s="373"/>
      <c r="K73" s="374" t="s">
        <v>120</v>
      </c>
      <c r="L73" s="375"/>
      <c r="M73" s="375"/>
      <c r="N73" s="375"/>
      <c r="O73" s="375"/>
      <c r="P73" s="375"/>
      <c r="Q73" s="375"/>
      <c r="R73" s="375"/>
      <c r="S73" s="376"/>
      <c r="T73" s="377">
        <v>42901</v>
      </c>
      <c r="U73" s="378"/>
      <c r="V73" s="379"/>
      <c r="W73" s="379"/>
      <c r="X73" s="380"/>
      <c r="Y73" s="380"/>
      <c r="Z73" s="380"/>
      <c r="AA73" s="380"/>
      <c r="AB73" s="380"/>
      <c r="AC73" s="380"/>
      <c r="AD73" s="381"/>
      <c r="AF73" s="53"/>
    </row>
    <row r="74" spans="1:32" ht="30" customHeight="1">
      <c r="A74" s="350">
        <f>A73+1</f>
        <v>2</v>
      </c>
      <c r="B74" s="351"/>
      <c r="C74" s="340" t="s">
        <v>118</v>
      </c>
      <c r="D74" s="340"/>
      <c r="E74" s="35" t="s">
        <v>121</v>
      </c>
      <c r="F74" s="351" t="s">
        <v>122</v>
      </c>
      <c r="G74" s="351"/>
      <c r="H74" s="351"/>
      <c r="I74" s="351"/>
      <c r="J74" s="351"/>
      <c r="K74" s="365" t="s">
        <v>123</v>
      </c>
      <c r="L74" s="366"/>
      <c r="M74" s="366"/>
      <c r="N74" s="366"/>
      <c r="O74" s="366"/>
      <c r="P74" s="366"/>
      <c r="Q74" s="366"/>
      <c r="R74" s="366"/>
      <c r="S74" s="367"/>
      <c r="T74" s="368">
        <v>42867</v>
      </c>
      <c r="U74" s="368"/>
      <c r="V74" s="368"/>
      <c r="W74" s="368"/>
      <c r="X74" s="369"/>
      <c r="Y74" s="369"/>
      <c r="Z74" s="369"/>
      <c r="AA74" s="369"/>
      <c r="AB74" s="369"/>
      <c r="AC74" s="369"/>
      <c r="AD74" s="370"/>
      <c r="AF74" s="53"/>
    </row>
    <row r="75" spans="1:32" ht="30" customHeight="1">
      <c r="A75" s="350">
        <f t="shared" ref="A75:A81" si="12">A74+1</f>
        <v>3</v>
      </c>
      <c r="B75" s="351"/>
      <c r="C75" s="340" t="s">
        <v>137</v>
      </c>
      <c r="D75" s="340"/>
      <c r="E75" s="35" t="s">
        <v>135</v>
      </c>
      <c r="F75" s="351" t="s">
        <v>138</v>
      </c>
      <c r="G75" s="351"/>
      <c r="H75" s="351"/>
      <c r="I75" s="351"/>
      <c r="J75" s="351"/>
      <c r="K75" s="365" t="s">
        <v>120</v>
      </c>
      <c r="L75" s="366"/>
      <c r="M75" s="366"/>
      <c r="N75" s="366"/>
      <c r="O75" s="366"/>
      <c r="P75" s="366"/>
      <c r="Q75" s="366"/>
      <c r="R75" s="366"/>
      <c r="S75" s="367"/>
      <c r="T75" s="368">
        <v>42937</v>
      </c>
      <c r="U75" s="368"/>
      <c r="V75" s="368"/>
      <c r="W75" s="368"/>
      <c r="X75" s="369"/>
      <c r="Y75" s="369"/>
      <c r="Z75" s="369"/>
      <c r="AA75" s="369"/>
      <c r="AB75" s="369"/>
      <c r="AC75" s="369"/>
      <c r="AD75" s="370"/>
      <c r="AF75" s="53"/>
    </row>
    <row r="76" spans="1:32" ht="30" customHeight="1">
      <c r="A76" s="350">
        <f t="shared" si="12"/>
        <v>4</v>
      </c>
      <c r="B76" s="351"/>
      <c r="C76" s="340" t="s">
        <v>119</v>
      </c>
      <c r="D76" s="340"/>
      <c r="E76" s="35" t="s">
        <v>133</v>
      </c>
      <c r="F76" s="351" t="s">
        <v>134</v>
      </c>
      <c r="G76" s="351"/>
      <c r="H76" s="351"/>
      <c r="I76" s="351"/>
      <c r="J76" s="351"/>
      <c r="K76" s="365" t="s">
        <v>136</v>
      </c>
      <c r="L76" s="366"/>
      <c r="M76" s="366"/>
      <c r="N76" s="366"/>
      <c r="O76" s="366"/>
      <c r="P76" s="366"/>
      <c r="Q76" s="366"/>
      <c r="R76" s="366"/>
      <c r="S76" s="367"/>
      <c r="T76" s="368">
        <v>42920</v>
      </c>
      <c r="U76" s="368"/>
      <c r="V76" s="368"/>
      <c r="W76" s="368"/>
      <c r="X76" s="369"/>
      <c r="Y76" s="369"/>
      <c r="Z76" s="369"/>
      <c r="AA76" s="369"/>
      <c r="AB76" s="369"/>
      <c r="AC76" s="369"/>
      <c r="AD76" s="370"/>
      <c r="AF76" s="53"/>
    </row>
    <row r="77" spans="1:32" ht="30" customHeight="1">
      <c r="A77" s="350">
        <f t="shared" si="12"/>
        <v>5</v>
      </c>
      <c r="B77" s="351"/>
      <c r="C77" s="340" t="s">
        <v>118</v>
      </c>
      <c r="D77" s="340"/>
      <c r="E77" s="35" t="s">
        <v>157</v>
      </c>
      <c r="F77" s="351" t="s">
        <v>715</v>
      </c>
      <c r="G77" s="351"/>
      <c r="H77" s="351"/>
      <c r="I77" s="351"/>
      <c r="J77" s="351"/>
      <c r="K77" s="365" t="s">
        <v>716</v>
      </c>
      <c r="L77" s="366"/>
      <c r="M77" s="366"/>
      <c r="N77" s="366"/>
      <c r="O77" s="366"/>
      <c r="P77" s="366"/>
      <c r="Q77" s="366"/>
      <c r="R77" s="366"/>
      <c r="S77" s="367"/>
      <c r="T77" s="368">
        <v>43033</v>
      </c>
      <c r="U77" s="368"/>
      <c r="V77" s="368"/>
      <c r="W77" s="368"/>
      <c r="X77" s="369"/>
      <c r="Y77" s="369"/>
      <c r="Z77" s="369"/>
      <c r="AA77" s="369"/>
      <c r="AB77" s="369"/>
      <c r="AC77" s="369"/>
      <c r="AD77" s="370"/>
      <c r="AF77" s="53"/>
    </row>
    <row r="78" spans="1:32" ht="30" customHeight="1">
      <c r="A78" s="350">
        <f t="shared" si="12"/>
        <v>6</v>
      </c>
      <c r="B78" s="351"/>
      <c r="C78" s="340"/>
      <c r="D78" s="340"/>
      <c r="E78" s="35"/>
      <c r="F78" s="351"/>
      <c r="G78" s="351"/>
      <c r="H78" s="351"/>
      <c r="I78" s="351"/>
      <c r="J78" s="351"/>
      <c r="K78" s="365"/>
      <c r="L78" s="366"/>
      <c r="M78" s="366"/>
      <c r="N78" s="366"/>
      <c r="O78" s="366"/>
      <c r="P78" s="366"/>
      <c r="Q78" s="366"/>
      <c r="R78" s="366"/>
      <c r="S78" s="367"/>
      <c r="T78" s="368"/>
      <c r="U78" s="368"/>
      <c r="V78" s="368"/>
      <c r="W78" s="368"/>
      <c r="X78" s="369"/>
      <c r="Y78" s="369"/>
      <c r="Z78" s="369"/>
      <c r="AA78" s="369"/>
      <c r="AB78" s="369"/>
      <c r="AC78" s="369"/>
      <c r="AD78" s="370"/>
      <c r="AF78" s="53"/>
    </row>
    <row r="79" spans="1:32" ht="30" customHeight="1">
      <c r="A79" s="350">
        <f t="shared" si="12"/>
        <v>7</v>
      </c>
      <c r="B79" s="351"/>
      <c r="C79" s="340"/>
      <c r="D79" s="340"/>
      <c r="E79" s="35"/>
      <c r="F79" s="351"/>
      <c r="G79" s="351"/>
      <c r="H79" s="351"/>
      <c r="I79" s="351"/>
      <c r="J79" s="351"/>
      <c r="K79" s="365"/>
      <c r="L79" s="366"/>
      <c r="M79" s="366"/>
      <c r="N79" s="366"/>
      <c r="O79" s="366"/>
      <c r="P79" s="366"/>
      <c r="Q79" s="366"/>
      <c r="R79" s="366"/>
      <c r="S79" s="367"/>
      <c r="T79" s="368"/>
      <c r="U79" s="368"/>
      <c r="V79" s="368"/>
      <c r="W79" s="368"/>
      <c r="X79" s="369"/>
      <c r="Y79" s="369"/>
      <c r="Z79" s="369"/>
      <c r="AA79" s="369"/>
      <c r="AB79" s="369"/>
      <c r="AC79" s="369"/>
      <c r="AD79" s="370"/>
      <c r="AF79" s="53"/>
    </row>
    <row r="80" spans="1:32" ht="30" customHeight="1">
      <c r="A80" s="350">
        <f t="shared" si="12"/>
        <v>8</v>
      </c>
      <c r="B80" s="351"/>
      <c r="C80" s="340"/>
      <c r="D80" s="340"/>
      <c r="E80" s="35"/>
      <c r="F80" s="351"/>
      <c r="G80" s="351"/>
      <c r="H80" s="351"/>
      <c r="I80" s="351"/>
      <c r="J80" s="351"/>
      <c r="K80" s="365"/>
      <c r="L80" s="366"/>
      <c r="M80" s="366"/>
      <c r="N80" s="366"/>
      <c r="O80" s="366"/>
      <c r="P80" s="366"/>
      <c r="Q80" s="366"/>
      <c r="R80" s="366"/>
      <c r="S80" s="367"/>
      <c r="T80" s="368"/>
      <c r="U80" s="368"/>
      <c r="V80" s="368"/>
      <c r="W80" s="368"/>
      <c r="X80" s="369"/>
      <c r="Y80" s="369"/>
      <c r="Z80" s="369"/>
      <c r="AA80" s="369"/>
      <c r="AB80" s="369"/>
      <c r="AC80" s="369"/>
      <c r="AD80" s="370"/>
      <c r="AF80" s="53"/>
    </row>
    <row r="81" spans="1:32" ht="30" customHeight="1">
      <c r="A81" s="350">
        <f t="shared" si="12"/>
        <v>9</v>
      </c>
      <c r="B81" s="351"/>
      <c r="C81" s="340"/>
      <c r="D81" s="340"/>
      <c r="E81" s="35"/>
      <c r="F81" s="351"/>
      <c r="G81" s="351"/>
      <c r="H81" s="351"/>
      <c r="I81" s="351"/>
      <c r="J81" s="351"/>
      <c r="K81" s="365"/>
      <c r="L81" s="366"/>
      <c r="M81" s="366"/>
      <c r="N81" s="366"/>
      <c r="O81" s="366"/>
      <c r="P81" s="366"/>
      <c r="Q81" s="366"/>
      <c r="R81" s="366"/>
      <c r="S81" s="367"/>
      <c r="T81" s="368"/>
      <c r="U81" s="368"/>
      <c r="V81" s="368"/>
      <c r="W81" s="368"/>
      <c r="X81" s="369"/>
      <c r="Y81" s="369"/>
      <c r="Z81" s="369"/>
      <c r="AA81" s="369"/>
      <c r="AB81" s="369"/>
      <c r="AC81" s="369"/>
      <c r="AD81" s="370"/>
      <c r="AF81" s="53"/>
    </row>
    <row r="82" spans="1:32" ht="36" thickBot="1">
      <c r="A82" s="363" t="s">
        <v>962</v>
      </c>
      <c r="B82" s="363"/>
      <c r="C82" s="363"/>
      <c r="D82" s="363"/>
      <c r="E82" s="363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84" t="s">
        <v>115</v>
      </c>
      <c r="B83" s="385"/>
      <c r="C83" s="355" t="s">
        <v>53</v>
      </c>
      <c r="D83" s="355"/>
      <c r="E83" s="355" t="s">
        <v>54</v>
      </c>
      <c r="F83" s="355"/>
      <c r="G83" s="355"/>
      <c r="H83" s="355"/>
      <c r="I83" s="355"/>
      <c r="J83" s="355"/>
      <c r="K83" s="355" t="s">
        <v>55</v>
      </c>
      <c r="L83" s="355"/>
      <c r="M83" s="355"/>
      <c r="N83" s="355"/>
      <c r="O83" s="355"/>
      <c r="P83" s="355"/>
      <c r="Q83" s="355"/>
      <c r="R83" s="355"/>
      <c r="S83" s="355"/>
      <c r="T83" s="355" t="s">
        <v>56</v>
      </c>
      <c r="U83" s="355"/>
      <c r="V83" s="355" t="s">
        <v>57</v>
      </c>
      <c r="W83" s="355"/>
      <c r="X83" s="355"/>
      <c r="Y83" s="355" t="s">
        <v>52</v>
      </c>
      <c r="Z83" s="355"/>
      <c r="AA83" s="355"/>
      <c r="AB83" s="355"/>
      <c r="AC83" s="355"/>
      <c r="AD83" s="356"/>
      <c r="AF83" s="53"/>
    </row>
    <row r="84" spans="1:32" ht="30.75" customHeight="1">
      <c r="A84" s="357">
        <v>1</v>
      </c>
      <c r="B84" s="358"/>
      <c r="C84" s="359">
        <v>1</v>
      </c>
      <c r="D84" s="359"/>
      <c r="E84" s="359" t="s">
        <v>128</v>
      </c>
      <c r="F84" s="359"/>
      <c r="G84" s="359"/>
      <c r="H84" s="359"/>
      <c r="I84" s="359"/>
      <c r="J84" s="359"/>
      <c r="K84" s="359" t="s">
        <v>129</v>
      </c>
      <c r="L84" s="359"/>
      <c r="M84" s="359"/>
      <c r="N84" s="359"/>
      <c r="O84" s="359"/>
      <c r="P84" s="359"/>
      <c r="Q84" s="359"/>
      <c r="R84" s="359"/>
      <c r="S84" s="359"/>
      <c r="T84" s="359" t="s">
        <v>130</v>
      </c>
      <c r="U84" s="359"/>
      <c r="V84" s="360">
        <v>1500000</v>
      </c>
      <c r="W84" s="360"/>
      <c r="X84" s="360"/>
      <c r="Y84" s="361" t="s">
        <v>131</v>
      </c>
      <c r="Z84" s="361"/>
      <c r="AA84" s="361"/>
      <c r="AB84" s="361"/>
      <c r="AC84" s="361"/>
      <c r="AD84" s="362"/>
      <c r="AF84" s="53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3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이름이 지정된 범위</vt:lpstr>
      </vt:variant>
      <vt:variant>
        <vt:i4>21</vt:i4>
      </vt:variant>
    </vt:vector>
  </HeadingPairs>
  <TitlesOfParts>
    <vt:vector size="43" baseType="lpstr">
      <vt:lpstr>총괄</vt:lpstr>
      <vt:lpstr>01</vt:lpstr>
      <vt:lpstr>09</vt:lpstr>
      <vt:lpstr>10</vt:lpstr>
      <vt:lpstr>11</vt:lpstr>
      <vt:lpstr>12</vt:lpstr>
      <vt:lpstr>13</vt:lpstr>
      <vt:lpstr>16</vt:lpstr>
      <vt:lpstr>17</vt:lpstr>
      <vt:lpstr>18</vt:lpstr>
      <vt:lpstr>19</vt:lpstr>
      <vt:lpstr>20</vt:lpstr>
      <vt:lpstr>21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'01'!Print_Area</vt:lpstr>
      <vt:lpstr>'09'!Print_Area</vt:lpstr>
      <vt:lpstr>'10'!Print_Area</vt:lpstr>
      <vt:lpstr>'11'!Print_Area</vt:lpstr>
      <vt:lpstr>'12'!Print_Area</vt:lpstr>
      <vt:lpstr>'13'!Print_Area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2017-11-02T09:38:36Z</dcterms:modified>
</cp:coreProperties>
</file>