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drawing49.xml" ContentType="application/vnd.openxmlformats-officedocument.drawingml.chartshapes+xml"/>
  <Override PartName="/xl/drawings/drawing50.xml" ContentType="application/vnd.openxmlformats-officedocument.drawing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drawings/drawing51.xml" ContentType="application/vnd.openxmlformats-officedocument.drawingml.chartshapes+xml"/>
  <Override PartName="/xl/drawings/drawing52.xml" ContentType="application/vnd.openxmlformats-officedocument.drawing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drawings/drawing53.xml" ContentType="application/vnd.openxmlformats-officedocument.drawingml.chartshapes+xml"/>
  <Override PartName="/xl/drawings/drawing54.xml" ContentType="application/vnd.openxmlformats-officedocument.drawing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drawings/drawing5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480" yWindow="1350" windowWidth="14880" windowHeight="7245" activeTab="27"/>
  </bookViews>
  <sheets>
    <sheet name="총괄" sheetId="16" r:id="rId1"/>
    <sheet name="01" sheetId="1055" r:id="rId2"/>
    <sheet name="02" sheetId="1056" r:id="rId3"/>
    <sheet name="03" sheetId="1057" r:id="rId4"/>
    <sheet name="04" sheetId="1058" r:id="rId5"/>
    <sheet name="05" sheetId="1059" r:id="rId6"/>
    <sheet name="06" sheetId="1060" r:id="rId7"/>
    <sheet name="07" sheetId="1061" r:id="rId8"/>
    <sheet name="08" sheetId="1062" r:id="rId9"/>
    <sheet name="09" sheetId="1063" r:id="rId10"/>
    <sheet name="10" sheetId="1064" r:id="rId11"/>
    <sheet name="11" sheetId="1065" r:id="rId12"/>
    <sheet name="13" sheetId="1066" r:id="rId13"/>
    <sheet name="14" sheetId="1067" r:id="rId14"/>
    <sheet name="15" sheetId="1068" r:id="rId15"/>
    <sheet name="16" sheetId="1069" r:id="rId16"/>
    <sheet name="17" sheetId="1070" r:id="rId17"/>
    <sheet name="18" sheetId="1071" r:id="rId18"/>
    <sheet name="21" sheetId="1072" r:id="rId19"/>
    <sheet name="22" sheetId="1073" r:id="rId20"/>
    <sheet name="23" sheetId="1074" r:id="rId21"/>
    <sheet name="24" sheetId="1075" r:id="rId22"/>
    <sheet name="25" sheetId="1076" r:id="rId23"/>
    <sheet name="26" sheetId="1077" r:id="rId24"/>
    <sheet name="27" sheetId="1078" r:id="rId25"/>
    <sheet name="28" sheetId="1079" r:id="rId26"/>
    <sheet name="29" sheetId="1080" r:id="rId27"/>
    <sheet name="30" sheetId="1081" r:id="rId28"/>
  </sheets>
  <definedNames>
    <definedName name="_xlnm.Print_Area" localSheetId="1">'01'!$A$1:$AD$87</definedName>
    <definedName name="_xlnm.Print_Area" localSheetId="2">'02'!$A$1:$AD$87</definedName>
    <definedName name="_xlnm.Print_Area" localSheetId="3">'03'!$A$1:$AD$88</definedName>
    <definedName name="_xlnm.Print_Area" localSheetId="4">'04'!$A$1:$AD$86</definedName>
    <definedName name="_xlnm.Print_Area" localSheetId="5">'05'!$A$1:$AD$86</definedName>
    <definedName name="_xlnm.Print_Area" localSheetId="6">'06'!$A$1:$AD$87</definedName>
    <definedName name="_xlnm.Print_Area" localSheetId="7">'07'!$A$1:$AD$86</definedName>
    <definedName name="_xlnm.Print_Area" localSheetId="8">'08'!$A$1:$AD$87</definedName>
    <definedName name="_xlnm.Print_Area" localSheetId="9">'09'!$A$1:$AD$87</definedName>
    <definedName name="_xlnm.Print_Area" localSheetId="10">'10'!$A$1:$AD$86</definedName>
    <definedName name="_xlnm.Print_Area" localSheetId="11">'11'!$A$1:$AD$86</definedName>
    <definedName name="_xlnm.Print_Area" localSheetId="12">'13'!$A$1:$AD$87</definedName>
    <definedName name="_xlnm.Print_Area" localSheetId="13">'14'!$A$1:$AD$86</definedName>
    <definedName name="_xlnm.Print_Area" localSheetId="14">'15'!$A$1:$AD$87</definedName>
    <definedName name="_xlnm.Print_Area" localSheetId="15">'16'!$A$1:$AD$88</definedName>
    <definedName name="_xlnm.Print_Area" localSheetId="16">'17'!$A$1:$AD$86</definedName>
    <definedName name="_xlnm.Print_Area" localSheetId="17">'18'!$A$1:$AD$87</definedName>
    <definedName name="_xlnm.Print_Area" localSheetId="18">'21'!$A$1:$AD$86</definedName>
    <definedName name="_xlnm.Print_Area" localSheetId="19">'22'!$A$1:$AD$86</definedName>
    <definedName name="_xlnm.Print_Area" localSheetId="20">'23'!$A$1:$AD$86</definedName>
    <definedName name="_xlnm.Print_Area" localSheetId="21">'24'!$A$1:$AD$88</definedName>
    <definedName name="_xlnm.Print_Area" localSheetId="22">'25'!$A$1:$AD$88</definedName>
    <definedName name="_xlnm.Print_Area" localSheetId="23">'26'!$A$1:$AD$86</definedName>
    <definedName name="_xlnm.Print_Area" localSheetId="24">'27'!$A$1:$AD$86</definedName>
    <definedName name="_xlnm.Print_Area" localSheetId="25">'28'!$A$1:$AD$86</definedName>
    <definedName name="_xlnm.Print_Area" localSheetId="26">'29'!$A$1:$AD$87</definedName>
    <definedName name="_xlnm.Print_Area" localSheetId="27">'30'!$A$1:$AD$86</definedName>
  </definedNames>
  <calcPr calcId="144525"/>
</workbook>
</file>

<file path=xl/calcChain.xml><?xml version="1.0" encoding="utf-8"?>
<calcChain xmlns="http://schemas.openxmlformats.org/spreadsheetml/2006/main">
  <c r="AE18" i="16" l="1"/>
  <c r="AE17" i="16"/>
  <c r="AE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L20" i="1081"/>
  <c r="K20" i="1081" s="1"/>
  <c r="L19" i="1081"/>
  <c r="K19" i="1081" s="1"/>
  <c r="L18" i="1081"/>
  <c r="K18" i="1081" s="1"/>
  <c r="L17" i="1081"/>
  <c r="K17" i="1081" s="1"/>
  <c r="L16" i="1081"/>
  <c r="L15" i="1081"/>
  <c r="K15" i="1081" s="1"/>
  <c r="K14" i="1081"/>
  <c r="L13" i="1081"/>
  <c r="L11" i="1081"/>
  <c r="K11" i="1081" s="1"/>
  <c r="L8" i="1081"/>
  <c r="K8" i="1081"/>
  <c r="L7" i="1081"/>
  <c r="AB7" i="1081" s="1"/>
  <c r="L6" i="1081"/>
  <c r="K6" i="1081" s="1"/>
  <c r="K16" i="1081"/>
  <c r="K13" i="1081"/>
  <c r="K12" i="1081"/>
  <c r="K10" i="1081"/>
  <c r="K9" i="1081"/>
  <c r="A74" i="1081"/>
  <c r="A75" i="1081" s="1"/>
  <c r="A76" i="1081" s="1"/>
  <c r="A77" i="1081" s="1"/>
  <c r="A78" i="1081" s="1"/>
  <c r="A79" i="1081" s="1"/>
  <c r="A80" i="1081" s="1"/>
  <c r="A81" i="1081" s="1"/>
  <c r="AF60" i="1081"/>
  <c r="AF59" i="1081"/>
  <c r="AF62" i="1081" s="1"/>
  <c r="AA21" i="1081"/>
  <c r="Z21" i="1081"/>
  <c r="Y21" i="1081"/>
  <c r="X21" i="1081"/>
  <c r="W21" i="1081"/>
  <c r="V21" i="1081"/>
  <c r="U21" i="1081"/>
  <c r="T21" i="1081"/>
  <c r="S21" i="1081"/>
  <c r="R21" i="1081"/>
  <c r="N21" i="1081"/>
  <c r="J21" i="1081"/>
  <c r="I21" i="1081"/>
  <c r="AF20" i="1081"/>
  <c r="Q20" i="1081"/>
  <c r="AF19" i="1081"/>
  <c r="Q19" i="1081"/>
  <c r="AB19" i="1081"/>
  <c r="AF18" i="1081"/>
  <c r="Q18" i="1081"/>
  <c r="P18" i="1081" s="1"/>
  <c r="AC18" i="1081" s="1"/>
  <c r="AF17" i="1081"/>
  <c r="Q17" i="1081"/>
  <c r="AB17" i="1081"/>
  <c r="AF16" i="1081"/>
  <c r="Q16" i="1081"/>
  <c r="P16" i="1081"/>
  <c r="AC16" i="1081" s="1"/>
  <c r="AF15" i="1081"/>
  <c r="AB15" i="1081"/>
  <c r="Q15" i="1081"/>
  <c r="P15" i="1081" s="1"/>
  <c r="AC15" i="1081" s="1"/>
  <c r="O15" i="1081"/>
  <c r="M15" i="1081"/>
  <c r="AF14" i="1081"/>
  <c r="AB14" i="1081"/>
  <c r="Q14" i="1081"/>
  <c r="P14" i="1081" s="1"/>
  <c r="AC14" i="1081" s="1"/>
  <c r="O14" i="1081"/>
  <c r="M14" i="1081"/>
  <c r="AF13" i="1081"/>
  <c r="AB13" i="1081"/>
  <c r="Q13" i="1081"/>
  <c r="P13" i="1081"/>
  <c r="AC13" i="1081" s="1"/>
  <c r="O13" i="1081"/>
  <c r="M13" i="1081"/>
  <c r="AF12" i="1081"/>
  <c r="AB12" i="1081"/>
  <c r="Q12" i="1081"/>
  <c r="P12" i="1081" s="1"/>
  <c r="AC12" i="1081" s="1"/>
  <c r="O12" i="1081"/>
  <c r="M12" i="1081"/>
  <c r="AF11" i="1081"/>
  <c r="AB11" i="1081"/>
  <c r="Q11" i="1081"/>
  <c r="P11" i="1081" s="1"/>
  <c r="AC11" i="1081" s="1"/>
  <c r="O11" i="1081"/>
  <c r="M11" i="1081"/>
  <c r="AF10" i="1081"/>
  <c r="Q10" i="1081"/>
  <c r="O10" i="1081"/>
  <c r="M10" i="1081"/>
  <c r="AB10" i="1081"/>
  <c r="AF9" i="1081"/>
  <c r="AB9" i="1081"/>
  <c r="Q9" i="1081"/>
  <c r="P9" i="1081" s="1"/>
  <c r="AC9" i="1081" s="1"/>
  <c r="AD9" i="1081" s="1"/>
  <c r="O9" i="1081"/>
  <c r="M9" i="1081"/>
  <c r="AF8" i="1081"/>
  <c r="Q8" i="1081"/>
  <c r="P8" i="1081"/>
  <c r="AC8" i="1081" s="1"/>
  <c r="O8" i="1081"/>
  <c r="M8" i="1081"/>
  <c r="AB8" i="1081"/>
  <c r="AF7" i="1081"/>
  <c r="Q7" i="1081"/>
  <c r="M7" i="1081"/>
  <c r="P7" i="1081"/>
  <c r="AC7" i="1081" s="1"/>
  <c r="AF6" i="1081"/>
  <c r="Q6" i="1081"/>
  <c r="AB6" i="1081"/>
  <c r="M20" i="1081" l="1"/>
  <c r="O20" i="1081"/>
  <c r="AD15" i="1081"/>
  <c r="AD11" i="1081"/>
  <c r="Q21" i="1081"/>
  <c r="O7" i="1081"/>
  <c r="AD7" i="1081" s="1"/>
  <c r="K7" i="1081"/>
  <c r="AD8" i="1081"/>
  <c r="AD12" i="1081"/>
  <c r="AD14" i="1081"/>
  <c r="AD13" i="1081"/>
  <c r="M6" i="1081"/>
  <c r="O6" i="1081"/>
  <c r="P10" i="1081"/>
  <c r="AC10" i="1081" s="1"/>
  <c r="AD10" i="1081" s="1"/>
  <c r="M16" i="1081"/>
  <c r="AB16" i="1081"/>
  <c r="O17" i="1081"/>
  <c r="M18" i="1081"/>
  <c r="AB18" i="1081"/>
  <c r="O19" i="1081"/>
  <c r="P20" i="1081"/>
  <c r="AC20" i="1081" s="1"/>
  <c r="P6" i="1081"/>
  <c r="O16" i="1081"/>
  <c r="P17" i="1081"/>
  <c r="AC17" i="1081" s="1"/>
  <c r="O18" i="1081"/>
  <c r="P19" i="1081"/>
  <c r="AC19" i="1081" s="1"/>
  <c r="AD19" i="1081" s="1"/>
  <c r="AB20" i="1081"/>
  <c r="L21" i="1081"/>
  <c r="O21" i="1081" s="1"/>
  <c r="M17" i="1081"/>
  <c r="M19" i="1081"/>
  <c r="AD18" i="16"/>
  <c r="A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4" i="16"/>
  <c r="AD3" i="16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L21" i="1080"/>
  <c r="L20" i="1080"/>
  <c r="L19" i="1080"/>
  <c r="K19" i="1080" s="1"/>
  <c r="AF19" i="1080"/>
  <c r="Q19" i="1080"/>
  <c r="P19" i="1080" s="1"/>
  <c r="AC19" i="1080" s="1"/>
  <c r="M19" i="1080"/>
  <c r="L17" i="1080"/>
  <c r="K17" i="1080" s="1"/>
  <c r="L16" i="1080"/>
  <c r="K16" i="1080" s="1"/>
  <c r="L13" i="1080"/>
  <c r="K13" i="1080" s="1"/>
  <c r="L10" i="1080"/>
  <c r="L8" i="1080"/>
  <c r="K8" i="1080" s="1"/>
  <c r="L7" i="1080"/>
  <c r="K7" i="1080" s="1"/>
  <c r="L6" i="1080"/>
  <c r="K6" i="1080" s="1"/>
  <c r="K21" i="1080"/>
  <c r="K20" i="1080"/>
  <c r="K18" i="1080"/>
  <c r="K14" i="1080"/>
  <c r="K12" i="1080"/>
  <c r="K11" i="1080"/>
  <c r="K10" i="1080"/>
  <c r="K9" i="1080"/>
  <c r="A75" i="1080"/>
  <c r="A76" i="1080" s="1"/>
  <c r="A77" i="1080" s="1"/>
  <c r="A78" i="1080" s="1"/>
  <c r="A79" i="1080" s="1"/>
  <c r="A80" i="1080" s="1"/>
  <c r="A81" i="1080" s="1"/>
  <c r="A82" i="1080" s="1"/>
  <c r="AF61" i="1080"/>
  <c r="AF63" i="1080" s="1"/>
  <c r="AF60" i="1080"/>
  <c r="AA22" i="1080"/>
  <c r="Z22" i="1080"/>
  <c r="Y22" i="1080"/>
  <c r="X22" i="1080"/>
  <c r="W22" i="1080"/>
  <c r="V22" i="1080"/>
  <c r="U22" i="1080"/>
  <c r="T22" i="1080"/>
  <c r="S22" i="1080"/>
  <c r="R22" i="1080"/>
  <c r="N22" i="1080"/>
  <c r="J22" i="1080"/>
  <c r="I22" i="1080"/>
  <c r="AF21" i="1080"/>
  <c r="AB21" i="1080"/>
  <c r="Q21" i="1080"/>
  <c r="P21" i="1080" s="1"/>
  <c r="AC21" i="1080" s="1"/>
  <c r="AD21" i="1080" s="1"/>
  <c r="O21" i="1080"/>
  <c r="M21" i="1080"/>
  <c r="AF20" i="1080"/>
  <c r="Q20" i="1080"/>
  <c r="AB20" i="1080"/>
  <c r="AF18" i="1080"/>
  <c r="Q18" i="1080"/>
  <c r="P18" i="1080"/>
  <c r="AC18" i="1080" s="1"/>
  <c r="O18" i="1080"/>
  <c r="AF17" i="1080"/>
  <c r="AB17" i="1080"/>
  <c r="Q17" i="1080"/>
  <c r="P17" i="1080" s="1"/>
  <c r="AC17" i="1080" s="1"/>
  <c r="O17" i="1080"/>
  <c r="M17" i="1080"/>
  <c r="AF16" i="1080"/>
  <c r="Q16" i="1080"/>
  <c r="P16" i="1080" s="1"/>
  <c r="AC16" i="1080" s="1"/>
  <c r="AF15" i="1080"/>
  <c r="AB15" i="1080"/>
  <c r="Q15" i="1080"/>
  <c r="P15" i="1080"/>
  <c r="AC15" i="1080" s="1"/>
  <c r="O15" i="1080"/>
  <c r="M15" i="1080"/>
  <c r="K15" i="1080"/>
  <c r="AF14" i="1080"/>
  <c r="AB14" i="1080"/>
  <c r="Q14" i="1080"/>
  <c r="O14" i="1080"/>
  <c r="M14" i="1080"/>
  <c r="P14" i="1080"/>
  <c r="AC14" i="1080" s="1"/>
  <c r="AD14" i="1080" s="1"/>
  <c r="AF13" i="1080"/>
  <c r="Q13" i="1080"/>
  <c r="P13" i="1080" s="1"/>
  <c r="AC13" i="1080" s="1"/>
  <c r="AF12" i="1080"/>
  <c r="Q12" i="1080"/>
  <c r="P12" i="1080" s="1"/>
  <c r="AC12" i="1080" s="1"/>
  <c r="O12" i="1080"/>
  <c r="AF11" i="1080"/>
  <c r="AB11" i="1080"/>
  <c r="Q11" i="1080"/>
  <c r="P11" i="1080" s="1"/>
  <c r="AC11" i="1080" s="1"/>
  <c r="O11" i="1080"/>
  <c r="M11" i="1080"/>
  <c r="AF10" i="1080"/>
  <c r="AB10" i="1080"/>
  <c r="Q10" i="1080"/>
  <c r="P10" i="1080" s="1"/>
  <c r="AC10" i="1080" s="1"/>
  <c r="AD10" i="1080" s="1"/>
  <c r="O10" i="1080"/>
  <c r="M10" i="1080"/>
  <c r="AF9" i="1080"/>
  <c r="Q9" i="1080"/>
  <c r="AB9" i="1080"/>
  <c r="AF8" i="1080"/>
  <c r="AB8" i="1080"/>
  <c r="Q8" i="1080"/>
  <c r="P8" i="1080" s="1"/>
  <c r="AC8" i="1080" s="1"/>
  <c r="O8" i="1080"/>
  <c r="M8" i="1080"/>
  <c r="AF7" i="1080"/>
  <c r="AB7" i="1080"/>
  <c r="Q7" i="1080"/>
  <c r="P7" i="1080" s="1"/>
  <c r="AC7" i="1080" s="1"/>
  <c r="O7" i="1080"/>
  <c r="M7" i="1080"/>
  <c r="AF6" i="1080"/>
  <c r="Q6" i="1080"/>
  <c r="P6" i="1080"/>
  <c r="L22" i="1080"/>
  <c r="O22" i="1080" s="1"/>
  <c r="AD18" i="1081" l="1"/>
  <c r="AD20" i="1081"/>
  <c r="AB21" i="1081"/>
  <c r="M21" i="1081"/>
  <c r="AD16" i="1081"/>
  <c r="P21" i="1081"/>
  <c r="AC6" i="1081"/>
  <c r="AD17" i="1081"/>
  <c r="K21" i="1081"/>
  <c r="AB19" i="1080"/>
  <c r="AD19" i="1080" s="1"/>
  <c r="O19" i="1080"/>
  <c r="AD11" i="1080"/>
  <c r="AD17" i="1080"/>
  <c r="Q22" i="1080"/>
  <c r="AD8" i="1080"/>
  <c r="AD15" i="1080"/>
  <c r="AD7" i="1080"/>
  <c r="M13" i="1080"/>
  <c r="AB13" i="1080"/>
  <c r="M16" i="1080"/>
  <c r="AB16" i="1080"/>
  <c r="M6" i="1080"/>
  <c r="AB6" i="1080"/>
  <c r="O9" i="1080"/>
  <c r="M12" i="1080"/>
  <c r="AB12" i="1080"/>
  <c r="AD12" i="1080" s="1"/>
  <c r="O13" i="1080"/>
  <c r="O16" i="1080"/>
  <c r="M18" i="1080"/>
  <c r="AB18" i="1080"/>
  <c r="AD18" i="1080" s="1"/>
  <c r="O20" i="1080"/>
  <c r="M9" i="1080"/>
  <c r="O6" i="1080"/>
  <c r="AC6" i="1080"/>
  <c r="K22" i="1080"/>
  <c r="P9" i="1080"/>
  <c r="AC9" i="1080" s="1"/>
  <c r="P20" i="1080"/>
  <c r="AC20" i="1080" s="1"/>
  <c r="M20" i="1080"/>
  <c r="L20" i="1079"/>
  <c r="K20" i="1079" s="1"/>
  <c r="L19" i="1079"/>
  <c r="L18" i="1079"/>
  <c r="L16" i="1079"/>
  <c r="L14" i="1079"/>
  <c r="K14" i="1079" s="1"/>
  <c r="L13" i="1079"/>
  <c r="L12" i="1079"/>
  <c r="L11" i="1079"/>
  <c r="L10" i="1079"/>
  <c r="L9" i="1079"/>
  <c r="L6" i="1079"/>
  <c r="K6" i="1079" s="1"/>
  <c r="K19" i="1079"/>
  <c r="K18" i="1079"/>
  <c r="K13" i="1079"/>
  <c r="K12" i="1079"/>
  <c r="K11" i="1079"/>
  <c r="K10" i="1079"/>
  <c r="K8" i="1079"/>
  <c r="K7" i="1079"/>
  <c r="A74" i="1079"/>
  <c r="A75" i="1079" s="1"/>
  <c r="A76" i="1079" s="1"/>
  <c r="A77" i="1079" s="1"/>
  <c r="A78" i="1079" s="1"/>
  <c r="A79" i="1079" s="1"/>
  <c r="A80" i="1079" s="1"/>
  <c r="A81" i="1079" s="1"/>
  <c r="AF62" i="1079"/>
  <c r="AF60" i="1079"/>
  <c r="AF59" i="1079"/>
  <c r="AA21" i="1079"/>
  <c r="Z21" i="1079"/>
  <c r="Y21" i="1079"/>
  <c r="X21" i="1079"/>
  <c r="W21" i="1079"/>
  <c r="V21" i="1079"/>
  <c r="U21" i="1079"/>
  <c r="T21" i="1079"/>
  <c r="S21" i="1079"/>
  <c r="R21" i="1079"/>
  <c r="N21" i="1079"/>
  <c r="J21" i="1079"/>
  <c r="I21" i="1079"/>
  <c r="AF20" i="1079"/>
  <c r="AB20" i="1079"/>
  <c r="Q20" i="1079"/>
  <c r="P20" i="1079" s="1"/>
  <c r="AC20" i="1079" s="1"/>
  <c r="O20" i="1079"/>
  <c r="M20" i="1079"/>
  <c r="AF19" i="1079"/>
  <c r="Q19" i="1079"/>
  <c r="P19" i="1079"/>
  <c r="AC19" i="1079" s="1"/>
  <c r="AF18" i="1079"/>
  <c r="Q18" i="1079"/>
  <c r="P18" i="1079" s="1"/>
  <c r="AC18" i="1079" s="1"/>
  <c r="O18" i="1079"/>
  <c r="AF17" i="1079"/>
  <c r="AB17" i="1079"/>
  <c r="Q17" i="1079"/>
  <c r="P17" i="1079"/>
  <c r="AC17" i="1079" s="1"/>
  <c r="AD17" i="1079" s="1"/>
  <c r="O17" i="1079"/>
  <c r="M17" i="1079"/>
  <c r="K17" i="1079"/>
  <c r="AF16" i="1079"/>
  <c r="AB16" i="1079"/>
  <c r="Q16" i="1079"/>
  <c r="P16" i="1079" s="1"/>
  <c r="AC16" i="1079" s="1"/>
  <c r="O16" i="1079"/>
  <c r="M16" i="1079"/>
  <c r="K16" i="1079"/>
  <c r="AF15" i="1079"/>
  <c r="AB15" i="1079"/>
  <c r="Q15" i="1079"/>
  <c r="P15" i="1079"/>
  <c r="AC15" i="1079" s="1"/>
  <c r="AD15" i="1079" s="1"/>
  <c r="O15" i="1079"/>
  <c r="M15" i="1079"/>
  <c r="K15" i="1079"/>
  <c r="AF14" i="1079"/>
  <c r="AB14" i="1079"/>
  <c r="Q14" i="1079"/>
  <c r="P14" i="1079"/>
  <c r="AC14" i="1079" s="1"/>
  <c r="O14" i="1079"/>
  <c r="M14" i="1079"/>
  <c r="AF13" i="1079"/>
  <c r="Q13" i="1079"/>
  <c r="P13" i="1079"/>
  <c r="AC13" i="1079" s="1"/>
  <c r="O13" i="1079"/>
  <c r="AB13" i="1079"/>
  <c r="AF12" i="1079"/>
  <c r="AB12" i="1079"/>
  <c r="Q12" i="1079"/>
  <c r="P12" i="1079" s="1"/>
  <c r="AC12" i="1079" s="1"/>
  <c r="O12" i="1079"/>
  <c r="M12" i="1079"/>
  <c r="AF11" i="1079"/>
  <c r="Q11" i="1079"/>
  <c r="P11" i="1079" s="1"/>
  <c r="AC11" i="1079" s="1"/>
  <c r="O11" i="1079"/>
  <c r="AF10" i="1079"/>
  <c r="Q10" i="1079"/>
  <c r="P10" i="1079" s="1"/>
  <c r="AC10" i="1079" s="1"/>
  <c r="O10" i="1079"/>
  <c r="AB10" i="1079"/>
  <c r="AF9" i="1079"/>
  <c r="AB9" i="1079"/>
  <c r="Q9" i="1079"/>
  <c r="P9" i="1079" s="1"/>
  <c r="AC9" i="1079" s="1"/>
  <c r="O9" i="1079"/>
  <c r="M9" i="1079"/>
  <c r="K9" i="1079"/>
  <c r="AF8" i="1079"/>
  <c r="AB8" i="1079"/>
  <c r="Q8" i="1079"/>
  <c r="P8" i="1079" s="1"/>
  <c r="AC8" i="1079" s="1"/>
  <c r="O8" i="1079"/>
  <c r="M8" i="1079"/>
  <c r="AF7" i="1079"/>
  <c r="AB7" i="1079"/>
  <c r="Q7" i="1079"/>
  <c r="P7" i="1079" s="1"/>
  <c r="AC7" i="1079" s="1"/>
  <c r="AD7" i="1079" s="1"/>
  <c r="O7" i="1079"/>
  <c r="M7" i="1079"/>
  <c r="AF6" i="1079"/>
  <c r="Q6" i="1079"/>
  <c r="L21" i="1079"/>
  <c r="O21" i="1079" s="1"/>
  <c r="AC21" i="1081" l="1"/>
  <c r="AD6" i="1081"/>
  <c r="AD21" i="1081" s="1"/>
  <c r="AD16" i="1080"/>
  <c r="AD13" i="1080"/>
  <c r="AD20" i="1080"/>
  <c r="AD9" i="1080"/>
  <c r="AB22" i="1080"/>
  <c r="P22" i="1080"/>
  <c r="M22" i="1080"/>
  <c r="AC22" i="1080"/>
  <c r="AD6" i="1080"/>
  <c r="AD20" i="1079"/>
  <c r="AD12" i="1079"/>
  <c r="AD8" i="1079"/>
  <c r="Q21" i="1079"/>
  <c r="AD14" i="1079"/>
  <c r="AD9" i="1079"/>
  <c r="AD16" i="1079"/>
  <c r="AD13" i="1079"/>
  <c r="AD10" i="1079"/>
  <c r="M19" i="1079"/>
  <c r="AB19" i="1079"/>
  <c r="AB6" i="1079"/>
  <c r="O6" i="1079"/>
  <c r="M11" i="1079"/>
  <c r="AB11" i="1079"/>
  <c r="AD11" i="1079" s="1"/>
  <c r="M18" i="1079"/>
  <c r="AB18" i="1079"/>
  <c r="AD18" i="1079" s="1"/>
  <c r="O19" i="1079"/>
  <c r="M6" i="1079"/>
  <c r="P6" i="1079"/>
  <c r="M10" i="1079"/>
  <c r="M13" i="1079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L19" i="1078"/>
  <c r="K19" i="1078" s="1"/>
  <c r="L18" i="1078"/>
  <c r="K18" i="1078" s="1"/>
  <c r="L13" i="1078"/>
  <c r="K13" i="1078" s="1"/>
  <c r="L11" i="1078"/>
  <c r="L10" i="1078"/>
  <c r="O10" i="1078" s="1"/>
  <c r="AF10" i="1078"/>
  <c r="Q10" i="1078"/>
  <c r="P10" i="1078" s="1"/>
  <c r="AC10" i="1078" s="1"/>
  <c r="M10" i="1078"/>
  <c r="L7" i="1078"/>
  <c r="K7" i="1078" s="1"/>
  <c r="L6" i="1078"/>
  <c r="K6" i="1078" s="1"/>
  <c r="K16" i="1078"/>
  <c r="K12" i="1078"/>
  <c r="K11" i="1078"/>
  <c r="K9" i="1078"/>
  <c r="K8" i="1078"/>
  <c r="A75" i="1078"/>
  <c r="A76" i="1078" s="1"/>
  <c r="A77" i="1078" s="1"/>
  <c r="A78" i="1078" s="1"/>
  <c r="A79" i="1078" s="1"/>
  <c r="A80" i="1078" s="1"/>
  <c r="A81" i="1078" s="1"/>
  <c r="A74" i="1078"/>
  <c r="AF60" i="1078"/>
  <c r="AF59" i="1078"/>
  <c r="AF62" i="1078" s="1"/>
  <c r="AA21" i="1078"/>
  <c r="Z21" i="1078"/>
  <c r="Y21" i="1078"/>
  <c r="X21" i="1078"/>
  <c r="W21" i="1078"/>
  <c r="V21" i="1078"/>
  <c r="U21" i="1078"/>
  <c r="T21" i="1078"/>
  <c r="S21" i="1078"/>
  <c r="R21" i="1078"/>
  <c r="N21" i="1078"/>
  <c r="J21" i="1078"/>
  <c r="I21" i="1078"/>
  <c r="AF20" i="1078"/>
  <c r="AB20" i="1078"/>
  <c r="Q20" i="1078"/>
  <c r="P20" i="1078"/>
  <c r="AC20" i="1078" s="1"/>
  <c r="AD20" i="1078" s="1"/>
  <c r="O20" i="1078"/>
  <c r="M20" i="1078"/>
  <c r="K20" i="1078"/>
  <c r="AF19" i="1078"/>
  <c r="AB19" i="1078"/>
  <c r="Q19" i="1078"/>
  <c r="O19" i="1078"/>
  <c r="M19" i="1078"/>
  <c r="AF18" i="1078"/>
  <c r="AB18" i="1078"/>
  <c r="Q18" i="1078"/>
  <c r="P18" i="1078" s="1"/>
  <c r="AC18" i="1078" s="1"/>
  <c r="O18" i="1078"/>
  <c r="M18" i="1078"/>
  <c r="AF17" i="1078"/>
  <c r="AC17" i="1078"/>
  <c r="AB17" i="1078"/>
  <c r="Q17" i="1078"/>
  <c r="P17" i="1078"/>
  <c r="O17" i="1078"/>
  <c r="M17" i="1078"/>
  <c r="K17" i="1078"/>
  <c r="AF16" i="1078"/>
  <c r="AB16" i="1078"/>
  <c r="Q16" i="1078"/>
  <c r="P16" i="1078" s="1"/>
  <c r="AC16" i="1078" s="1"/>
  <c r="AD16" i="1078" s="1"/>
  <c r="O16" i="1078"/>
  <c r="M16" i="1078"/>
  <c r="AF15" i="1078"/>
  <c r="AC15" i="1078"/>
  <c r="AD15" i="1078" s="1"/>
  <c r="AB15" i="1078"/>
  <c r="Q15" i="1078"/>
  <c r="P15" i="1078"/>
  <c r="O15" i="1078"/>
  <c r="M15" i="1078"/>
  <c r="K15" i="1078"/>
  <c r="AF14" i="1078"/>
  <c r="AB14" i="1078"/>
  <c r="Q14" i="1078"/>
  <c r="P14" i="1078"/>
  <c r="AC14" i="1078" s="1"/>
  <c r="O14" i="1078"/>
  <c r="M14" i="1078"/>
  <c r="K14" i="1078"/>
  <c r="AF13" i="1078"/>
  <c r="Q13" i="1078"/>
  <c r="P13" i="1078" s="1"/>
  <c r="AC13" i="1078" s="1"/>
  <c r="O13" i="1078"/>
  <c r="M13" i="1078"/>
  <c r="AB13" i="1078"/>
  <c r="AF12" i="1078"/>
  <c r="AB12" i="1078"/>
  <c r="Q12" i="1078"/>
  <c r="P12" i="1078" s="1"/>
  <c r="AC12" i="1078" s="1"/>
  <c r="O12" i="1078"/>
  <c r="M12" i="1078"/>
  <c r="AF11" i="1078"/>
  <c r="AB11" i="1078"/>
  <c r="Q11" i="1078"/>
  <c r="P11" i="1078" s="1"/>
  <c r="AC11" i="1078" s="1"/>
  <c r="O11" i="1078"/>
  <c r="M11" i="1078"/>
  <c r="AF9" i="1078"/>
  <c r="AB9" i="1078"/>
  <c r="Q9" i="1078"/>
  <c r="P9" i="1078"/>
  <c r="AC9" i="1078" s="1"/>
  <c r="O9" i="1078"/>
  <c r="M9" i="1078"/>
  <c r="AF8" i="1078"/>
  <c r="AB8" i="1078"/>
  <c r="Q8" i="1078"/>
  <c r="P8" i="1078" s="1"/>
  <c r="AC8" i="1078" s="1"/>
  <c r="O8" i="1078"/>
  <c r="M8" i="1078"/>
  <c r="AF7" i="1078"/>
  <c r="Q7" i="1078"/>
  <c r="P7" i="1078" s="1"/>
  <c r="AC7" i="1078" s="1"/>
  <c r="AB7" i="1078"/>
  <c r="AF6" i="1078"/>
  <c r="Q6" i="1078"/>
  <c r="O6" i="1078"/>
  <c r="L21" i="1078"/>
  <c r="O21" i="1078" s="1"/>
  <c r="AE18" i="1081" l="1"/>
  <c r="AE16" i="1081"/>
  <c r="AE11" i="1081"/>
  <c r="AE19" i="1081"/>
  <c r="AE17" i="1081"/>
  <c r="AE14" i="1081"/>
  <c r="AE9" i="1081"/>
  <c r="AE6" i="1081"/>
  <c r="AE20" i="1081"/>
  <c r="AE12" i="1081"/>
  <c r="AE10" i="1081"/>
  <c r="AE7" i="1081"/>
  <c r="AE15" i="1081"/>
  <c r="AE13" i="1081"/>
  <c r="AE8" i="1081"/>
  <c r="AD22" i="1080"/>
  <c r="AD19" i="1079"/>
  <c r="P21" i="1079"/>
  <c r="AC6" i="1079"/>
  <c r="K21" i="1079"/>
  <c r="AB21" i="1079"/>
  <c r="M21" i="1079"/>
  <c r="P19" i="1078"/>
  <c r="AC19" i="1078" s="1"/>
  <c r="AD19" i="1078" s="1"/>
  <c r="K10" i="1078"/>
  <c r="AB10" i="1078"/>
  <c r="AD10" i="1078" s="1"/>
  <c r="AD8" i="1078"/>
  <c r="Q21" i="1078"/>
  <c r="P6" i="1078"/>
  <c r="AC6" i="1078" s="1"/>
  <c r="AC21" i="1078" s="1"/>
  <c r="K21" i="1078"/>
  <c r="AD9" i="1078"/>
  <c r="AD17" i="1078"/>
  <c r="AD18" i="1078"/>
  <c r="AD12" i="1078"/>
  <c r="AD14" i="1078"/>
  <c r="AD11" i="1078"/>
  <c r="AD13" i="1078"/>
  <c r="M6" i="1078"/>
  <c r="AB6" i="1078"/>
  <c r="O7" i="1078"/>
  <c r="AD7" i="1078" s="1"/>
  <c r="M7" i="1078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" i="16"/>
  <c r="L13" i="1077"/>
  <c r="K13" i="1077" s="1"/>
  <c r="L7" i="1077"/>
  <c r="K7" i="1077" s="1"/>
  <c r="L6" i="1077"/>
  <c r="K6" i="1077" s="1"/>
  <c r="K19" i="1077"/>
  <c r="K18" i="1077"/>
  <c r="K16" i="1077"/>
  <c r="K12" i="1077"/>
  <c r="K11" i="1077"/>
  <c r="K10" i="1077"/>
  <c r="K9" i="1077"/>
  <c r="K8" i="1077"/>
  <c r="A74" i="1077"/>
  <c r="A75" i="1077" s="1"/>
  <c r="A76" i="1077" s="1"/>
  <c r="A77" i="1077" s="1"/>
  <c r="A78" i="1077" s="1"/>
  <c r="A79" i="1077" s="1"/>
  <c r="A80" i="1077" s="1"/>
  <c r="A81" i="1077" s="1"/>
  <c r="AF60" i="1077"/>
  <c r="AF59" i="1077"/>
  <c r="AF62" i="1077" s="1"/>
  <c r="AA21" i="1077"/>
  <c r="Z21" i="1077"/>
  <c r="Y21" i="1077"/>
  <c r="X21" i="1077"/>
  <c r="W21" i="1077"/>
  <c r="V21" i="1077"/>
  <c r="U21" i="1077"/>
  <c r="T21" i="1077"/>
  <c r="S21" i="1077"/>
  <c r="R21" i="1077"/>
  <c r="N21" i="1077"/>
  <c r="J21" i="1077"/>
  <c r="I21" i="1077"/>
  <c r="AF20" i="1077"/>
  <c r="AB20" i="1077"/>
  <c r="Q20" i="1077"/>
  <c r="P20" i="1077"/>
  <c r="AC20" i="1077" s="1"/>
  <c r="O20" i="1077"/>
  <c r="M20" i="1077"/>
  <c r="K20" i="1077"/>
  <c r="AF19" i="1077"/>
  <c r="Q19" i="1077"/>
  <c r="P19" i="1077" s="1"/>
  <c r="AC19" i="1077" s="1"/>
  <c r="AF18" i="1077"/>
  <c r="Q18" i="1077"/>
  <c r="P18" i="1077" s="1"/>
  <c r="AC18" i="1077" s="1"/>
  <c r="O18" i="1077"/>
  <c r="AF17" i="1077"/>
  <c r="AB17" i="1077"/>
  <c r="Q17" i="1077"/>
  <c r="P17" i="1077"/>
  <c r="AC17" i="1077" s="1"/>
  <c r="O17" i="1077"/>
  <c r="M17" i="1077"/>
  <c r="K17" i="1077"/>
  <c r="AF16" i="1077"/>
  <c r="Q16" i="1077"/>
  <c r="P16" i="1077" s="1"/>
  <c r="AC16" i="1077" s="1"/>
  <c r="AF15" i="1077"/>
  <c r="AB15" i="1077"/>
  <c r="Q15" i="1077"/>
  <c r="P15" i="1077"/>
  <c r="AC15" i="1077" s="1"/>
  <c r="O15" i="1077"/>
  <c r="M15" i="1077"/>
  <c r="K15" i="1077"/>
  <c r="AF14" i="1077"/>
  <c r="AB14" i="1077"/>
  <c r="Q14" i="1077"/>
  <c r="P14" i="1077"/>
  <c r="AC14" i="1077" s="1"/>
  <c r="O14" i="1077"/>
  <c r="M14" i="1077"/>
  <c r="K14" i="1077"/>
  <c r="AF13" i="1077"/>
  <c r="Q13" i="1077"/>
  <c r="P13" i="1077" s="1"/>
  <c r="AC13" i="1077" s="1"/>
  <c r="O13" i="1077"/>
  <c r="AF12" i="1077"/>
  <c r="Q12" i="1077"/>
  <c r="P12" i="1077" s="1"/>
  <c r="AC12" i="1077" s="1"/>
  <c r="O12" i="1077"/>
  <c r="AB12" i="1077"/>
  <c r="AF11" i="1077"/>
  <c r="AB11" i="1077"/>
  <c r="Q11" i="1077"/>
  <c r="P11" i="1077" s="1"/>
  <c r="AC11" i="1077" s="1"/>
  <c r="O11" i="1077"/>
  <c r="M11" i="1077"/>
  <c r="AF10" i="1077"/>
  <c r="Q10" i="1077"/>
  <c r="P10" i="1077"/>
  <c r="AC10" i="1077" s="1"/>
  <c r="AF9" i="1077"/>
  <c r="AB9" i="1077"/>
  <c r="Q9" i="1077"/>
  <c r="P9" i="1077" s="1"/>
  <c r="AC9" i="1077" s="1"/>
  <c r="O9" i="1077"/>
  <c r="M9" i="1077"/>
  <c r="AF8" i="1077"/>
  <c r="Q8" i="1077"/>
  <c r="P8" i="1077" s="1"/>
  <c r="AC8" i="1077" s="1"/>
  <c r="O8" i="1077"/>
  <c r="AB8" i="1077"/>
  <c r="AF7" i="1077"/>
  <c r="AB7" i="1077"/>
  <c r="Q7" i="1077"/>
  <c r="P7" i="1077" s="1"/>
  <c r="AC7" i="1077" s="1"/>
  <c r="O7" i="1077"/>
  <c r="M7" i="1077"/>
  <c r="AF6" i="1077"/>
  <c r="Q6" i="1077"/>
  <c r="L21" i="1077"/>
  <c r="O21" i="1077" s="1"/>
  <c r="AE18" i="1080" l="1"/>
  <c r="AE19" i="1080"/>
  <c r="AE8" i="1080"/>
  <c r="AE10" i="1080"/>
  <c r="AE15" i="1080"/>
  <c r="AE16" i="1080"/>
  <c r="AE14" i="1080"/>
  <c r="AE13" i="1080"/>
  <c r="AE11" i="1080"/>
  <c r="AE6" i="1080"/>
  <c r="AE21" i="1080"/>
  <c r="AE17" i="1080"/>
  <c r="AE7" i="1080"/>
  <c r="AE9" i="1080"/>
  <c r="AE20" i="1080"/>
  <c r="AE12" i="1080"/>
  <c r="AC21" i="1079"/>
  <c r="AD6" i="1079"/>
  <c r="AD21" i="1079" s="1"/>
  <c r="AB21" i="1078"/>
  <c r="P21" i="1078"/>
  <c r="M21" i="1078"/>
  <c r="AD6" i="1078"/>
  <c r="AD21" i="1078" s="1"/>
  <c r="AE10" i="1078" s="1"/>
  <c r="AD20" i="1077"/>
  <c r="AD14" i="1077"/>
  <c r="AD15" i="1077"/>
  <c r="AD9" i="1077"/>
  <c r="AD11" i="1077"/>
  <c r="Q21" i="1077"/>
  <c r="AD7" i="1077"/>
  <c r="AD17" i="1077"/>
  <c r="AD8" i="1077"/>
  <c r="AD12" i="1077"/>
  <c r="AB6" i="1077"/>
  <c r="AB10" i="1077"/>
  <c r="M16" i="1077"/>
  <c r="AB16" i="1077"/>
  <c r="M19" i="1077"/>
  <c r="AB19" i="1077"/>
  <c r="O6" i="1077"/>
  <c r="O10" i="1077"/>
  <c r="M13" i="1077"/>
  <c r="AB13" i="1077"/>
  <c r="AD13" i="1077" s="1"/>
  <c r="O16" i="1077"/>
  <c r="M18" i="1077"/>
  <c r="AB18" i="1077"/>
  <c r="AD18" i="1077" s="1"/>
  <c r="O19" i="1077"/>
  <c r="M6" i="1077"/>
  <c r="M10" i="1077"/>
  <c r="P6" i="1077"/>
  <c r="M8" i="1077"/>
  <c r="M12" i="1077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L21" i="1076"/>
  <c r="K21" i="1076" s="1"/>
  <c r="L20" i="1076"/>
  <c r="L18" i="1076"/>
  <c r="L15" i="1076"/>
  <c r="O15" i="1076" s="1"/>
  <c r="AF15" i="1076"/>
  <c r="Q15" i="1076"/>
  <c r="P15" i="1076" s="1"/>
  <c r="AC15" i="1076" s="1"/>
  <c r="L14" i="1076"/>
  <c r="K14" i="1076" s="1"/>
  <c r="L13" i="1076"/>
  <c r="M13" i="1076" s="1"/>
  <c r="L12" i="1076"/>
  <c r="K12" i="1076" s="1"/>
  <c r="AF12" i="1076"/>
  <c r="Q12" i="1076"/>
  <c r="L10" i="1076"/>
  <c r="K10" i="1076" s="1"/>
  <c r="AF10" i="1076"/>
  <c r="Q10" i="1076"/>
  <c r="P10" i="1076" s="1"/>
  <c r="AC10" i="1076" s="1"/>
  <c r="M10" i="1076"/>
  <c r="L8" i="1076"/>
  <c r="K8" i="1076" s="1"/>
  <c r="L7" i="1076"/>
  <c r="K7" i="1076" s="1"/>
  <c r="L6" i="1076"/>
  <c r="K6" i="1076" s="1"/>
  <c r="K20" i="1076"/>
  <c r="K19" i="1076"/>
  <c r="K18" i="1076"/>
  <c r="K16" i="1076"/>
  <c r="K11" i="1076"/>
  <c r="K9" i="1076"/>
  <c r="A76" i="1076"/>
  <c r="A77" i="1076" s="1"/>
  <c r="A78" i="1076" s="1"/>
  <c r="A79" i="1076" s="1"/>
  <c r="A80" i="1076" s="1"/>
  <c r="A81" i="1076" s="1"/>
  <c r="A82" i="1076" s="1"/>
  <c r="A83" i="1076" s="1"/>
  <c r="AF62" i="1076"/>
  <c r="AF61" i="1076"/>
  <c r="AA23" i="1076"/>
  <c r="Z23" i="1076"/>
  <c r="Y23" i="1076"/>
  <c r="X23" i="1076"/>
  <c r="W23" i="1076"/>
  <c r="V23" i="1076"/>
  <c r="U23" i="1076"/>
  <c r="T23" i="1076"/>
  <c r="S23" i="1076"/>
  <c r="R23" i="1076"/>
  <c r="N23" i="1076"/>
  <c r="J23" i="1076"/>
  <c r="I23" i="1076"/>
  <c r="AF22" i="1076"/>
  <c r="AB22" i="1076"/>
  <c r="Q22" i="1076"/>
  <c r="P22" i="1076"/>
  <c r="AC22" i="1076" s="1"/>
  <c r="AD22" i="1076" s="1"/>
  <c r="O22" i="1076"/>
  <c r="M22" i="1076"/>
  <c r="K22" i="1076"/>
  <c r="AF21" i="1076"/>
  <c r="Q21" i="1076"/>
  <c r="P21" i="1076" s="1"/>
  <c r="AC21" i="1076" s="1"/>
  <c r="O21" i="1076"/>
  <c r="AF20" i="1076"/>
  <c r="Q20" i="1076"/>
  <c r="P20" i="1076" s="1"/>
  <c r="AC20" i="1076" s="1"/>
  <c r="O20" i="1076"/>
  <c r="AB20" i="1076"/>
  <c r="AF19" i="1076"/>
  <c r="AB19" i="1076"/>
  <c r="Q19" i="1076"/>
  <c r="P19" i="1076"/>
  <c r="AC19" i="1076" s="1"/>
  <c r="O19" i="1076"/>
  <c r="M19" i="1076"/>
  <c r="AF18" i="1076"/>
  <c r="Q18" i="1076"/>
  <c r="P18" i="1076" s="1"/>
  <c r="AC18" i="1076" s="1"/>
  <c r="AF17" i="1076"/>
  <c r="AC17" i="1076"/>
  <c r="AB17" i="1076"/>
  <c r="Q17" i="1076"/>
  <c r="P17" i="1076"/>
  <c r="O17" i="1076"/>
  <c r="M17" i="1076"/>
  <c r="K17" i="1076"/>
  <c r="AF16" i="1076"/>
  <c r="AB16" i="1076"/>
  <c r="Q16" i="1076"/>
  <c r="P16" i="1076"/>
  <c r="AC16" i="1076" s="1"/>
  <c r="O16" i="1076"/>
  <c r="M16" i="1076"/>
  <c r="AF14" i="1076"/>
  <c r="AB14" i="1076"/>
  <c r="Q14" i="1076"/>
  <c r="P14" i="1076" s="1"/>
  <c r="AC14" i="1076" s="1"/>
  <c r="O14" i="1076"/>
  <c r="M14" i="1076"/>
  <c r="AF13" i="1076"/>
  <c r="Q13" i="1076"/>
  <c r="AF11" i="1076"/>
  <c r="Q11" i="1076"/>
  <c r="P11" i="1076" s="1"/>
  <c r="AC11" i="1076" s="1"/>
  <c r="L23" i="1076"/>
  <c r="AF9" i="1076"/>
  <c r="Q9" i="1076"/>
  <c r="P9" i="1076" s="1"/>
  <c r="AC9" i="1076" s="1"/>
  <c r="O9" i="1076"/>
  <c r="AB9" i="1076"/>
  <c r="AF8" i="1076"/>
  <c r="AB8" i="1076"/>
  <c r="Q8" i="1076"/>
  <c r="P8" i="1076" s="1"/>
  <c r="AC8" i="1076" s="1"/>
  <c r="O8" i="1076"/>
  <c r="M8" i="1076"/>
  <c r="AF7" i="1076"/>
  <c r="AB7" i="1076"/>
  <c r="Q7" i="1076"/>
  <c r="P7" i="1076" s="1"/>
  <c r="AC7" i="1076" s="1"/>
  <c r="O7" i="1076"/>
  <c r="M7" i="1076"/>
  <c r="AF6" i="1076"/>
  <c r="Q6" i="1076"/>
  <c r="O6" i="1076"/>
  <c r="AB6" i="1076"/>
  <c r="AE16" i="1079" l="1"/>
  <c r="AE6" i="1079"/>
  <c r="AE12" i="1079"/>
  <c r="AE9" i="1079"/>
  <c r="AE7" i="1079"/>
  <c r="AE8" i="1079"/>
  <c r="AE20" i="1079"/>
  <c r="AE17" i="1079"/>
  <c r="AE15" i="1079"/>
  <c r="AE13" i="1079"/>
  <c r="AE10" i="1079"/>
  <c r="AE19" i="1079"/>
  <c r="AE18" i="1079"/>
  <c r="AE11" i="1079"/>
  <c r="AE14" i="1079"/>
  <c r="AE19" i="1078"/>
  <c r="AE17" i="1078"/>
  <c r="AE15" i="1078"/>
  <c r="AE13" i="1078"/>
  <c r="AE6" i="1078"/>
  <c r="AE11" i="1078"/>
  <c r="AE18" i="1078"/>
  <c r="AE20" i="1078"/>
  <c r="AE14" i="1078"/>
  <c r="AE12" i="1078"/>
  <c r="AE8" i="1078"/>
  <c r="AE9" i="1078"/>
  <c r="AE7" i="1078"/>
  <c r="AE16" i="1078"/>
  <c r="AD10" i="1077"/>
  <c r="AD19" i="1077"/>
  <c r="AD16" i="1077"/>
  <c r="AB21" i="1077"/>
  <c r="M21" i="1077"/>
  <c r="P21" i="1077"/>
  <c r="AC6" i="1077"/>
  <c r="K21" i="1077"/>
  <c r="AF64" i="1076"/>
  <c r="M15" i="1076"/>
  <c r="O12" i="1076"/>
  <c r="AB10" i="1076"/>
  <c r="M12" i="1076"/>
  <c r="O23" i="1076"/>
  <c r="P12" i="1076"/>
  <c r="AC12" i="1076" s="1"/>
  <c r="AD12" i="1076" s="1"/>
  <c r="AB12" i="1076"/>
  <c r="K15" i="1076"/>
  <c r="AB15" i="1076"/>
  <c r="AD15" i="1076" s="1"/>
  <c r="K13" i="1076"/>
  <c r="K23" i="1076" s="1"/>
  <c r="O10" i="1076"/>
  <c r="AD10" i="1076"/>
  <c r="AD16" i="1076"/>
  <c r="Q23" i="1076"/>
  <c r="AD7" i="1076"/>
  <c r="P6" i="1076"/>
  <c r="AC6" i="1076" s="1"/>
  <c r="AD6" i="1076" s="1"/>
  <c r="AD14" i="1076"/>
  <c r="AD17" i="1076"/>
  <c r="AD19" i="1076"/>
  <c r="AD8" i="1076"/>
  <c r="AD9" i="1076"/>
  <c r="AD20" i="1076"/>
  <c r="AB13" i="1076"/>
  <c r="AB18" i="1076"/>
  <c r="M11" i="1076"/>
  <c r="AB11" i="1076"/>
  <c r="O13" i="1076"/>
  <c r="O18" i="1076"/>
  <c r="M21" i="1076"/>
  <c r="AB21" i="1076"/>
  <c r="AD21" i="1076" s="1"/>
  <c r="M18" i="1076"/>
  <c r="M6" i="1076"/>
  <c r="M9" i="1076"/>
  <c r="O11" i="1076"/>
  <c r="P13" i="1076"/>
  <c r="AC13" i="1076" s="1"/>
  <c r="AD13" i="1076" s="1"/>
  <c r="M20" i="107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AE16" i="1075"/>
  <c r="AE17" i="1075"/>
  <c r="AE18" i="1075"/>
  <c r="L21" i="1075"/>
  <c r="L20" i="1075"/>
  <c r="K20" i="1075" s="1"/>
  <c r="L19" i="1075"/>
  <c r="K19" i="1075" s="1"/>
  <c r="L18" i="1075"/>
  <c r="K18" i="1075" s="1"/>
  <c r="AF18" i="1075"/>
  <c r="AB18" i="1075"/>
  <c r="Q18" i="1075"/>
  <c r="P18" i="1075" s="1"/>
  <c r="AC18" i="1075" s="1"/>
  <c r="O18" i="1075"/>
  <c r="M18" i="1075"/>
  <c r="K15" i="1075"/>
  <c r="K13" i="1075"/>
  <c r="AF13" i="1075"/>
  <c r="Q13" i="1075"/>
  <c r="AB13" i="1075"/>
  <c r="L12" i="1075"/>
  <c r="L11" i="1075"/>
  <c r="O11" i="1075" s="1"/>
  <c r="L10" i="1075"/>
  <c r="K10" i="1075" s="1"/>
  <c r="L9" i="1075"/>
  <c r="L8" i="1075"/>
  <c r="L6" i="1075"/>
  <c r="K6" i="1075" s="1"/>
  <c r="K22" i="1075"/>
  <c r="K21" i="1075"/>
  <c r="K17" i="1075"/>
  <c r="K12" i="1075"/>
  <c r="K11" i="1075"/>
  <c r="K9" i="1075"/>
  <c r="K8" i="1075"/>
  <c r="K7" i="1075"/>
  <c r="A76" i="1075"/>
  <c r="A77" i="1075" s="1"/>
  <c r="A78" i="1075" s="1"/>
  <c r="A79" i="1075" s="1"/>
  <c r="A80" i="1075" s="1"/>
  <c r="A81" i="1075" s="1"/>
  <c r="A82" i="1075" s="1"/>
  <c r="A83" i="1075" s="1"/>
  <c r="AF62" i="1075"/>
  <c r="AF61" i="1075"/>
  <c r="AF64" i="1075" s="1"/>
  <c r="AA23" i="1075"/>
  <c r="Z23" i="1075"/>
  <c r="Y23" i="1075"/>
  <c r="X23" i="1075"/>
  <c r="W23" i="1075"/>
  <c r="V23" i="1075"/>
  <c r="U23" i="1075"/>
  <c r="T23" i="1075"/>
  <c r="S23" i="1075"/>
  <c r="R23" i="1075"/>
  <c r="N23" i="1075"/>
  <c r="J23" i="1075"/>
  <c r="I23" i="1075"/>
  <c r="AF22" i="1075"/>
  <c r="Q22" i="1075"/>
  <c r="P22" i="1075"/>
  <c r="AC22" i="1075" s="1"/>
  <c r="O22" i="1075"/>
  <c r="AF21" i="1075"/>
  <c r="Q21" i="1075"/>
  <c r="P21" i="1075"/>
  <c r="AC21" i="1075" s="1"/>
  <c r="O21" i="1075"/>
  <c r="AB21" i="1075"/>
  <c r="AF20" i="1075"/>
  <c r="AB20" i="1075"/>
  <c r="Q20" i="1075"/>
  <c r="P20" i="1075" s="1"/>
  <c r="AC20" i="1075" s="1"/>
  <c r="O20" i="1075"/>
  <c r="M20" i="1075"/>
  <c r="AF19" i="1075"/>
  <c r="Q19" i="1075"/>
  <c r="P19" i="1075" s="1"/>
  <c r="AC19" i="1075" s="1"/>
  <c r="AF17" i="1075"/>
  <c r="Q17" i="1075"/>
  <c r="P17" i="1075" s="1"/>
  <c r="AC17" i="1075" s="1"/>
  <c r="O17" i="1075"/>
  <c r="AF16" i="1075"/>
  <c r="AB16" i="1075"/>
  <c r="Q16" i="1075"/>
  <c r="P16" i="1075"/>
  <c r="AC16" i="1075" s="1"/>
  <c r="O16" i="1075"/>
  <c r="M16" i="1075"/>
  <c r="K16" i="1075"/>
  <c r="AF15" i="1075"/>
  <c r="AB15" i="1075"/>
  <c r="Q15" i="1075"/>
  <c r="P15" i="1075" s="1"/>
  <c r="AC15" i="1075" s="1"/>
  <c r="O15" i="1075"/>
  <c r="M15" i="1075"/>
  <c r="AF14" i="1075"/>
  <c r="AB14" i="1075"/>
  <c r="Q14" i="1075"/>
  <c r="P14" i="1075"/>
  <c r="AC14" i="1075" s="1"/>
  <c r="O14" i="1075"/>
  <c r="M14" i="1075"/>
  <c r="K14" i="1075"/>
  <c r="AF12" i="1075"/>
  <c r="Q12" i="1075"/>
  <c r="P12" i="1075" s="1"/>
  <c r="AC12" i="1075" s="1"/>
  <c r="AF11" i="1075"/>
  <c r="Q11" i="1075"/>
  <c r="P11" i="1075" s="1"/>
  <c r="AC11" i="1075" s="1"/>
  <c r="AF10" i="1075"/>
  <c r="Q10" i="1075"/>
  <c r="P10" i="1075" s="1"/>
  <c r="AC10" i="1075" s="1"/>
  <c r="O10" i="1075"/>
  <c r="AB10" i="1075"/>
  <c r="AF9" i="1075"/>
  <c r="AB9" i="1075"/>
  <c r="Q9" i="1075"/>
  <c r="O9" i="1075"/>
  <c r="M9" i="1075"/>
  <c r="P9" i="1075"/>
  <c r="AC9" i="1075" s="1"/>
  <c r="AF8" i="1075"/>
  <c r="Q8" i="1075"/>
  <c r="P8" i="1075" s="1"/>
  <c r="AC8" i="1075" s="1"/>
  <c r="AF7" i="1075"/>
  <c r="Q7" i="1075"/>
  <c r="P7" i="1075"/>
  <c r="AC7" i="1075" s="1"/>
  <c r="O7" i="1075"/>
  <c r="AF6" i="1075"/>
  <c r="Q6" i="1075"/>
  <c r="P6" i="1075"/>
  <c r="O6" i="1075"/>
  <c r="AB6" i="1075"/>
  <c r="AC21" i="1077" l="1"/>
  <c r="AD6" i="1077"/>
  <c r="AD21" i="1077" s="1"/>
  <c r="AD18" i="1076"/>
  <c r="M23" i="1076"/>
  <c r="AD11" i="1076"/>
  <c r="AD23" i="1076" s="1"/>
  <c r="AE15" i="1076" s="1"/>
  <c r="P23" i="1076"/>
  <c r="AB23" i="1076"/>
  <c r="AC23" i="1076"/>
  <c r="AD18" i="1075"/>
  <c r="AD16" i="1075"/>
  <c r="AD14" i="1075"/>
  <c r="O13" i="1075"/>
  <c r="P13" i="1075"/>
  <c r="AC13" i="1075" s="1"/>
  <c r="AD13" i="1075" s="1"/>
  <c r="AD20" i="1075"/>
  <c r="Q23" i="1075"/>
  <c r="M13" i="1075"/>
  <c r="P23" i="1075"/>
  <c r="AD15" i="1075"/>
  <c r="AC6" i="1075"/>
  <c r="AD9" i="1075"/>
  <c r="AD10" i="1075"/>
  <c r="AD21" i="1075"/>
  <c r="AB8" i="1075"/>
  <c r="AD8" i="1075" s="1"/>
  <c r="M12" i="1075"/>
  <c r="M19" i="1075"/>
  <c r="AB19" i="1075"/>
  <c r="M7" i="1075"/>
  <c r="AB7" i="1075"/>
  <c r="O8" i="1075"/>
  <c r="M11" i="1075"/>
  <c r="AB11" i="1075"/>
  <c r="AD11" i="1075" s="1"/>
  <c r="O12" i="1075"/>
  <c r="M17" i="1075"/>
  <c r="AB17" i="1075"/>
  <c r="AD17" i="1075" s="1"/>
  <c r="O19" i="1075"/>
  <c r="M22" i="1075"/>
  <c r="AB22" i="1075"/>
  <c r="AD22" i="1075" s="1"/>
  <c r="L23" i="1075"/>
  <c r="O23" i="1075" s="1"/>
  <c r="AD6" i="1075"/>
  <c r="M8" i="1075"/>
  <c r="AB12" i="1075"/>
  <c r="M6" i="1075"/>
  <c r="K23" i="1075"/>
  <c r="M10" i="1075"/>
  <c r="M21" i="1075"/>
  <c r="X18" i="16"/>
  <c r="X17" i="16"/>
  <c r="X16" i="16"/>
  <c r="X15" i="16"/>
  <c r="X14" i="16"/>
  <c r="X13" i="16"/>
  <c r="X12" i="16"/>
  <c r="X11" i="16"/>
  <c r="X10" i="16"/>
  <c r="X9" i="16"/>
  <c r="X8" i="16"/>
  <c r="X7" i="16"/>
  <c r="X6" i="16"/>
  <c r="X5" i="16"/>
  <c r="X4" i="16"/>
  <c r="X3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L20" i="1074"/>
  <c r="K20" i="1074" s="1"/>
  <c r="L19" i="1074"/>
  <c r="L18" i="1074"/>
  <c r="K18" i="1074" s="1"/>
  <c r="L17" i="1074"/>
  <c r="K17" i="1074" s="1"/>
  <c r="L16" i="1074"/>
  <c r="K16" i="1074" s="1"/>
  <c r="K14" i="1074"/>
  <c r="L12" i="1074"/>
  <c r="L11" i="1074"/>
  <c r="L10" i="1074"/>
  <c r="L9" i="1074"/>
  <c r="L8" i="1074"/>
  <c r="L7" i="1074"/>
  <c r="K7" i="1074" s="1"/>
  <c r="L6" i="1074"/>
  <c r="K6" i="1074" s="1"/>
  <c r="K19" i="1074"/>
  <c r="K12" i="1074"/>
  <c r="K11" i="1074"/>
  <c r="K10" i="1074"/>
  <c r="K9" i="1074"/>
  <c r="K8" i="1074"/>
  <c r="A75" i="1074"/>
  <c r="A76" i="1074" s="1"/>
  <c r="A77" i="1074" s="1"/>
  <c r="A78" i="1074" s="1"/>
  <c r="A79" i="1074" s="1"/>
  <c r="A80" i="1074" s="1"/>
  <c r="A81" i="1074" s="1"/>
  <c r="A74" i="1074"/>
  <c r="AF60" i="1074"/>
  <c r="AF59" i="1074"/>
  <c r="AF62" i="1074" s="1"/>
  <c r="AA21" i="1074"/>
  <c r="Z21" i="1074"/>
  <c r="Y21" i="1074"/>
  <c r="X21" i="1074"/>
  <c r="W21" i="1074"/>
  <c r="V21" i="1074"/>
  <c r="U21" i="1074"/>
  <c r="T21" i="1074"/>
  <c r="S21" i="1074"/>
  <c r="R21" i="1074"/>
  <c r="N21" i="1074"/>
  <c r="J21" i="1074"/>
  <c r="I21" i="1074"/>
  <c r="AF20" i="1074"/>
  <c r="Q20" i="1074"/>
  <c r="AF19" i="1074"/>
  <c r="Q19" i="1074"/>
  <c r="P19" i="1074"/>
  <c r="AC19" i="1074" s="1"/>
  <c r="AB19" i="1074"/>
  <c r="AF18" i="1074"/>
  <c r="Q18" i="1074"/>
  <c r="P18" i="1074" s="1"/>
  <c r="AC18" i="1074" s="1"/>
  <c r="O18" i="1074"/>
  <c r="AB18" i="1074"/>
  <c r="AF17" i="1074"/>
  <c r="AB17" i="1074"/>
  <c r="Q17" i="1074"/>
  <c r="P17" i="1074" s="1"/>
  <c r="AC17" i="1074" s="1"/>
  <c r="O17" i="1074"/>
  <c r="M17" i="1074"/>
  <c r="AF16" i="1074"/>
  <c r="AB16" i="1074"/>
  <c r="Q16" i="1074"/>
  <c r="P16" i="1074"/>
  <c r="AC16" i="1074" s="1"/>
  <c r="O16" i="1074"/>
  <c r="M16" i="1074"/>
  <c r="AF15" i="1074"/>
  <c r="AB15" i="1074"/>
  <c r="Q15" i="1074"/>
  <c r="P15" i="1074"/>
  <c r="AC15" i="1074" s="1"/>
  <c r="AD15" i="1074" s="1"/>
  <c r="O15" i="1074"/>
  <c r="M15" i="1074"/>
  <c r="K15" i="1074"/>
  <c r="AF14" i="1074"/>
  <c r="AB14" i="1074"/>
  <c r="Q14" i="1074"/>
  <c r="P14" i="1074"/>
  <c r="AC14" i="1074" s="1"/>
  <c r="O14" i="1074"/>
  <c r="M14" i="1074"/>
  <c r="AF13" i="1074"/>
  <c r="AC13" i="1074"/>
  <c r="AD13" i="1074" s="1"/>
  <c r="AB13" i="1074"/>
  <c r="Q13" i="1074"/>
  <c r="P13" i="1074"/>
  <c r="O13" i="1074"/>
  <c r="M13" i="1074"/>
  <c r="K13" i="1074"/>
  <c r="AF12" i="1074"/>
  <c r="Q12" i="1074"/>
  <c r="P12" i="1074" s="1"/>
  <c r="AC12" i="1074" s="1"/>
  <c r="AB12" i="1074"/>
  <c r="AF11" i="1074"/>
  <c r="Q11" i="1074"/>
  <c r="P11" i="1074" s="1"/>
  <c r="AC11" i="1074" s="1"/>
  <c r="O11" i="1074"/>
  <c r="AB11" i="1074"/>
  <c r="AF10" i="1074"/>
  <c r="AB10" i="1074"/>
  <c r="Q10" i="1074"/>
  <c r="P10" i="1074"/>
  <c r="AC10" i="1074" s="1"/>
  <c r="O10" i="1074"/>
  <c r="M10" i="1074"/>
  <c r="AF9" i="1074"/>
  <c r="Q9" i="1074"/>
  <c r="O9" i="1074"/>
  <c r="AF8" i="1074"/>
  <c r="Q8" i="1074"/>
  <c r="P8" i="1074" s="1"/>
  <c r="AC8" i="1074" s="1"/>
  <c r="AB8" i="1074"/>
  <c r="AF7" i="1074"/>
  <c r="AB7" i="1074"/>
  <c r="Q7" i="1074"/>
  <c r="P7" i="1074" s="1"/>
  <c r="AC7" i="1074" s="1"/>
  <c r="O7" i="1074"/>
  <c r="M7" i="1074"/>
  <c r="AF6" i="1074"/>
  <c r="Q6" i="1074"/>
  <c r="O6" i="1074"/>
  <c r="AE19" i="1077" l="1"/>
  <c r="AE16" i="1077"/>
  <c r="AE14" i="1077"/>
  <c r="AE11" i="1077"/>
  <c r="AE9" i="1077"/>
  <c r="AE7" i="1077"/>
  <c r="AE13" i="1077"/>
  <c r="AE10" i="1077"/>
  <c r="AE20" i="1077"/>
  <c r="AE17" i="1077"/>
  <c r="AE12" i="1077"/>
  <c r="AE8" i="1077"/>
  <c r="AE6" i="1077"/>
  <c r="AE18" i="1077"/>
  <c r="AE15" i="1077"/>
  <c r="AE10" i="1076"/>
  <c r="AE12" i="1076"/>
  <c r="AE21" i="1076"/>
  <c r="AE14" i="1076"/>
  <c r="AE18" i="1076"/>
  <c r="AE22" i="1076"/>
  <c r="AE19" i="1076"/>
  <c r="AE17" i="1076"/>
  <c r="AE8" i="1076"/>
  <c r="AE6" i="1076"/>
  <c r="AE7" i="1076"/>
  <c r="AE20" i="1076"/>
  <c r="AE9" i="1076"/>
  <c r="AE16" i="1076"/>
  <c r="AE11" i="1076"/>
  <c r="AE13" i="1076"/>
  <c r="AC23" i="1075"/>
  <c r="AD19" i="1075"/>
  <c r="AB23" i="1075"/>
  <c r="AD12" i="1075"/>
  <c r="M23" i="1075"/>
  <c r="AD7" i="1075"/>
  <c r="O20" i="1074"/>
  <c r="AD17" i="1074"/>
  <c r="AD10" i="1074"/>
  <c r="Q21" i="1074"/>
  <c r="AD7" i="1074"/>
  <c r="AD16" i="1074"/>
  <c r="AD14" i="1074"/>
  <c r="AD11" i="1074"/>
  <c r="AD12" i="1074"/>
  <c r="AD18" i="1074"/>
  <c r="P6" i="1074"/>
  <c r="O8" i="1074"/>
  <c r="AD8" i="1074" s="1"/>
  <c r="P9" i="1074"/>
  <c r="AC9" i="1074" s="1"/>
  <c r="M11" i="1074"/>
  <c r="O12" i="1074"/>
  <c r="M18" i="1074"/>
  <c r="O19" i="1074"/>
  <c r="AD19" i="1074" s="1"/>
  <c r="P20" i="1074"/>
  <c r="AC20" i="1074" s="1"/>
  <c r="M6" i="1074"/>
  <c r="AB6" i="1074"/>
  <c r="M9" i="1074"/>
  <c r="AB9" i="1074"/>
  <c r="M20" i="1074"/>
  <c r="AB20" i="1074"/>
  <c r="L21" i="1074"/>
  <c r="O21" i="1074" s="1"/>
  <c r="M8" i="1074"/>
  <c r="M12" i="1074"/>
  <c r="M19" i="1074"/>
  <c r="L20" i="1073"/>
  <c r="K20" i="1073" s="1"/>
  <c r="L19" i="1073"/>
  <c r="K19" i="1073" s="1"/>
  <c r="L18" i="1073"/>
  <c r="K18" i="1073" s="1"/>
  <c r="L12" i="1073"/>
  <c r="K12" i="1073" s="1"/>
  <c r="L11" i="1073"/>
  <c r="L10" i="1073"/>
  <c r="K10" i="1073" s="1"/>
  <c r="L9" i="1073"/>
  <c r="L8" i="1073"/>
  <c r="L6" i="1073"/>
  <c r="K6" i="1073" s="1"/>
  <c r="K17" i="1073"/>
  <c r="K16" i="1073"/>
  <c r="K15" i="1073"/>
  <c r="K11" i="1073"/>
  <c r="K9" i="1073"/>
  <c r="K8" i="1073"/>
  <c r="A74" i="1073"/>
  <c r="A75" i="1073" s="1"/>
  <c r="A76" i="1073" s="1"/>
  <c r="A77" i="1073" s="1"/>
  <c r="A78" i="1073" s="1"/>
  <c r="A79" i="1073" s="1"/>
  <c r="A80" i="1073" s="1"/>
  <c r="A81" i="1073" s="1"/>
  <c r="AF62" i="1073"/>
  <c r="AF60" i="1073"/>
  <c r="AF59" i="1073"/>
  <c r="AA21" i="1073"/>
  <c r="Z21" i="1073"/>
  <c r="Y21" i="1073"/>
  <c r="X21" i="1073"/>
  <c r="W21" i="1073"/>
  <c r="V21" i="1073"/>
  <c r="U21" i="1073"/>
  <c r="T21" i="1073"/>
  <c r="S21" i="1073"/>
  <c r="R21" i="1073"/>
  <c r="N21" i="1073"/>
  <c r="J21" i="1073"/>
  <c r="I21" i="1073"/>
  <c r="AF20" i="1073"/>
  <c r="Q20" i="1073"/>
  <c r="O20" i="1073"/>
  <c r="AF19" i="1073"/>
  <c r="Q19" i="1073"/>
  <c r="AB19" i="1073"/>
  <c r="AF18" i="1073"/>
  <c r="Q18" i="1073"/>
  <c r="P18" i="1073"/>
  <c r="AC18" i="1073" s="1"/>
  <c r="AF17" i="1073"/>
  <c r="Q17" i="1073"/>
  <c r="P17" i="1073"/>
  <c r="AC17" i="1073" s="1"/>
  <c r="AF16" i="1073"/>
  <c r="Q16" i="1073"/>
  <c r="O16" i="1073"/>
  <c r="AF15" i="1073"/>
  <c r="Q15" i="1073"/>
  <c r="AB15" i="1073"/>
  <c r="AF14" i="1073"/>
  <c r="AB14" i="1073"/>
  <c r="Q14" i="1073"/>
  <c r="P14" i="1073"/>
  <c r="AC14" i="1073" s="1"/>
  <c r="O14" i="1073"/>
  <c r="M14" i="1073"/>
  <c r="K14" i="1073"/>
  <c r="AF13" i="1073"/>
  <c r="AB13" i="1073"/>
  <c r="Q13" i="1073"/>
  <c r="P13" i="1073"/>
  <c r="AC13" i="1073" s="1"/>
  <c r="O13" i="1073"/>
  <c r="M13" i="1073"/>
  <c r="K13" i="1073"/>
  <c r="AF12" i="1073"/>
  <c r="AB12" i="1073"/>
  <c r="Q12" i="1073"/>
  <c r="P12" i="1073" s="1"/>
  <c r="AC12" i="1073" s="1"/>
  <c r="O12" i="1073"/>
  <c r="M12" i="1073"/>
  <c r="AF11" i="1073"/>
  <c r="AB11" i="1073"/>
  <c r="Q11" i="1073"/>
  <c r="P11" i="1073" s="1"/>
  <c r="AC11" i="1073" s="1"/>
  <c r="O11" i="1073"/>
  <c r="M11" i="1073"/>
  <c r="AF10" i="1073"/>
  <c r="AB10" i="1073"/>
  <c r="Q10" i="1073"/>
  <c r="P10" i="1073"/>
  <c r="AC10" i="1073" s="1"/>
  <c r="O10" i="1073"/>
  <c r="M10" i="1073"/>
  <c r="L21" i="1073"/>
  <c r="O21" i="1073" s="1"/>
  <c r="AF9" i="1073"/>
  <c r="AB9" i="1073"/>
  <c r="Q9" i="1073"/>
  <c r="P9" i="1073" s="1"/>
  <c r="AC9" i="1073" s="1"/>
  <c r="O9" i="1073"/>
  <c r="M9" i="1073"/>
  <c r="AF8" i="1073"/>
  <c r="AB8" i="1073"/>
  <c r="Q8" i="1073"/>
  <c r="P8" i="1073" s="1"/>
  <c r="AC8" i="1073" s="1"/>
  <c r="O8" i="1073"/>
  <c r="M8" i="1073"/>
  <c r="AF7" i="1073"/>
  <c r="AC7" i="1073"/>
  <c r="AD7" i="1073" s="1"/>
  <c r="AB7" i="1073"/>
  <c r="Q7" i="1073"/>
  <c r="P7" i="1073"/>
  <c r="O7" i="1073"/>
  <c r="M7" i="1073"/>
  <c r="K7" i="1073"/>
  <c r="AF6" i="1073"/>
  <c r="AB6" i="1073"/>
  <c r="Q6" i="1073"/>
  <c r="O6" i="1073"/>
  <c r="M6" i="1073"/>
  <c r="AD23" i="1075" l="1"/>
  <c r="AE15" i="1075" s="1"/>
  <c r="AD9" i="1074"/>
  <c r="AB21" i="1074"/>
  <c r="AD20" i="1074"/>
  <c r="K21" i="1074"/>
  <c r="AC6" i="1074"/>
  <c r="P21" i="1074"/>
  <c r="M21" i="1074"/>
  <c r="Q21" i="1073"/>
  <c r="AD8" i="1073"/>
  <c r="P6" i="1073"/>
  <c r="M20" i="1073"/>
  <c r="AD13" i="1073"/>
  <c r="AD10" i="1073"/>
  <c r="AD12" i="1073"/>
  <c r="AD9" i="1073"/>
  <c r="AD11" i="1073"/>
  <c r="AD14" i="1073"/>
  <c r="AC6" i="1073"/>
  <c r="O15" i="1073"/>
  <c r="K21" i="1073"/>
  <c r="P16" i="1073"/>
  <c r="AC16" i="1073" s="1"/>
  <c r="M18" i="1073"/>
  <c r="AB18" i="1073"/>
  <c r="O19" i="1073"/>
  <c r="P20" i="1073"/>
  <c r="AC20" i="1073" s="1"/>
  <c r="P15" i="1073"/>
  <c r="AC15" i="1073" s="1"/>
  <c r="AD15" i="1073" s="1"/>
  <c r="M17" i="1073"/>
  <c r="AB17" i="1073"/>
  <c r="O18" i="1073"/>
  <c r="P19" i="1073"/>
  <c r="AC19" i="1073" s="1"/>
  <c r="AD19" i="1073" s="1"/>
  <c r="M16" i="1073"/>
  <c r="AB16" i="1073"/>
  <c r="O17" i="1073"/>
  <c r="AB20" i="1073"/>
  <c r="M15" i="1073"/>
  <c r="M19" i="1073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L20" i="1072"/>
  <c r="L19" i="1072"/>
  <c r="K19" i="1072" s="1"/>
  <c r="L18" i="1072"/>
  <c r="K18" i="1072" s="1"/>
  <c r="L17" i="1072"/>
  <c r="L16" i="1072"/>
  <c r="L15" i="1072"/>
  <c r="K15" i="1072" s="1"/>
  <c r="L10" i="1072"/>
  <c r="K10" i="1072" s="1"/>
  <c r="K20" i="1072"/>
  <c r="K17" i="1072"/>
  <c r="K13" i="1072"/>
  <c r="K12" i="1072"/>
  <c r="K11" i="1072"/>
  <c r="K9" i="1072"/>
  <c r="K8" i="1072"/>
  <c r="K6" i="1072"/>
  <c r="AE10" i="1075" l="1"/>
  <c r="AE11" i="1075"/>
  <c r="AE13" i="1075"/>
  <c r="AE7" i="1075"/>
  <c r="AE22" i="1075"/>
  <c r="AE14" i="1075"/>
  <c r="AE6" i="1075"/>
  <c r="AE21" i="1075"/>
  <c r="AE8" i="1075"/>
  <c r="AE9" i="1075"/>
  <c r="AE12" i="1075"/>
  <c r="AE19" i="1075"/>
  <c r="AE20" i="1075"/>
  <c r="AC21" i="1074"/>
  <c r="AD6" i="1074"/>
  <c r="AD21" i="1074" s="1"/>
  <c r="AB21" i="1073"/>
  <c r="M21" i="1073"/>
  <c r="AD18" i="1073"/>
  <c r="AD20" i="1073"/>
  <c r="AD16" i="1073"/>
  <c r="P21" i="1073"/>
  <c r="AC21" i="1073"/>
  <c r="AD6" i="1073"/>
  <c r="AD17" i="1073"/>
  <c r="K7" i="1072"/>
  <c r="A74" i="1072"/>
  <c r="A75" i="1072" s="1"/>
  <c r="A76" i="1072" s="1"/>
  <c r="A77" i="1072" s="1"/>
  <c r="A78" i="1072" s="1"/>
  <c r="A79" i="1072" s="1"/>
  <c r="A80" i="1072" s="1"/>
  <c r="A81" i="1072" s="1"/>
  <c r="AF60" i="1072"/>
  <c r="AF62" i="1072" s="1"/>
  <c r="AF59" i="1072"/>
  <c r="AA21" i="1072"/>
  <c r="Z21" i="1072"/>
  <c r="Y21" i="1072"/>
  <c r="X21" i="1072"/>
  <c r="W21" i="1072"/>
  <c r="V21" i="1072"/>
  <c r="U21" i="1072"/>
  <c r="T21" i="1072"/>
  <c r="S21" i="1072"/>
  <c r="R21" i="1072"/>
  <c r="N21" i="1072"/>
  <c r="J21" i="1072"/>
  <c r="I21" i="1072"/>
  <c r="AF20" i="1072"/>
  <c r="AB20" i="1072"/>
  <c r="Q20" i="1072"/>
  <c r="O20" i="1072"/>
  <c r="M20" i="1072"/>
  <c r="P20" i="1072"/>
  <c r="AC20" i="1072" s="1"/>
  <c r="AD20" i="1072" s="1"/>
  <c r="U17" i="16" s="1"/>
  <c r="AF19" i="1072"/>
  <c r="Q19" i="1072"/>
  <c r="AB19" i="1072"/>
  <c r="AF18" i="1072"/>
  <c r="Q18" i="1072"/>
  <c r="P18" i="1072" s="1"/>
  <c r="AC18" i="1072" s="1"/>
  <c r="O18" i="1072"/>
  <c r="AF17" i="1072"/>
  <c r="Q17" i="1072"/>
  <c r="AB17" i="1072"/>
  <c r="AF16" i="1072"/>
  <c r="AB16" i="1072"/>
  <c r="Q16" i="1072"/>
  <c r="P16" i="1072" s="1"/>
  <c r="AC16" i="1072" s="1"/>
  <c r="O16" i="1072"/>
  <c r="M16" i="1072"/>
  <c r="K16" i="1072"/>
  <c r="AF15" i="1072"/>
  <c r="AB15" i="1072"/>
  <c r="Q15" i="1072"/>
  <c r="O15" i="1072"/>
  <c r="M15" i="1072"/>
  <c r="P15" i="1072"/>
  <c r="AC15" i="1072" s="1"/>
  <c r="AD15" i="1072" s="1"/>
  <c r="U12" i="16" s="1"/>
  <c r="AF14" i="1072"/>
  <c r="AB14" i="1072"/>
  <c r="Q14" i="1072"/>
  <c r="P14" i="1072"/>
  <c r="AC14" i="1072" s="1"/>
  <c r="O14" i="1072"/>
  <c r="M14" i="1072"/>
  <c r="K14" i="1072"/>
  <c r="AF13" i="1072"/>
  <c r="AB13" i="1072"/>
  <c r="Q13" i="1072"/>
  <c r="P13" i="1072" s="1"/>
  <c r="AC13" i="1072" s="1"/>
  <c r="O13" i="1072"/>
  <c r="M13" i="1072"/>
  <c r="AF12" i="1072"/>
  <c r="AB12" i="1072"/>
  <c r="Q12" i="1072"/>
  <c r="P12" i="1072" s="1"/>
  <c r="AC12" i="1072" s="1"/>
  <c r="O12" i="1072"/>
  <c r="M12" i="1072"/>
  <c r="AF11" i="1072"/>
  <c r="Q11" i="1072"/>
  <c r="P11" i="1072"/>
  <c r="AC11" i="1072" s="1"/>
  <c r="O11" i="1072"/>
  <c r="M11" i="1072"/>
  <c r="AB11" i="1072"/>
  <c r="AF10" i="1072"/>
  <c r="AB10" i="1072"/>
  <c r="Q10" i="1072"/>
  <c r="P10" i="1072" s="1"/>
  <c r="AC10" i="1072" s="1"/>
  <c r="O10" i="1072"/>
  <c r="M10" i="1072"/>
  <c r="AF9" i="1072"/>
  <c r="Q9" i="1072"/>
  <c r="P9" i="1072" s="1"/>
  <c r="AC9" i="1072" s="1"/>
  <c r="AF8" i="1072"/>
  <c r="Q8" i="1072"/>
  <c r="P8" i="1072" s="1"/>
  <c r="AC8" i="1072" s="1"/>
  <c r="O8" i="1072"/>
  <c r="AF7" i="1072"/>
  <c r="Q7" i="1072"/>
  <c r="P7" i="1072"/>
  <c r="AC7" i="1072" s="1"/>
  <c r="O7" i="1072"/>
  <c r="AB7" i="1072"/>
  <c r="AF6" i="1072"/>
  <c r="AB6" i="1072"/>
  <c r="Q6" i="1072"/>
  <c r="O6" i="1072"/>
  <c r="M6" i="1072"/>
  <c r="L21" i="1072"/>
  <c r="O21" i="1072" s="1"/>
  <c r="AE18" i="1074" l="1"/>
  <c r="AE11" i="1074"/>
  <c r="AE7" i="1074"/>
  <c r="AE14" i="1074"/>
  <c r="AE19" i="1074"/>
  <c r="AE16" i="1074"/>
  <c r="AE12" i="1074"/>
  <c r="AE8" i="1074"/>
  <c r="AE9" i="1074"/>
  <c r="AE20" i="1074"/>
  <c r="AE6" i="1074"/>
  <c r="AE17" i="1074"/>
  <c r="AE15" i="1074"/>
  <c r="AE13" i="1074"/>
  <c r="AE10" i="1074"/>
  <c r="AD21" i="1073"/>
  <c r="AE18" i="1073" s="1"/>
  <c r="AD13" i="1072"/>
  <c r="U10" i="16" s="1"/>
  <c r="Q21" i="1072"/>
  <c r="AD11" i="1072"/>
  <c r="U8" i="16" s="1"/>
  <c r="AD14" i="1072"/>
  <c r="U11" i="16" s="1"/>
  <c r="AD10" i="1072"/>
  <c r="U7" i="16" s="1"/>
  <c r="AD12" i="1072"/>
  <c r="U9" i="16" s="1"/>
  <c r="AD16" i="1072"/>
  <c r="U13" i="16" s="1"/>
  <c r="AD7" i="1072"/>
  <c r="U4" i="16" s="1"/>
  <c r="M9" i="1072"/>
  <c r="P6" i="1072"/>
  <c r="M8" i="1072"/>
  <c r="AB8" i="1072"/>
  <c r="AD8" i="1072" s="1"/>
  <c r="U5" i="16" s="1"/>
  <c r="O9" i="1072"/>
  <c r="O17" i="1072"/>
  <c r="M18" i="1072"/>
  <c r="AB18" i="1072"/>
  <c r="AD18" i="1072" s="1"/>
  <c r="U15" i="16" s="1"/>
  <c r="O19" i="1072"/>
  <c r="AB9" i="1072"/>
  <c r="M7" i="1072"/>
  <c r="K21" i="1072"/>
  <c r="P17" i="1072"/>
  <c r="AC17" i="1072" s="1"/>
  <c r="P19" i="1072"/>
  <c r="AC19" i="1072" s="1"/>
  <c r="M17" i="1072"/>
  <c r="M19" i="1072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L21" i="1071"/>
  <c r="K21" i="1071" s="1"/>
  <c r="L20" i="1071"/>
  <c r="L19" i="1071"/>
  <c r="K19" i="1071" s="1"/>
  <c r="AF19" i="1071"/>
  <c r="AB19" i="1071"/>
  <c r="Q19" i="1071"/>
  <c r="P19" i="1071" s="1"/>
  <c r="AC19" i="1071" s="1"/>
  <c r="O19" i="1071"/>
  <c r="M19" i="1071"/>
  <c r="L17" i="1071"/>
  <c r="K17" i="1071" s="1"/>
  <c r="K16" i="1071"/>
  <c r="L15" i="1071"/>
  <c r="L11" i="1071"/>
  <c r="L10" i="1071"/>
  <c r="L9" i="1071"/>
  <c r="L8" i="1071"/>
  <c r="L7" i="1071"/>
  <c r="AE20" i="1073" l="1"/>
  <c r="AE17" i="1073"/>
  <c r="AE10" i="1073"/>
  <c r="AE6" i="1073"/>
  <c r="AE11" i="1073"/>
  <c r="AE8" i="1073"/>
  <c r="AE12" i="1073"/>
  <c r="AE7" i="1073"/>
  <c r="AE13" i="1073"/>
  <c r="AE15" i="1073"/>
  <c r="AE14" i="1073"/>
  <c r="AE9" i="1073"/>
  <c r="AE16" i="1073"/>
  <c r="AE19" i="1073"/>
  <c r="AD19" i="1072"/>
  <c r="U16" i="16" s="1"/>
  <c r="AD9" i="1072"/>
  <c r="U6" i="16" s="1"/>
  <c r="AD17" i="1072"/>
  <c r="U14" i="16" s="1"/>
  <c r="AB21" i="1072"/>
  <c r="M21" i="1072"/>
  <c r="AC6" i="1072"/>
  <c r="P21" i="1072"/>
  <c r="AD19" i="1071"/>
  <c r="AC21" i="1072" l="1"/>
  <c r="AD6" i="1072"/>
  <c r="K7" i="1071"/>
  <c r="L6" i="1071"/>
  <c r="K6" i="1071" s="1"/>
  <c r="K20" i="1071"/>
  <c r="K18" i="1071"/>
  <c r="K15" i="1071"/>
  <c r="K11" i="1071"/>
  <c r="K10" i="1071"/>
  <c r="K9" i="1071"/>
  <c r="K8" i="1071"/>
  <c r="A76" i="1071"/>
  <c r="A77" i="1071" s="1"/>
  <c r="A78" i="1071" s="1"/>
  <c r="A79" i="1071" s="1"/>
  <c r="A80" i="1071" s="1"/>
  <c r="A81" i="1071" s="1"/>
  <c r="A82" i="1071" s="1"/>
  <c r="A75" i="1071"/>
  <c r="AF61" i="1071"/>
  <c r="AF60" i="1071"/>
  <c r="AF63" i="1071" s="1"/>
  <c r="AA22" i="1071"/>
  <c r="Z22" i="1071"/>
  <c r="Y22" i="1071"/>
  <c r="X22" i="1071"/>
  <c r="W22" i="1071"/>
  <c r="V22" i="1071"/>
  <c r="U22" i="1071"/>
  <c r="T22" i="1071"/>
  <c r="S22" i="1071"/>
  <c r="R22" i="1071"/>
  <c r="N22" i="1071"/>
  <c r="J22" i="1071"/>
  <c r="I22" i="1071"/>
  <c r="AF21" i="1071"/>
  <c r="Q21" i="1071"/>
  <c r="O21" i="1071"/>
  <c r="AF20" i="1071"/>
  <c r="Q20" i="1071"/>
  <c r="P20" i="1071" s="1"/>
  <c r="AC20" i="1071" s="1"/>
  <c r="AB20" i="1071"/>
  <c r="AF18" i="1071"/>
  <c r="Q18" i="1071"/>
  <c r="P18" i="1071" s="1"/>
  <c r="AC18" i="1071" s="1"/>
  <c r="O18" i="1071"/>
  <c r="AB18" i="1071"/>
  <c r="AF17" i="1071"/>
  <c r="AB17" i="1071"/>
  <c r="Q17" i="1071"/>
  <c r="P17" i="1071" s="1"/>
  <c r="AC17" i="1071" s="1"/>
  <c r="O17" i="1071"/>
  <c r="M17" i="1071"/>
  <c r="AF16" i="1071"/>
  <c r="AB16" i="1071"/>
  <c r="Q16" i="1071"/>
  <c r="P16" i="1071"/>
  <c r="AC16" i="1071" s="1"/>
  <c r="O16" i="1071"/>
  <c r="M16" i="1071"/>
  <c r="AF15" i="1071"/>
  <c r="AB15" i="1071"/>
  <c r="Q15" i="1071"/>
  <c r="P15" i="1071" s="1"/>
  <c r="AC15" i="1071" s="1"/>
  <c r="O15" i="1071"/>
  <c r="M15" i="1071"/>
  <c r="AF14" i="1071"/>
  <c r="AB14" i="1071"/>
  <c r="Q14" i="1071"/>
  <c r="P14" i="1071"/>
  <c r="AC14" i="1071" s="1"/>
  <c r="O14" i="1071"/>
  <c r="M14" i="1071"/>
  <c r="K14" i="1071"/>
  <c r="AF13" i="1071"/>
  <c r="AB13" i="1071"/>
  <c r="Q13" i="1071"/>
  <c r="P13" i="1071" s="1"/>
  <c r="AC13" i="1071" s="1"/>
  <c r="O13" i="1071"/>
  <c r="M13" i="1071"/>
  <c r="K13" i="1071"/>
  <c r="AF12" i="1071"/>
  <c r="AB12" i="1071"/>
  <c r="Q12" i="1071"/>
  <c r="P12" i="1071"/>
  <c r="AC12" i="1071" s="1"/>
  <c r="O12" i="1071"/>
  <c r="M12" i="1071"/>
  <c r="K12" i="1071"/>
  <c r="AF11" i="1071"/>
  <c r="Q11" i="1071"/>
  <c r="P11" i="1071"/>
  <c r="AC11" i="1071" s="1"/>
  <c r="AF10" i="1071"/>
  <c r="AB10" i="1071"/>
  <c r="Q10" i="1071"/>
  <c r="P10" i="1071" s="1"/>
  <c r="AC10" i="1071" s="1"/>
  <c r="M10" i="1071"/>
  <c r="O10" i="1071"/>
  <c r="AF9" i="1071"/>
  <c r="Q9" i="1071"/>
  <c r="O9" i="1071"/>
  <c r="AB9" i="1071"/>
  <c r="AF8" i="1071"/>
  <c r="AB8" i="1071"/>
  <c r="Q8" i="1071"/>
  <c r="P8" i="1071" s="1"/>
  <c r="AC8" i="1071" s="1"/>
  <c r="M8" i="1071"/>
  <c r="O8" i="1071"/>
  <c r="AF7" i="1071"/>
  <c r="Q7" i="1071"/>
  <c r="P7" i="1071" s="1"/>
  <c r="AC7" i="1071" s="1"/>
  <c r="AF6" i="1071"/>
  <c r="AB6" i="1071"/>
  <c r="Q6" i="1071"/>
  <c r="P6" i="1071" s="1"/>
  <c r="M6" i="1071"/>
  <c r="L22" i="1071"/>
  <c r="O22" i="1071" s="1"/>
  <c r="AD21" i="1072" l="1"/>
  <c r="U18" i="16" s="1"/>
  <c r="U3" i="16"/>
  <c r="AD13" i="1071"/>
  <c r="AD12" i="1071"/>
  <c r="AD14" i="1071"/>
  <c r="Q22" i="1071"/>
  <c r="AD8" i="1071"/>
  <c r="AD15" i="1071"/>
  <c r="AD17" i="1071"/>
  <c r="AD16" i="1071"/>
  <c r="AD18" i="1071"/>
  <c r="K22" i="1071"/>
  <c r="AD10" i="1071"/>
  <c r="M7" i="1071"/>
  <c r="AB7" i="1071"/>
  <c r="P9" i="1071"/>
  <c r="AC9" i="1071" s="1"/>
  <c r="AD9" i="1071" s="1"/>
  <c r="M11" i="1071"/>
  <c r="AB11" i="1071"/>
  <c r="M18" i="1071"/>
  <c r="O20" i="1071"/>
  <c r="AD20" i="1071" s="1"/>
  <c r="P21" i="1071"/>
  <c r="AC21" i="1071" s="1"/>
  <c r="O7" i="1071"/>
  <c r="O11" i="1071"/>
  <c r="O6" i="1071"/>
  <c r="AC6" i="1071"/>
  <c r="M9" i="1071"/>
  <c r="M21" i="1071"/>
  <c r="AB21" i="1071"/>
  <c r="M20" i="1071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L20" i="1070"/>
  <c r="K20" i="1070" s="1"/>
  <c r="L19" i="1070"/>
  <c r="K19" i="1070" s="1"/>
  <c r="L18" i="1070"/>
  <c r="K18" i="1070" s="1"/>
  <c r="L15" i="1070"/>
  <c r="K15" i="1070" s="1"/>
  <c r="L11" i="1070"/>
  <c r="K11" i="1070" s="1"/>
  <c r="L10" i="1070"/>
  <c r="K10" i="1070" s="1"/>
  <c r="L9" i="1070"/>
  <c r="K9" i="1070" s="1"/>
  <c r="L8" i="1070"/>
  <c r="K8" i="1070" s="1"/>
  <c r="L7" i="1070"/>
  <c r="K7" i="1070" s="1"/>
  <c r="L6" i="1070"/>
  <c r="K6" i="1070" s="1"/>
  <c r="K16" i="1070"/>
  <c r="K12" i="1070"/>
  <c r="A74" i="1070"/>
  <c r="A75" i="1070" s="1"/>
  <c r="A76" i="1070" s="1"/>
  <c r="A77" i="1070" s="1"/>
  <c r="A78" i="1070" s="1"/>
  <c r="A79" i="1070" s="1"/>
  <c r="A80" i="1070" s="1"/>
  <c r="A81" i="1070" s="1"/>
  <c r="AF60" i="1070"/>
  <c r="AF59" i="1070"/>
  <c r="AA21" i="1070"/>
  <c r="Z21" i="1070"/>
  <c r="Y21" i="1070"/>
  <c r="X21" i="1070"/>
  <c r="W21" i="1070"/>
  <c r="V21" i="1070"/>
  <c r="U21" i="1070"/>
  <c r="T21" i="1070"/>
  <c r="S21" i="1070"/>
  <c r="R21" i="1070"/>
  <c r="N21" i="1070"/>
  <c r="J21" i="1070"/>
  <c r="I21" i="1070"/>
  <c r="AF20" i="1070"/>
  <c r="Q20" i="1070"/>
  <c r="O20" i="1070"/>
  <c r="AF19" i="1070"/>
  <c r="AB19" i="1070"/>
  <c r="Q19" i="1070"/>
  <c r="P19" i="1070" s="1"/>
  <c r="AC19" i="1070" s="1"/>
  <c r="O19" i="1070"/>
  <c r="M19" i="1070"/>
  <c r="AF18" i="1070"/>
  <c r="Q18" i="1070"/>
  <c r="AF17" i="1070"/>
  <c r="AB17" i="1070"/>
  <c r="Q17" i="1070"/>
  <c r="P17" i="1070"/>
  <c r="AC17" i="1070" s="1"/>
  <c r="O17" i="1070"/>
  <c r="M17" i="1070"/>
  <c r="K17" i="1070"/>
  <c r="AF16" i="1070"/>
  <c r="AB16" i="1070"/>
  <c r="Q16" i="1070"/>
  <c r="P16" i="1070" s="1"/>
  <c r="AC16" i="1070" s="1"/>
  <c r="O16" i="1070"/>
  <c r="M16" i="1070"/>
  <c r="AF15" i="1070"/>
  <c r="AB15" i="1070"/>
  <c r="Q15" i="1070"/>
  <c r="P15" i="1070" s="1"/>
  <c r="AC15" i="1070" s="1"/>
  <c r="O15" i="1070"/>
  <c r="M15" i="1070"/>
  <c r="AF14" i="1070"/>
  <c r="AB14" i="1070"/>
  <c r="Q14" i="1070"/>
  <c r="P14" i="1070"/>
  <c r="AC14" i="1070" s="1"/>
  <c r="O14" i="1070"/>
  <c r="M14" i="1070"/>
  <c r="K14" i="1070"/>
  <c r="AF13" i="1070"/>
  <c r="AB13" i="1070"/>
  <c r="Q13" i="1070"/>
  <c r="P13" i="1070"/>
  <c r="AC13" i="1070" s="1"/>
  <c r="AD13" i="1070" s="1"/>
  <c r="O13" i="1070"/>
  <c r="M13" i="1070"/>
  <c r="K13" i="1070"/>
  <c r="AF12" i="1070"/>
  <c r="AB12" i="1070"/>
  <c r="Q12" i="1070"/>
  <c r="P12" i="1070" s="1"/>
  <c r="AC12" i="1070" s="1"/>
  <c r="O12" i="1070"/>
  <c r="M12" i="1070"/>
  <c r="AF11" i="1070"/>
  <c r="Q11" i="1070"/>
  <c r="P11" i="1070" s="1"/>
  <c r="AC11" i="1070" s="1"/>
  <c r="AF10" i="1070"/>
  <c r="AB10" i="1070"/>
  <c r="Q10" i="1070"/>
  <c r="P10" i="1070" s="1"/>
  <c r="AC10" i="1070" s="1"/>
  <c r="O10" i="1070"/>
  <c r="M10" i="1070"/>
  <c r="AF9" i="1070"/>
  <c r="Q9" i="1070"/>
  <c r="AF8" i="1070"/>
  <c r="Q8" i="1070"/>
  <c r="P8" i="1070" s="1"/>
  <c r="AC8" i="1070" s="1"/>
  <c r="AF7" i="1070"/>
  <c r="Q7" i="1070"/>
  <c r="P7" i="1070" s="1"/>
  <c r="AC7" i="1070" s="1"/>
  <c r="O7" i="1070"/>
  <c r="M7" i="1070"/>
  <c r="AB7" i="1070"/>
  <c r="AF6" i="1070"/>
  <c r="AB6" i="1070"/>
  <c r="Q6" i="1070"/>
  <c r="O6" i="1070"/>
  <c r="M6" i="1070"/>
  <c r="L21" i="1070"/>
  <c r="O21" i="1070" s="1"/>
  <c r="AE7" i="1072" l="1"/>
  <c r="AE11" i="1072"/>
  <c r="AE15" i="1072"/>
  <c r="AE19" i="1072"/>
  <c r="AE17" i="1072"/>
  <c r="AE13" i="1072"/>
  <c r="AE20" i="1072"/>
  <c r="AE12" i="1072"/>
  <c r="AE10" i="1072"/>
  <c r="AE6" i="1072"/>
  <c r="AE14" i="1072"/>
  <c r="AE18" i="1072"/>
  <c r="AE8" i="1072"/>
  <c r="AE9" i="1072"/>
  <c r="AE16" i="1072"/>
  <c r="AB22" i="1071"/>
  <c r="AD11" i="1071"/>
  <c r="M22" i="1071"/>
  <c r="AD21" i="1071"/>
  <c r="AC22" i="1071"/>
  <c r="AD6" i="1071"/>
  <c r="S3" i="16" s="1"/>
  <c r="AD7" i="1071"/>
  <c r="P22" i="1071"/>
  <c r="M20" i="1070"/>
  <c r="AF62" i="1070"/>
  <c r="AB18" i="1070"/>
  <c r="AD10" i="1070"/>
  <c r="AB9" i="1070"/>
  <c r="P9" i="1070"/>
  <c r="AC9" i="1070" s="1"/>
  <c r="M9" i="1070"/>
  <c r="Q21" i="1070"/>
  <c r="AD12" i="1070"/>
  <c r="AD14" i="1070"/>
  <c r="AD17" i="1070"/>
  <c r="AD7" i="1070"/>
  <c r="AD16" i="1070"/>
  <c r="AD15" i="1070"/>
  <c r="AD19" i="1070"/>
  <c r="O18" i="1070"/>
  <c r="P20" i="1070"/>
  <c r="AC20" i="1070" s="1"/>
  <c r="P6" i="1070"/>
  <c r="M8" i="1070"/>
  <c r="AB8" i="1070"/>
  <c r="O9" i="1070"/>
  <c r="AD9" i="1070" s="1"/>
  <c r="M11" i="1070"/>
  <c r="AB11" i="1070"/>
  <c r="P18" i="1070"/>
  <c r="AC18" i="1070" s="1"/>
  <c r="O8" i="1070"/>
  <c r="O11" i="1070"/>
  <c r="AB20" i="1070"/>
  <c r="M18" i="1070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L22" i="1069"/>
  <c r="K22" i="1069" s="1"/>
  <c r="K21" i="1069"/>
  <c r="AF21" i="1069"/>
  <c r="AB21" i="1069"/>
  <c r="Q21" i="1069"/>
  <c r="P21" i="1069" s="1"/>
  <c r="AC21" i="1069" s="1"/>
  <c r="O21" i="1069"/>
  <c r="M21" i="1069"/>
  <c r="L19" i="1069"/>
  <c r="K19" i="1069" s="1"/>
  <c r="AF19" i="1069"/>
  <c r="Q19" i="1069"/>
  <c r="O19" i="1069"/>
  <c r="K16" i="1069"/>
  <c r="L15" i="1069"/>
  <c r="K15" i="1069" s="1"/>
  <c r="L11" i="1069"/>
  <c r="O11" i="1069" s="1"/>
  <c r="L9" i="1069"/>
  <c r="K9" i="1069" s="1"/>
  <c r="L8" i="1069"/>
  <c r="K8" i="1069" s="1"/>
  <c r="L7" i="1069"/>
  <c r="L6" i="1069"/>
  <c r="M6" i="1069" s="1"/>
  <c r="K20" i="1069"/>
  <c r="K18" i="1069"/>
  <c r="K13" i="1069"/>
  <c r="K12" i="1069"/>
  <c r="K7" i="1069"/>
  <c r="A77" i="1069"/>
  <c r="A78" i="1069" s="1"/>
  <c r="A79" i="1069" s="1"/>
  <c r="A80" i="1069" s="1"/>
  <c r="A81" i="1069" s="1"/>
  <c r="A82" i="1069" s="1"/>
  <c r="A83" i="1069" s="1"/>
  <c r="A76" i="1069"/>
  <c r="AF62" i="1069"/>
  <c r="AF61" i="1069"/>
  <c r="AA23" i="1069"/>
  <c r="Z23" i="1069"/>
  <c r="Y23" i="1069"/>
  <c r="X23" i="1069"/>
  <c r="W23" i="1069"/>
  <c r="V23" i="1069"/>
  <c r="U23" i="1069"/>
  <c r="T23" i="1069"/>
  <c r="S23" i="1069"/>
  <c r="R23" i="1069"/>
  <c r="N23" i="1069"/>
  <c r="J23" i="1069"/>
  <c r="I23" i="1069"/>
  <c r="AF22" i="1069"/>
  <c r="Q22" i="1069"/>
  <c r="O22" i="1069"/>
  <c r="AF20" i="1069"/>
  <c r="Q20" i="1069"/>
  <c r="P20" i="1069" s="1"/>
  <c r="AC20" i="1069" s="1"/>
  <c r="O20" i="1069"/>
  <c r="AF18" i="1069"/>
  <c r="AB18" i="1069"/>
  <c r="Q18" i="1069"/>
  <c r="P18" i="1069" s="1"/>
  <c r="AC18" i="1069" s="1"/>
  <c r="M18" i="1069"/>
  <c r="O18" i="1069"/>
  <c r="AF17" i="1069"/>
  <c r="AB17" i="1069"/>
  <c r="Q17" i="1069"/>
  <c r="P17" i="1069"/>
  <c r="AC17" i="1069" s="1"/>
  <c r="O17" i="1069"/>
  <c r="M17" i="1069"/>
  <c r="K17" i="1069"/>
  <c r="AF16" i="1069"/>
  <c r="Q16" i="1069"/>
  <c r="P16" i="1069" s="1"/>
  <c r="AC16" i="1069" s="1"/>
  <c r="O16" i="1069"/>
  <c r="AF15" i="1069"/>
  <c r="AB15" i="1069"/>
  <c r="Q15" i="1069"/>
  <c r="P15" i="1069" s="1"/>
  <c r="AC15" i="1069" s="1"/>
  <c r="M15" i="1069"/>
  <c r="O15" i="1069"/>
  <c r="AF14" i="1069"/>
  <c r="AB14" i="1069"/>
  <c r="Q14" i="1069"/>
  <c r="P14" i="1069"/>
  <c r="AC14" i="1069" s="1"/>
  <c r="O14" i="1069"/>
  <c r="M14" i="1069"/>
  <c r="K14" i="1069"/>
  <c r="AF13" i="1069"/>
  <c r="Q13" i="1069"/>
  <c r="P13" i="1069"/>
  <c r="AC13" i="1069" s="1"/>
  <c r="AF12" i="1069"/>
  <c r="AB12" i="1069"/>
  <c r="Q12" i="1069"/>
  <c r="P12" i="1069" s="1"/>
  <c r="AC12" i="1069" s="1"/>
  <c r="M12" i="1069"/>
  <c r="O12" i="1069"/>
  <c r="AF11" i="1069"/>
  <c r="AB11" i="1069"/>
  <c r="Q11" i="1069"/>
  <c r="P11" i="1069" s="1"/>
  <c r="AC11" i="1069" s="1"/>
  <c r="M11" i="1069"/>
  <c r="K11" i="1069"/>
  <c r="AF10" i="1069"/>
  <c r="AB10" i="1069"/>
  <c r="Q10" i="1069"/>
  <c r="P10" i="1069"/>
  <c r="AC10" i="1069" s="1"/>
  <c r="O10" i="1069"/>
  <c r="M10" i="1069"/>
  <c r="K10" i="1069"/>
  <c r="AF9" i="1069"/>
  <c r="Q9" i="1069"/>
  <c r="O9" i="1069"/>
  <c r="AF8" i="1069"/>
  <c r="AB8" i="1069"/>
  <c r="Q8" i="1069"/>
  <c r="P8" i="1069" s="1"/>
  <c r="AC8" i="1069" s="1"/>
  <c r="O8" i="1069"/>
  <c r="M8" i="1069"/>
  <c r="AF7" i="1069"/>
  <c r="Q7" i="1069"/>
  <c r="P7" i="1069" s="1"/>
  <c r="AC7" i="1069" s="1"/>
  <c r="O7" i="1069"/>
  <c r="AF6" i="1069"/>
  <c r="AB6" i="1069"/>
  <c r="Q6" i="1069"/>
  <c r="P6" i="1069" s="1"/>
  <c r="L23" i="1069"/>
  <c r="AD22" i="1071" l="1"/>
  <c r="AD18" i="1070"/>
  <c r="AD11" i="1070"/>
  <c r="M21" i="1070"/>
  <c r="AD8" i="1070"/>
  <c r="AD20" i="1070"/>
  <c r="AB21" i="1070"/>
  <c r="AC6" i="1070"/>
  <c r="P21" i="1070"/>
  <c r="K21" i="1070"/>
  <c r="M19" i="1069"/>
  <c r="AF64" i="1069"/>
  <c r="K6" i="1069"/>
  <c r="K23" i="1069" s="1"/>
  <c r="P19" i="1069"/>
  <c r="AC19" i="1069" s="1"/>
  <c r="AB19" i="1069"/>
  <c r="AD19" i="1069" s="1"/>
  <c r="AD21" i="1069"/>
  <c r="AD14" i="1069"/>
  <c r="O23" i="1069"/>
  <c r="AD11" i="1069"/>
  <c r="Q23" i="1069"/>
  <c r="AD8" i="1069"/>
  <c r="AD17" i="1069"/>
  <c r="AD18" i="1069"/>
  <c r="AD10" i="1069"/>
  <c r="AD12" i="1069"/>
  <c r="AD15" i="1069"/>
  <c r="M7" i="1069"/>
  <c r="AB7" i="1069"/>
  <c r="AD7" i="1069" s="1"/>
  <c r="P9" i="1069"/>
  <c r="AC9" i="1069" s="1"/>
  <c r="M13" i="1069"/>
  <c r="AB13" i="1069"/>
  <c r="M16" i="1069"/>
  <c r="AB16" i="1069"/>
  <c r="AD16" i="1069" s="1"/>
  <c r="M20" i="1069"/>
  <c r="AB20" i="1069"/>
  <c r="AD20" i="1069" s="1"/>
  <c r="P22" i="1069"/>
  <c r="AC22" i="1069" s="1"/>
  <c r="O13" i="1069"/>
  <c r="O6" i="1069"/>
  <c r="AC6" i="1069"/>
  <c r="M9" i="1069"/>
  <c r="AB9" i="1069"/>
  <c r="M22" i="1069"/>
  <c r="AB22" i="1069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L21" i="1068"/>
  <c r="K21" i="1068" s="1"/>
  <c r="AF20" i="1068"/>
  <c r="Q20" i="1068"/>
  <c r="P20" i="1068" s="1"/>
  <c r="AC20" i="1068" s="1"/>
  <c r="L20" i="1068"/>
  <c r="AB20" i="1068" s="1"/>
  <c r="K20" i="1068"/>
  <c r="L19" i="1068"/>
  <c r="L18" i="1068"/>
  <c r="K18" i="1068" s="1"/>
  <c r="L16" i="1068"/>
  <c r="K16" i="1068" s="1"/>
  <c r="L15" i="1068"/>
  <c r="K15" i="1068" s="1"/>
  <c r="L13" i="1068"/>
  <c r="K13" i="1068" s="1"/>
  <c r="L12" i="1068"/>
  <c r="K12" i="1068" s="1"/>
  <c r="L9" i="1068"/>
  <c r="K9" i="1068" s="1"/>
  <c r="L8" i="1068"/>
  <c r="K8" i="1068" s="1"/>
  <c r="L7" i="1068"/>
  <c r="K7" i="1068" s="1"/>
  <c r="L6" i="1068"/>
  <c r="K6" i="1068" s="1"/>
  <c r="K19" i="1068"/>
  <c r="K10" i="1068"/>
  <c r="A76" i="1068"/>
  <c r="A77" i="1068" s="1"/>
  <c r="A78" i="1068" s="1"/>
  <c r="A79" i="1068" s="1"/>
  <c r="A80" i="1068" s="1"/>
  <c r="A81" i="1068" s="1"/>
  <c r="A82" i="1068" s="1"/>
  <c r="A75" i="1068"/>
  <c r="AF61" i="1068"/>
  <c r="AF60" i="1068"/>
  <c r="AF63" i="1068" s="1"/>
  <c r="AA22" i="1068"/>
  <c r="Z22" i="1068"/>
  <c r="Y22" i="1068"/>
  <c r="X22" i="1068"/>
  <c r="W22" i="1068"/>
  <c r="V22" i="1068"/>
  <c r="U22" i="1068"/>
  <c r="T22" i="1068"/>
  <c r="S22" i="1068"/>
  <c r="R22" i="1068"/>
  <c r="N22" i="1068"/>
  <c r="J22" i="1068"/>
  <c r="I22" i="1068"/>
  <c r="AF21" i="1068"/>
  <c r="Q21" i="1068"/>
  <c r="O21" i="1068"/>
  <c r="AF19" i="1068"/>
  <c r="AB19" i="1068"/>
  <c r="Q19" i="1068"/>
  <c r="P19" i="1068" s="1"/>
  <c r="AC19" i="1068" s="1"/>
  <c r="O19" i="1068"/>
  <c r="M19" i="1068"/>
  <c r="AF18" i="1068"/>
  <c r="AB18" i="1068"/>
  <c r="Q18" i="1068"/>
  <c r="P18" i="1068" s="1"/>
  <c r="AC18" i="1068" s="1"/>
  <c r="M18" i="1068"/>
  <c r="O18" i="1068"/>
  <c r="AF17" i="1068"/>
  <c r="AB17" i="1068"/>
  <c r="Q17" i="1068"/>
  <c r="P17" i="1068"/>
  <c r="AC17" i="1068" s="1"/>
  <c r="O17" i="1068"/>
  <c r="M17" i="1068"/>
  <c r="K17" i="1068"/>
  <c r="AF16" i="1068"/>
  <c r="AB16" i="1068"/>
  <c r="Q16" i="1068"/>
  <c r="P16" i="1068" s="1"/>
  <c r="AC16" i="1068" s="1"/>
  <c r="O16" i="1068"/>
  <c r="M16" i="1068"/>
  <c r="AF15" i="1068"/>
  <c r="AB15" i="1068"/>
  <c r="Q15" i="1068"/>
  <c r="P15" i="1068" s="1"/>
  <c r="AC15" i="1068" s="1"/>
  <c r="O15" i="1068"/>
  <c r="M15" i="1068"/>
  <c r="AF14" i="1068"/>
  <c r="AC14" i="1068"/>
  <c r="AB14" i="1068"/>
  <c r="Q14" i="1068"/>
  <c r="P14" i="1068"/>
  <c r="O14" i="1068"/>
  <c r="M14" i="1068"/>
  <c r="K14" i="1068"/>
  <c r="AF13" i="1068"/>
  <c r="Q13" i="1068"/>
  <c r="AB13" i="1068"/>
  <c r="AF12" i="1068"/>
  <c r="AB12" i="1068"/>
  <c r="Q12" i="1068"/>
  <c r="P12" i="1068" s="1"/>
  <c r="AC12" i="1068" s="1"/>
  <c r="M12" i="1068"/>
  <c r="O12" i="1068"/>
  <c r="AF11" i="1068"/>
  <c r="AC11" i="1068"/>
  <c r="AD11" i="1068" s="1"/>
  <c r="AB11" i="1068"/>
  <c r="Q11" i="1068"/>
  <c r="P11" i="1068"/>
  <c r="O11" i="1068"/>
  <c r="M11" i="1068"/>
  <c r="K11" i="1068"/>
  <c r="AF10" i="1068"/>
  <c r="AB10" i="1068"/>
  <c r="Q10" i="1068"/>
  <c r="P10" i="1068" s="1"/>
  <c r="AC10" i="1068" s="1"/>
  <c r="O10" i="1068"/>
  <c r="M10" i="1068"/>
  <c r="AF9" i="1068"/>
  <c r="Q9" i="1068"/>
  <c r="P9" i="1068" s="1"/>
  <c r="AC9" i="1068" s="1"/>
  <c r="O9" i="1068"/>
  <c r="AF8" i="1068"/>
  <c r="AB8" i="1068"/>
  <c r="Q8" i="1068"/>
  <c r="P8" i="1068" s="1"/>
  <c r="AC8" i="1068" s="1"/>
  <c r="O8" i="1068"/>
  <c r="M8" i="1068"/>
  <c r="AF7" i="1068"/>
  <c r="Q7" i="1068"/>
  <c r="AB7" i="1068"/>
  <c r="AF6" i="1068"/>
  <c r="AB6" i="1068"/>
  <c r="Q6" i="1068"/>
  <c r="P6" i="1068" s="1"/>
  <c r="M6" i="1068"/>
  <c r="L22" i="1068"/>
  <c r="O22" i="1068" s="1"/>
  <c r="AE19" i="1071" l="1"/>
  <c r="S18" i="16"/>
  <c r="AE18" i="1071"/>
  <c r="AE11" i="1071"/>
  <c r="AE7" i="1071"/>
  <c r="AE20" i="1071"/>
  <c r="AE16" i="1071"/>
  <c r="AE8" i="1071"/>
  <c r="AE21" i="1071"/>
  <c r="AE14" i="1071"/>
  <c r="AE12" i="1071"/>
  <c r="AE9" i="1071"/>
  <c r="AE13" i="1071"/>
  <c r="AE17" i="1071"/>
  <c r="AE15" i="1071"/>
  <c r="AE10" i="1071"/>
  <c r="AE6" i="1071"/>
  <c r="AC21" i="1070"/>
  <c r="AD6" i="1070"/>
  <c r="AD21" i="1070" s="1"/>
  <c r="AD13" i="1069"/>
  <c r="AD22" i="1069"/>
  <c r="M23" i="1069"/>
  <c r="AC23" i="1069"/>
  <c r="AD6" i="1069"/>
  <c r="AB23" i="1069"/>
  <c r="P23" i="1069"/>
  <c r="AD9" i="1069"/>
  <c r="O20" i="1068"/>
  <c r="AD20" i="1068" s="1"/>
  <c r="M20" i="1068"/>
  <c r="AD19" i="1068"/>
  <c r="Q22" i="1068"/>
  <c r="AD15" i="1068"/>
  <c r="AD10" i="1068"/>
  <c r="AD14" i="1068"/>
  <c r="AD8" i="1068"/>
  <c r="AD16" i="1068"/>
  <c r="AD17" i="1068"/>
  <c r="AD12" i="1068"/>
  <c r="AD18" i="1068"/>
  <c r="O7" i="1068"/>
  <c r="O13" i="1068"/>
  <c r="O6" i="1068"/>
  <c r="AC6" i="1068"/>
  <c r="P7" i="1068"/>
  <c r="AC7" i="1068" s="1"/>
  <c r="AD7" i="1068" s="1"/>
  <c r="M9" i="1068"/>
  <c r="AB9" i="1068"/>
  <c r="AD9" i="1068" s="1"/>
  <c r="P13" i="1068"/>
  <c r="AC13" i="1068" s="1"/>
  <c r="P21" i="1068"/>
  <c r="AC21" i="1068" s="1"/>
  <c r="M7" i="1068"/>
  <c r="K22" i="1068"/>
  <c r="M13" i="1068"/>
  <c r="M21" i="1068"/>
  <c r="AB21" i="1068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L20" i="1067"/>
  <c r="K20" i="1067" s="1"/>
  <c r="K19" i="1067"/>
  <c r="L18" i="1067"/>
  <c r="K18" i="1067" s="1"/>
  <c r="L13" i="1067"/>
  <c r="L12" i="1067"/>
  <c r="K12" i="1067" s="1"/>
  <c r="K10" i="1067"/>
  <c r="L9" i="1067"/>
  <c r="K9" i="1067" s="1"/>
  <c r="L8" i="1067"/>
  <c r="L7" i="1067"/>
  <c r="K7" i="1067" s="1"/>
  <c r="L6" i="1067"/>
  <c r="K6" i="1067" s="1"/>
  <c r="K15" i="1067"/>
  <c r="K13" i="1067"/>
  <c r="K8" i="1067"/>
  <c r="A74" i="1067"/>
  <c r="A75" i="1067" s="1"/>
  <c r="A76" i="1067" s="1"/>
  <c r="A77" i="1067" s="1"/>
  <c r="A78" i="1067" s="1"/>
  <c r="A79" i="1067" s="1"/>
  <c r="A80" i="1067" s="1"/>
  <c r="A81" i="1067" s="1"/>
  <c r="AF60" i="1067"/>
  <c r="AF59" i="1067"/>
  <c r="AF62" i="1067" s="1"/>
  <c r="AA21" i="1067"/>
  <c r="Z21" i="1067"/>
  <c r="Y21" i="1067"/>
  <c r="X21" i="1067"/>
  <c r="W21" i="1067"/>
  <c r="V21" i="1067"/>
  <c r="U21" i="1067"/>
  <c r="T21" i="1067"/>
  <c r="S21" i="1067"/>
  <c r="R21" i="1067"/>
  <c r="N21" i="1067"/>
  <c r="J21" i="1067"/>
  <c r="I21" i="1067"/>
  <c r="AF20" i="1067"/>
  <c r="Q20" i="1067"/>
  <c r="O20" i="1067"/>
  <c r="AF19" i="1067"/>
  <c r="Q19" i="1067"/>
  <c r="P19" i="1067" s="1"/>
  <c r="AC19" i="1067" s="1"/>
  <c r="AB19" i="1067"/>
  <c r="AF18" i="1067"/>
  <c r="Q18" i="1067"/>
  <c r="O18" i="1067"/>
  <c r="AF17" i="1067"/>
  <c r="AB17" i="1067"/>
  <c r="Q17" i="1067"/>
  <c r="P17" i="1067"/>
  <c r="AC17" i="1067" s="1"/>
  <c r="AD17" i="1067" s="1"/>
  <c r="O17" i="1067"/>
  <c r="M17" i="1067"/>
  <c r="K17" i="1067"/>
  <c r="AF16" i="1067"/>
  <c r="AB16" i="1067"/>
  <c r="Q16" i="1067"/>
  <c r="P16" i="1067"/>
  <c r="AC16" i="1067" s="1"/>
  <c r="O16" i="1067"/>
  <c r="M16" i="1067"/>
  <c r="K16" i="1067"/>
  <c r="AF15" i="1067"/>
  <c r="AB15" i="1067"/>
  <c r="Q15" i="1067"/>
  <c r="P15" i="1067" s="1"/>
  <c r="AC15" i="1067" s="1"/>
  <c r="O15" i="1067"/>
  <c r="M15" i="1067"/>
  <c r="AF14" i="1067"/>
  <c r="AB14" i="1067"/>
  <c r="Q14" i="1067"/>
  <c r="P14" i="1067"/>
  <c r="AC14" i="1067" s="1"/>
  <c r="O14" i="1067"/>
  <c r="M14" i="1067"/>
  <c r="K14" i="1067"/>
  <c r="AF13" i="1067"/>
  <c r="Q13" i="1067"/>
  <c r="P13" i="1067"/>
  <c r="AC13" i="1067" s="1"/>
  <c r="AF12" i="1067"/>
  <c r="AB12" i="1067"/>
  <c r="Q12" i="1067"/>
  <c r="P12" i="1067"/>
  <c r="AC12" i="1067" s="1"/>
  <c r="O12" i="1067"/>
  <c r="M12" i="1067"/>
  <c r="AF11" i="1067"/>
  <c r="AB11" i="1067"/>
  <c r="Q11" i="1067"/>
  <c r="P11" i="1067"/>
  <c r="AC11" i="1067" s="1"/>
  <c r="O11" i="1067"/>
  <c r="M11" i="1067"/>
  <c r="K11" i="1067"/>
  <c r="AF10" i="1067"/>
  <c r="AB10" i="1067"/>
  <c r="Q10" i="1067"/>
  <c r="P10" i="1067" s="1"/>
  <c r="AC10" i="1067" s="1"/>
  <c r="O10" i="1067"/>
  <c r="M10" i="1067"/>
  <c r="AF9" i="1067"/>
  <c r="Q9" i="1067"/>
  <c r="O9" i="1067"/>
  <c r="AF8" i="1067"/>
  <c r="AB8" i="1067"/>
  <c r="Q8" i="1067"/>
  <c r="P8" i="1067" s="1"/>
  <c r="AC8" i="1067" s="1"/>
  <c r="O8" i="1067"/>
  <c r="M8" i="1067"/>
  <c r="AF7" i="1067"/>
  <c r="AB7" i="1067"/>
  <c r="Q7" i="1067"/>
  <c r="P7" i="1067" s="1"/>
  <c r="AC7" i="1067" s="1"/>
  <c r="M7" i="1067"/>
  <c r="O7" i="1067"/>
  <c r="AF6" i="1067"/>
  <c r="Q6" i="1067"/>
  <c r="O6" i="1067"/>
  <c r="AE16" i="1070" l="1"/>
  <c r="AE9" i="1070"/>
  <c r="AE8" i="1070"/>
  <c r="AE19" i="1070"/>
  <c r="AE18" i="1070"/>
  <c r="AE14" i="1070"/>
  <c r="AE12" i="1070"/>
  <c r="AE6" i="1070"/>
  <c r="AE13" i="1070"/>
  <c r="AE11" i="1070"/>
  <c r="AE20" i="1070"/>
  <c r="AE17" i="1070"/>
  <c r="AE15" i="1070"/>
  <c r="AE10" i="1070"/>
  <c r="AE7" i="1070"/>
  <c r="AD23" i="1069"/>
  <c r="M22" i="1068"/>
  <c r="AD13" i="1068"/>
  <c r="AD21" i="1068"/>
  <c r="AB22" i="1068"/>
  <c r="P22" i="1068"/>
  <c r="AC22" i="1068"/>
  <c r="AD6" i="1068"/>
  <c r="AB9" i="1067"/>
  <c r="P18" i="1067"/>
  <c r="AC18" i="1067" s="1"/>
  <c r="L21" i="1067"/>
  <c r="O21" i="1067" s="1"/>
  <c r="AD7" i="1067"/>
  <c r="Q21" i="1067"/>
  <c r="AD8" i="1067"/>
  <c r="AD10" i="1067"/>
  <c r="AD11" i="1067"/>
  <c r="AD12" i="1067"/>
  <c r="AD16" i="1067"/>
  <c r="AD14" i="1067"/>
  <c r="AD15" i="1067"/>
  <c r="K21" i="1067"/>
  <c r="P6" i="1067"/>
  <c r="AC6" i="1067" s="1"/>
  <c r="P9" i="1067"/>
  <c r="AC9" i="1067" s="1"/>
  <c r="AD9" i="1067" s="1"/>
  <c r="M13" i="1067"/>
  <c r="AB13" i="1067"/>
  <c r="M18" i="1067"/>
  <c r="AB18" i="1067"/>
  <c r="AD18" i="1067" s="1"/>
  <c r="O19" i="1067"/>
  <c r="AD19" i="1067" s="1"/>
  <c r="P20" i="1067"/>
  <c r="AC20" i="1067" s="1"/>
  <c r="O13" i="1067"/>
  <c r="M6" i="1067"/>
  <c r="AB6" i="1067"/>
  <c r="M9" i="1067"/>
  <c r="M20" i="1067"/>
  <c r="AB20" i="1067"/>
  <c r="M19" i="1067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L21" i="1066"/>
  <c r="K21" i="1066" s="1"/>
  <c r="L20" i="1066"/>
  <c r="L19" i="1066"/>
  <c r="L16" i="1066"/>
  <c r="L14" i="1066"/>
  <c r="L13" i="1066"/>
  <c r="K12" i="1066"/>
  <c r="L10" i="1066"/>
  <c r="O10" i="1066" s="1"/>
  <c r="L8" i="1066"/>
  <c r="L7" i="1066"/>
  <c r="K7" i="1066" s="1"/>
  <c r="AF7" i="1066"/>
  <c r="AB7" i="1066"/>
  <c r="Q7" i="1066"/>
  <c r="O7" i="1066"/>
  <c r="M7" i="1066"/>
  <c r="K20" i="1066"/>
  <c r="K19" i="1066"/>
  <c r="K17" i="1066"/>
  <c r="K16" i="1066"/>
  <c r="K14" i="1066"/>
  <c r="K13" i="1066"/>
  <c r="K11" i="1066"/>
  <c r="K10" i="1066"/>
  <c r="K8" i="1066"/>
  <c r="K6" i="1066"/>
  <c r="A76" i="1066"/>
  <c r="A77" i="1066" s="1"/>
  <c r="A78" i="1066" s="1"/>
  <c r="A79" i="1066" s="1"/>
  <c r="A80" i="1066" s="1"/>
  <c r="A81" i="1066" s="1"/>
  <c r="A82" i="1066" s="1"/>
  <c r="A75" i="1066"/>
  <c r="AF61" i="1066"/>
  <c r="AF60" i="1066"/>
  <c r="AF63" i="1066" s="1"/>
  <c r="AA22" i="1066"/>
  <c r="Z22" i="1066"/>
  <c r="Y22" i="1066"/>
  <c r="X22" i="1066"/>
  <c r="W22" i="1066"/>
  <c r="V22" i="1066"/>
  <c r="U22" i="1066"/>
  <c r="T22" i="1066"/>
  <c r="S22" i="1066"/>
  <c r="R22" i="1066"/>
  <c r="N22" i="1066"/>
  <c r="J22" i="1066"/>
  <c r="I22" i="1066"/>
  <c r="AF21" i="1066"/>
  <c r="Q21" i="1066"/>
  <c r="M21" i="1066"/>
  <c r="O21" i="1066"/>
  <c r="AF20" i="1066"/>
  <c r="Q20" i="1066"/>
  <c r="AB20" i="1066"/>
  <c r="AF19" i="1066"/>
  <c r="Q19" i="1066"/>
  <c r="P19" i="1066" s="1"/>
  <c r="AC19" i="1066" s="1"/>
  <c r="O19" i="1066"/>
  <c r="AB19" i="1066"/>
  <c r="AF18" i="1066"/>
  <c r="AC18" i="1066"/>
  <c r="AB18" i="1066"/>
  <c r="Q18" i="1066"/>
  <c r="P18" i="1066"/>
  <c r="O18" i="1066"/>
  <c r="M18" i="1066"/>
  <c r="K18" i="1066"/>
  <c r="AF17" i="1066"/>
  <c r="Q17" i="1066"/>
  <c r="AB17" i="1066"/>
  <c r="AF16" i="1066"/>
  <c r="Q16" i="1066"/>
  <c r="P16" i="1066" s="1"/>
  <c r="AC16" i="1066" s="1"/>
  <c r="O16" i="1066"/>
  <c r="AB16" i="1066"/>
  <c r="AF15" i="1066"/>
  <c r="AC15" i="1066"/>
  <c r="AB15" i="1066"/>
  <c r="Q15" i="1066"/>
  <c r="P15" i="1066"/>
  <c r="O15" i="1066"/>
  <c r="M15" i="1066"/>
  <c r="K15" i="1066"/>
  <c r="AF14" i="1066"/>
  <c r="Q14" i="1066"/>
  <c r="AB14" i="1066"/>
  <c r="AF13" i="1066"/>
  <c r="Q13" i="1066"/>
  <c r="P13" i="1066" s="1"/>
  <c r="AC13" i="1066" s="1"/>
  <c r="O13" i="1066"/>
  <c r="AB13" i="1066"/>
  <c r="AF12" i="1066"/>
  <c r="AB12" i="1066"/>
  <c r="Q12" i="1066"/>
  <c r="P12" i="1066"/>
  <c r="AC12" i="1066" s="1"/>
  <c r="O12" i="1066"/>
  <c r="M12" i="1066"/>
  <c r="AF11" i="1066"/>
  <c r="AB11" i="1066"/>
  <c r="Q11" i="1066"/>
  <c r="P11" i="1066" s="1"/>
  <c r="AC11" i="1066" s="1"/>
  <c r="O11" i="1066"/>
  <c r="M11" i="1066"/>
  <c r="AF10" i="1066"/>
  <c r="Q10" i="1066"/>
  <c r="P10" i="1066"/>
  <c r="AC10" i="1066" s="1"/>
  <c r="AF9" i="1066"/>
  <c r="AB9" i="1066"/>
  <c r="Q9" i="1066"/>
  <c r="P9" i="1066"/>
  <c r="AC9" i="1066" s="1"/>
  <c r="O9" i="1066"/>
  <c r="M9" i="1066"/>
  <c r="K9" i="1066"/>
  <c r="AF8" i="1066"/>
  <c r="Q8" i="1066"/>
  <c r="P8" i="1066" s="1"/>
  <c r="AC8" i="1066" s="1"/>
  <c r="O8" i="1066"/>
  <c r="AB8" i="1066"/>
  <c r="AF6" i="1066"/>
  <c r="AB6" i="1066"/>
  <c r="Q6" i="1066"/>
  <c r="O6" i="1066"/>
  <c r="M6" i="1066"/>
  <c r="L22" i="1066"/>
  <c r="O22" i="1066" s="1"/>
  <c r="AE19" i="1069" l="1"/>
  <c r="AE21" i="1069"/>
  <c r="AE20" i="1069"/>
  <c r="AE10" i="1069"/>
  <c r="AE7" i="1069"/>
  <c r="AE8" i="1069"/>
  <c r="AE22" i="1069"/>
  <c r="AE17" i="1069"/>
  <c r="AE14" i="1069"/>
  <c r="AE11" i="1069"/>
  <c r="AE9" i="1069"/>
  <c r="AE18" i="1069"/>
  <c r="AE15" i="1069"/>
  <c r="AE12" i="1069"/>
  <c r="AE6" i="1069"/>
  <c r="AE16" i="1069"/>
  <c r="AE13" i="1069"/>
  <c r="AD22" i="1068"/>
  <c r="AD20" i="1067"/>
  <c r="AB21" i="1067"/>
  <c r="AD13" i="1067"/>
  <c r="M21" i="1067"/>
  <c r="AC21" i="1067"/>
  <c r="P21" i="1067"/>
  <c r="AD6" i="1067"/>
  <c r="AD16" i="1066"/>
  <c r="AD13" i="1066"/>
  <c r="M10" i="1066"/>
  <c r="AB10" i="1066"/>
  <c r="AD10" i="1066" s="1"/>
  <c r="AD8" i="1066"/>
  <c r="P7" i="1066"/>
  <c r="AC7" i="1066" s="1"/>
  <c r="AD7" i="1066" s="1"/>
  <c r="AD15" i="1066"/>
  <c r="AD9" i="1066"/>
  <c r="Q22" i="1066"/>
  <c r="P6" i="1066"/>
  <c r="AC6" i="1066" s="1"/>
  <c r="AD6" i="1066" s="1"/>
  <c r="AD12" i="1066"/>
  <c r="AD18" i="1066"/>
  <c r="AD11" i="1066"/>
  <c r="AD19" i="1066"/>
  <c r="M8" i="1066"/>
  <c r="M13" i="1066"/>
  <c r="O14" i="1066"/>
  <c r="M16" i="1066"/>
  <c r="O17" i="1066"/>
  <c r="M19" i="1066"/>
  <c r="O20" i="1066"/>
  <c r="P21" i="1066"/>
  <c r="AC21" i="1066" s="1"/>
  <c r="K22" i="1066"/>
  <c r="P14" i="1066"/>
  <c r="AC14" i="1066" s="1"/>
  <c r="P17" i="1066"/>
  <c r="AC17" i="1066" s="1"/>
  <c r="P20" i="1066"/>
  <c r="AC20" i="1066" s="1"/>
  <c r="AB21" i="1066"/>
  <c r="AB22" i="1066" s="1"/>
  <c r="M14" i="1066"/>
  <c r="M17" i="1066"/>
  <c r="M20" i="106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20" i="1065"/>
  <c r="O20" i="1065" s="1"/>
  <c r="L19" i="1065"/>
  <c r="K19" i="1065" s="1"/>
  <c r="L18" i="1065"/>
  <c r="L16" i="1065"/>
  <c r="K16" i="1065" s="1"/>
  <c r="L15" i="1065"/>
  <c r="L13" i="1065"/>
  <c r="L12" i="1065"/>
  <c r="K10" i="1065"/>
  <c r="L9" i="1065"/>
  <c r="L7" i="1065"/>
  <c r="K7" i="1065" s="1"/>
  <c r="L6" i="1065"/>
  <c r="K6" i="1065" s="1"/>
  <c r="K18" i="1065"/>
  <c r="K17" i="1065"/>
  <c r="K15" i="1065"/>
  <c r="K13" i="1065"/>
  <c r="K12" i="1065"/>
  <c r="K9" i="1065"/>
  <c r="K8" i="1065"/>
  <c r="A74" i="1065"/>
  <c r="A75" i="1065" s="1"/>
  <c r="A76" i="1065" s="1"/>
  <c r="A77" i="1065" s="1"/>
  <c r="A78" i="1065" s="1"/>
  <c r="A79" i="1065" s="1"/>
  <c r="A80" i="1065" s="1"/>
  <c r="A81" i="1065" s="1"/>
  <c r="AF60" i="1065"/>
  <c r="AF62" i="1065" s="1"/>
  <c r="AF59" i="1065"/>
  <c r="AA21" i="1065"/>
  <c r="Z21" i="1065"/>
  <c r="Y21" i="1065"/>
  <c r="X21" i="1065"/>
  <c r="W21" i="1065"/>
  <c r="V21" i="1065"/>
  <c r="U21" i="1065"/>
  <c r="T21" i="1065"/>
  <c r="S21" i="1065"/>
  <c r="R21" i="1065"/>
  <c r="N21" i="1065"/>
  <c r="J21" i="1065"/>
  <c r="I21" i="1065"/>
  <c r="AF20" i="1065"/>
  <c r="Q20" i="1065"/>
  <c r="AF19" i="1065"/>
  <c r="Q19" i="1065"/>
  <c r="AB19" i="1065"/>
  <c r="AF18" i="1065"/>
  <c r="Q18" i="1065"/>
  <c r="P18" i="1065"/>
  <c r="AC18" i="1065" s="1"/>
  <c r="O18" i="1065"/>
  <c r="AF17" i="1065"/>
  <c r="Q17" i="1065"/>
  <c r="P17" i="1065"/>
  <c r="AC17" i="1065" s="1"/>
  <c r="O17" i="1065"/>
  <c r="AB17" i="1065"/>
  <c r="AF16" i="1065"/>
  <c r="AB16" i="1065"/>
  <c r="Q16" i="1065"/>
  <c r="P16" i="1065"/>
  <c r="AC16" i="1065" s="1"/>
  <c r="O16" i="1065"/>
  <c r="M16" i="1065"/>
  <c r="AF15" i="1065"/>
  <c r="Q15" i="1065"/>
  <c r="AB15" i="1065"/>
  <c r="AF14" i="1065"/>
  <c r="AB14" i="1065"/>
  <c r="Q14" i="1065"/>
  <c r="P14" i="1065"/>
  <c r="AC14" i="1065" s="1"/>
  <c r="O14" i="1065"/>
  <c r="M14" i="1065"/>
  <c r="K14" i="1065"/>
  <c r="AF13" i="1065"/>
  <c r="AB13" i="1065"/>
  <c r="Q13" i="1065"/>
  <c r="O13" i="1065"/>
  <c r="M13" i="1065"/>
  <c r="P13" i="1065"/>
  <c r="AC13" i="1065" s="1"/>
  <c r="AD13" i="1065" s="1"/>
  <c r="AF12" i="1065"/>
  <c r="Q12" i="1065"/>
  <c r="AB12" i="1065"/>
  <c r="AF11" i="1065"/>
  <c r="AB11" i="1065"/>
  <c r="Q11" i="1065"/>
  <c r="P11" i="1065"/>
  <c r="AC11" i="1065" s="1"/>
  <c r="O11" i="1065"/>
  <c r="M11" i="1065"/>
  <c r="K11" i="1065"/>
  <c r="AF10" i="1065"/>
  <c r="AB10" i="1065"/>
  <c r="Q10" i="1065"/>
  <c r="P10" i="1065" s="1"/>
  <c r="AC10" i="1065" s="1"/>
  <c r="O10" i="1065"/>
  <c r="M10" i="1065"/>
  <c r="AF9" i="1065"/>
  <c r="Q9" i="1065"/>
  <c r="P9" i="1065" s="1"/>
  <c r="AC9" i="1065" s="1"/>
  <c r="L21" i="1065"/>
  <c r="O21" i="1065" s="1"/>
  <c r="AF8" i="1065"/>
  <c r="AB8" i="1065"/>
  <c r="Q8" i="1065"/>
  <c r="P8" i="1065"/>
  <c r="AC8" i="1065" s="1"/>
  <c r="AD8" i="1065" s="1"/>
  <c r="O8" i="1065"/>
  <c r="M8" i="1065"/>
  <c r="AF7" i="1065"/>
  <c r="AB7" i="1065"/>
  <c r="Q7" i="1065"/>
  <c r="P7" i="1065" s="1"/>
  <c r="AC7" i="1065" s="1"/>
  <c r="O7" i="1065"/>
  <c r="M7" i="1065"/>
  <c r="AF6" i="1065"/>
  <c r="AB6" i="1065"/>
  <c r="Q6" i="1065"/>
  <c r="O6" i="1065"/>
  <c r="M6" i="1065"/>
  <c r="AE19" i="1068" l="1"/>
  <c r="AE20" i="1068"/>
  <c r="AE9" i="1068"/>
  <c r="AE13" i="1068"/>
  <c r="AE14" i="1068"/>
  <c r="AE8" i="1068"/>
  <c r="AE11" i="1068"/>
  <c r="AE16" i="1068"/>
  <c r="AE15" i="1068"/>
  <c r="AE18" i="1068"/>
  <c r="AE10" i="1068"/>
  <c r="AE7" i="1068"/>
  <c r="AE17" i="1068"/>
  <c r="AE12" i="1068"/>
  <c r="AE21" i="1068"/>
  <c r="AE6" i="1068"/>
  <c r="AD21" i="1067"/>
  <c r="AE18" i="1067" s="1"/>
  <c r="M22" i="1066"/>
  <c r="AD20" i="1066"/>
  <c r="AD17" i="1066"/>
  <c r="AD14" i="1066"/>
  <c r="AD21" i="1066"/>
  <c r="AC22" i="1066"/>
  <c r="P22" i="1066"/>
  <c r="AB20" i="1065"/>
  <c r="M20" i="1065"/>
  <c r="K20" i="1065"/>
  <c r="P20" i="1065"/>
  <c r="AC20" i="1065" s="1"/>
  <c r="AD16" i="1065"/>
  <c r="AD10" i="1065"/>
  <c r="Q21" i="1065"/>
  <c r="AD7" i="1065"/>
  <c r="P6" i="1065"/>
  <c r="AD11" i="1065"/>
  <c r="AD14" i="1065"/>
  <c r="AD17" i="1065"/>
  <c r="M9" i="1065"/>
  <c r="AB9" i="1065"/>
  <c r="AD9" i="1065" s="1"/>
  <c r="O12" i="1065"/>
  <c r="O15" i="1065"/>
  <c r="M18" i="1065"/>
  <c r="AB18" i="1065"/>
  <c r="AD18" i="1065" s="1"/>
  <c r="O19" i="1065"/>
  <c r="AC6" i="1065"/>
  <c r="O9" i="1065"/>
  <c r="K21" i="1065"/>
  <c r="P12" i="1065"/>
  <c r="AC12" i="1065" s="1"/>
  <c r="AD12" i="1065" s="1"/>
  <c r="P15" i="1065"/>
  <c r="AC15" i="1065" s="1"/>
  <c r="M17" i="1065"/>
  <c r="P19" i="1065"/>
  <c r="AC19" i="1065" s="1"/>
  <c r="AD19" i="1065" s="1"/>
  <c r="M12" i="1065"/>
  <c r="M15" i="1065"/>
  <c r="M19" i="1065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L20" i="1064"/>
  <c r="L19" i="1064"/>
  <c r="K19" i="1064" s="1"/>
  <c r="L18" i="1064"/>
  <c r="AB18" i="1064" s="1"/>
  <c r="L17" i="1064"/>
  <c r="K17" i="1064" s="1"/>
  <c r="L16" i="1064"/>
  <c r="K16" i="1064" s="1"/>
  <c r="L15" i="1064"/>
  <c r="K15" i="1064" s="1"/>
  <c r="L13" i="1064"/>
  <c r="L12" i="1064"/>
  <c r="L9" i="1064"/>
  <c r="K9" i="1064" s="1"/>
  <c r="L8" i="1064"/>
  <c r="K8" i="1064" s="1"/>
  <c r="K20" i="1064"/>
  <c r="K14" i="1064"/>
  <c r="K13" i="1064"/>
  <c r="K12" i="1064"/>
  <c r="K10" i="1064"/>
  <c r="K7" i="1064"/>
  <c r="A74" i="1064"/>
  <c r="A75" i="1064" s="1"/>
  <c r="A76" i="1064" s="1"/>
  <c r="A77" i="1064" s="1"/>
  <c r="A78" i="1064" s="1"/>
  <c r="A79" i="1064" s="1"/>
  <c r="A80" i="1064" s="1"/>
  <c r="A81" i="1064" s="1"/>
  <c r="AF60" i="1064"/>
  <c r="AF59" i="1064"/>
  <c r="AF62" i="1064" s="1"/>
  <c r="AA21" i="1064"/>
  <c r="Z21" i="1064"/>
  <c r="Y21" i="1064"/>
  <c r="X21" i="1064"/>
  <c r="W21" i="1064"/>
  <c r="V21" i="1064"/>
  <c r="U21" i="1064"/>
  <c r="T21" i="1064"/>
  <c r="S21" i="1064"/>
  <c r="R21" i="1064"/>
  <c r="N21" i="1064"/>
  <c r="J21" i="1064"/>
  <c r="I21" i="1064"/>
  <c r="AF20" i="1064"/>
  <c r="Q20" i="1064"/>
  <c r="O20" i="1064"/>
  <c r="AB20" i="1064"/>
  <c r="AF19" i="1064"/>
  <c r="Q19" i="1064"/>
  <c r="P19" i="1064" s="1"/>
  <c r="AC19" i="1064" s="1"/>
  <c r="AF18" i="1064"/>
  <c r="Q18" i="1064"/>
  <c r="AF17" i="1064"/>
  <c r="AB17" i="1064"/>
  <c r="Q17" i="1064"/>
  <c r="P17" i="1064" s="1"/>
  <c r="AC17" i="1064" s="1"/>
  <c r="O17" i="1064"/>
  <c r="M17" i="1064"/>
  <c r="AF16" i="1064"/>
  <c r="AB16" i="1064"/>
  <c r="Q16" i="1064"/>
  <c r="P16" i="1064" s="1"/>
  <c r="AC16" i="1064" s="1"/>
  <c r="M16" i="1064"/>
  <c r="O16" i="1064"/>
  <c r="AF15" i="1064"/>
  <c r="Q15" i="1064"/>
  <c r="O15" i="1064"/>
  <c r="AB15" i="1064"/>
  <c r="AF14" i="1064"/>
  <c r="AB14" i="1064"/>
  <c r="Q14" i="1064"/>
  <c r="P14" i="1064"/>
  <c r="AC14" i="1064" s="1"/>
  <c r="O14" i="1064"/>
  <c r="M14" i="1064"/>
  <c r="AF13" i="1064"/>
  <c r="Q13" i="1064"/>
  <c r="M13" i="1064"/>
  <c r="AF12" i="1064"/>
  <c r="Q12" i="1064"/>
  <c r="O12" i="1064"/>
  <c r="AB12" i="1064"/>
  <c r="AF11" i="1064"/>
  <c r="AB11" i="1064"/>
  <c r="Q11" i="1064"/>
  <c r="P11" i="1064"/>
  <c r="AC11" i="1064" s="1"/>
  <c r="O11" i="1064"/>
  <c r="M11" i="1064"/>
  <c r="K11" i="1064"/>
  <c r="AF10" i="1064"/>
  <c r="Q10" i="1064"/>
  <c r="P10" i="1064"/>
  <c r="AC10" i="1064" s="1"/>
  <c r="AF9" i="1064"/>
  <c r="Q9" i="1064"/>
  <c r="O9" i="1064"/>
  <c r="AF8" i="1064"/>
  <c r="AB8" i="1064"/>
  <c r="Q8" i="1064"/>
  <c r="P8" i="1064"/>
  <c r="AC8" i="1064" s="1"/>
  <c r="O8" i="1064"/>
  <c r="M8" i="1064"/>
  <c r="AF7" i="1064"/>
  <c r="AB7" i="1064"/>
  <c r="Q7" i="1064"/>
  <c r="O7" i="1064"/>
  <c r="M7" i="1064"/>
  <c r="L21" i="1064"/>
  <c r="O21" i="1064" s="1"/>
  <c r="AF6" i="1064"/>
  <c r="AB6" i="1064"/>
  <c r="Q6" i="1064"/>
  <c r="P6" i="1064"/>
  <c r="O6" i="1064"/>
  <c r="M6" i="1064"/>
  <c r="K6" i="1064"/>
  <c r="AE13" i="1067" l="1"/>
  <c r="AE17" i="1067"/>
  <c r="AE15" i="1067"/>
  <c r="AE7" i="1067"/>
  <c r="AE10" i="1067"/>
  <c r="AE12" i="1067"/>
  <c r="AE6" i="1067"/>
  <c r="AE9" i="1067"/>
  <c r="AE14" i="1067"/>
  <c r="AE20" i="1067"/>
  <c r="AE11" i="1067"/>
  <c r="AE8" i="1067"/>
  <c r="AE19" i="1067"/>
  <c r="AE16" i="1067"/>
  <c r="AD22" i="1066"/>
  <c r="AE7" i="1066" s="1"/>
  <c r="AD20" i="1065"/>
  <c r="AB21" i="1065"/>
  <c r="M21" i="1065"/>
  <c r="AD15" i="1065"/>
  <c r="AC21" i="1065"/>
  <c r="AD6" i="1065"/>
  <c r="P21" i="1065"/>
  <c r="P13" i="1064"/>
  <c r="AC13" i="1064" s="1"/>
  <c r="Q21" i="1064"/>
  <c r="AD11" i="1064"/>
  <c r="O13" i="1064"/>
  <c r="O18" i="1064"/>
  <c r="M19" i="1064"/>
  <c r="K18" i="1064"/>
  <c r="AD14" i="1064"/>
  <c r="AD17" i="1064"/>
  <c r="O19" i="1064"/>
  <c r="AB19" i="1064"/>
  <c r="AD8" i="1064"/>
  <c r="AD16" i="1064"/>
  <c r="P9" i="1064"/>
  <c r="AC9" i="1064" s="1"/>
  <c r="P12" i="1064"/>
  <c r="AC12" i="1064" s="1"/>
  <c r="AD12" i="1064" s="1"/>
  <c r="P15" i="1064"/>
  <c r="AC15" i="1064" s="1"/>
  <c r="AD15" i="1064" s="1"/>
  <c r="P18" i="1064"/>
  <c r="AC18" i="1064" s="1"/>
  <c r="AD18" i="1064" s="1"/>
  <c r="P20" i="1064"/>
  <c r="AC20" i="1064" s="1"/>
  <c r="AD20" i="1064" s="1"/>
  <c r="M10" i="1064"/>
  <c r="AB10" i="1064"/>
  <c r="AB13" i="1064"/>
  <c r="AD13" i="1064" s="1"/>
  <c r="AC6" i="1064"/>
  <c r="K21" i="1064"/>
  <c r="P7" i="1064"/>
  <c r="AC7" i="1064" s="1"/>
  <c r="AD7" i="1064" s="1"/>
  <c r="M9" i="1064"/>
  <c r="AB9" i="1064"/>
  <c r="O10" i="1064"/>
  <c r="M12" i="1064"/>
  <c r="M15" i="1064"/>
  <c r="M18" i="1064"/>
  <c r="M20" i="1064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L21" i="1063"/>
  <c r="K21" i="1063" s="1"/>
  <c r="K20" i="1063"/>
  <c r="AF20" i="1063"/>
  <c r="AB20" i="1063"/>
  <c r="Q20" i="1063"/>
  <c r="P20" i="1063" s="1"/>
  <c r="AC20" i="1063" s="1"/>
  <c r="M20" i="1063"/>
  <c r="L19" i="1063"/>
  <c r="K19" i="1063" s="1"/>
  <c r="L18" i="1063"/>
  <c r="K18" i="1063" s="1"/>
  <c r="L16" i="1063"/>
  <c r="K16" i="1063" s="1"/>
  <c r="L15" i="1063"/>
  <c r="L13" i="1063"/>
  <c r="K13" i="1063" s="1"/>
  <c r="L12" i="1063"/>
  <c r="L10" i="1063"/>
  <c r="K10" i="1063" s="1"/>
  <c r="L9" i="1063"/>
  <c r="K9" i="1063" s="1"/>
  <c r="L8" i="1063"/>
  <c r="K8" i="1063" s="1"/>
  <c r="L7" i="1063"/>
  <c r="K7" i="1063" s="1"/>
  <c r="K17" i="1063"/>
  <c r="K15" i="1063"/>
  <c r="K14" i="1063"/>
  <c r="K12" i="1063"/>
  <c r="A75" i="1063"/>
  <c r="A76" i="1063" s="1"/>
  <c r="A77" i="1063" s="1"/>
  <c r="A78" i="1063" s="1"/>
  <c r="A79" i="1063" s="1"/>
  <c r="A80" i="1063" s="1"/>
  <c r="A81" i="1063" s="1"/>
  <c r="A82" i="1063" s="1"/>
  <c r="AF61" i="1063"/>
  <c r="AF60" i="1063"/>
  <c r="AA22" i="1063"/>
  <c r="Z22" i="1063"/>
  <c r="Y22" i="1063"/>
  <c r="X22" i="1063"/>
  <c r="W22" i="1063"/>
  <c r="V22" i="1063"/>
  <c r="U22" i="1063"/>
  <c r="T22" i="1063"/>
  <c r="S22" i="1063"/>
  <c r="R22" i="1063"/>
  <c r="N22" i="1063"/>
  <c r="J22" i="1063"/>
  <c r="I22" i="1063"/>
  <c r="AF21" i="1063"/>
  <c r="Q21" i="1063"/>
  <c r="AF19" i="1063"/>
  <c r="AB19" i="1063"/>
  <c r="Q19" i="1063"/>
  <c r="P19" i="1063" s="1"/>
  <c r="AC19" i="1063" s="1"/>
  <c r="M19" i="1063"/>
  <c r="O19" i="1063"/>
  <c r="AF18" i="1063"/>
  <c r="Q18" i="1063"/>
  <c r="P18" i="1063" s="1"/>
  <c r="AC18" i="1063" s="1"/>
  <c r="O18" i="1063"/>
  <c r="AF17" i="1063"/>
  <c r="AB17" i="1063"/>
  <c r="Q17" i="1063"/>
  <c r="P17" i="1063" s="1"/>
  <c r="AC17" i="1063" s="1"/>
  <c r="M17" i="1063"/>
  <c r="O17" i="1063"/>
  <c r="AF16" i="1063"/>
  <c r="Q16" i="1063"/>
  <c r="O16" i="1063"/>
  <c r="AF15" i="1063"/>
  <c r="AB15" i="1063"/>
  <c r="Q15" i="1063"/>
  <c r="P15" i="1063" s="1"/>
  <c r="AC15" i="1063" s="1"/>
  <c r="M15" i="1063"/>
  <c r="O15" i="1063"/>
  <c r="AF14" i="1063"/>
  <c r="Q14" i="1063"/>
  <c r="P14" i="1063" s="1"/>
  <c r="AC14" i="1063" s="1"/>
  <c r="O14" i="1063"/>
  <c r="AF13" i="1063"/>
  <c r="AB13" i="1063"/>
  <c r="Q13" i="1063"/>
  <c r="P13" i="1063" s="1"/>
  <c r="AC13" i="1063" s="1"/>
  <c r="O13" i="1063"/>
  <c r="M13" i="1063"/>
  <c r="AF12" i="1063"/>
  <c r="AB12" i="1063"/>
  <c r="Q12" i="1063"/>
  <c r="P12" i="1063" s="1"/>
  <c r="AC12" i="1063" s="1"/>
  <c r="M12" i="1063"/>
  <c r="O12" i="1063"/>
  <c r="AF11" i="1063"/>
  <c r="AB11" i="1063"/>
  <c r="Q11" i="1063"/>
  <c r="P11" i="1063"/>
  <c r="AC11" i="1063" s="1"/>
  <c r="O11" i="1063"/>
  <c r="M11" i="1063"/>
  <c r="K11" i="1063"/>
  <c r="AF10" i="1063"/>
  <c r="Q10" i="1063"/>
  <c r="P10" i="1063" s="1"/>
  <c r="AC10" i="1063" s="1"/>
  <c r="O10" i="1063"/>
  <c r="AF9" i="1063"/>
  <c r="AB9" i="1063"/>
  <c r="Q9" i="1063"/>
  <c r="P9" i="1063"/>
  <c r="AC9" i="1063" s="1"/>
  <c r="M9" i="1063"/>
  <c r="O9" i="1063"/>
  <c r="AF8" i="1063"/>
  <c r="Q8" i="1063"/>
  <c r="O8" i="1063"/>
  <c r="AF7" i="1063"/>
  <c r="AB7" i="1063"/>
  <c r="Q7" i="1063"/>
  <c r="P7" i="1063" s="1"/>
  <c r="AC7" i="1063" s="1"/>
  <c r="O7" i="1063"/>
  <c r="M7" i="1063"/>
  <c r="AF6" i="1063"/>
  <c r="AB6" i="1063"/>
  <c r="Q6" i="1063"/>
  <c r="P6" i="1063"/>
  <c r="AC6" i="1063" s="1"/>
  <c r="O6" i="1063"/>
  <c r="M6" i="1063"/>
  <c r="K6" i="1063"/>
  <c r="AE17" i="1066" l="1"/>
  <c r="AE12" i="1066"/>
  <c r="AE21" i="1066"/>
  <c r="AE13" i="1066"/>
  <c r="AE10" i="1066"/>
  <c r="AE11" i="1066"/>
  <c r="AE8" i="1066"/>
  <c r="AE15" i="1066"/>
  <c r="AE14" i="1066"/>
  <c r="AE16" i="1066"/>
  <c r="AE9" i="1066"/>
  <c r="AE6" i="1066"/>
  <c r="AE18" i="1066"/>
  <c r="AE20" i="1066"/>
  <c r="AE19" i="1066"/>
  <c r="AD21" i="1065"/>
  <c r="AE14" i="1065" s="1"/>
  <c r="AD19" i="1064"/>
  <c r="AB21" i="1064"/>
  <c r="AD10" i="1064"/>
  <c r="M21" i="1064"/>
  <c r="AC21" i="1064"/>
  <c r="AD6" i="1064"/>
  <c r="AD9" i="1064"/>
  <c r="P21" i="1064"/>
  <c r="O21" i="1063"/>
  <c r="O20" i="1063"/>
  <c r="AD20" i="1063" s="1"/>
  <c r="AD19" i="1063"/>
  <c r="AD15" i="1063"/>
  <c r="AD11" i="1063"/>
  <c r="AF63" i="1063"/>
  <c r="L22" i="1063"/>
  <c r="O22" i="1063" s="1"/>
  <c r="AD9" i="1063"/>
  <c r="Q22" i="1063"/>
  <c r="AD7" i="1063"/>
  <c r="AD13" i="1063"/>
  <c r="AD17" i="1063"/>
  <c r="AD12" i="1063"/>
  <c r="P8" i="1063"/>
  <c r="AC8" i="1063" s="1"/>
  <c r="M10" i="1063"/>
  <c r="AB10" i="1063"/>
  <c r="AD10" i="1063" s="1"/>
  <c r="M14" i="1063"/>
  <c r="AB14" i="1063"/>
  <c r="AD14" i="1063" s="1"/>
  <c r="P16" i="1063"/>
  <c r="AC16" i="1063" s="1"/>
  <c r="M18" i="1063"/>
  <c r="AB18" i="1063"/>
  <c r="AD18" i="1063" s="1"/>
  <c r="P21" i="1063"/>
  <c r="AC21" i="1063" s="1"/>
  <c r="AD6" i="1063"/>
  <c r="M8" i="1063"/>
  <c r="AB8" i="1063"/>
  <c r="K22" i="1063"/>
  <c r="M16" i="1063"/>
  <c r="AB16" i="1063"/>
  <c r="M21" i="1063"/>
  <c r="AB21" i="1063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L21" i="1062"/>
  <c r="K21" i="1062" s="1"/>
  <c r="L20" i="1062"/>
  <c r="K20" i="1062" s="1"/>
  <c r="L19" i="1062"/>
  <c r="L18" i="1062"/>
  <c r="L17" i="1062"/>
  <c r="K17" i="1062" s="1"/>
  <c r="L16" i="1062"/>
  <c r="K16" i="1062" s="1"/>
  <c r="L15" i="1062"/>
  <c r="AF14" i="1062"/>
  <c r="AB14" i="1062"/>
  <c r="Q14" i="1062"/>
  <c r="P14" i="1062" s="1"/>
  <c r="AC14" i="1062" s="1"/>
  <c r="O14" i="1062"/>
  <c r="M14" i="1062"/>
  <c r="K14" i="1062"/>
  <c r="K13" i="1062"/>
  <c r="L12" i="1062"/>
  <c r="K12" i="1062" s="1"/>
  <c r="L10" i="1062"/>
  <c r="K10" i="1062" s="1"/>
  <c r="L9" i="1062"/>
  <c r="K9" i="1062" s="1"/>
  <c r="L8" i="1062"/>
  <c r="K8" i="1062" s="1"/>
  <c r="L7" i="1062"/>
  <c r="K7" i="1062" s="1"/>
  <c r="K19" i="1062"/>
  <c r="K18" i="1062"/>
  <c r="K15" i="1062"/>
  <c r="K11" i="1062"/>
  <c r="A76" i="1062"/>
  <c r="A77" i="1062" s="1"/>
  <c r="A78" i="1062" s="1"/>
  <c r="A79" i="1062" s="1"/>
  <c r="A80" i="1062" s="1"/>
  <c r="A81" i="1062" s="1"/>
  <c r="A82" i="1062" s="1"/>
  <c r="A75" i="1062"/>
  <c r="AF61" i="1062"/>
  <c r="AF60" i="1062"/>
  <c r="AF63" i="1062" s="1"/>
  <c r="AA22" i="1062"/>
  <c r="Z22" i="1062"/>
  <c r="Y22" i="1062"/>
  <c r="X22" i="1062"/>
  <c r="W22" i="1062"/>
  <c r="V22" i="1062"/>
  <c r="U22" i="1062"/>
  <c r="T22" i="1062"/>
  <c r="S22" i="1062"/>
  <c r="R22" i="1062"/>
  <c r="N22" i="1062"/>
  <c r="J22" i="1062"/>
  <c r="I22" i="1062"/>
  <c r="AF21" i="1062"/>
  <c r="Q21" i="1062"/>
  <c r="AF20" i="1062"/>
  <c r="AB20" i="1062"/>
  <c r="Q20" i="1062"/>
  <c r="P20" i="1062" s="1"/>
  <c r="AC20" i="1062" s="1"/>
  <c r="M20" i="1062"/>
  <c r="O20" i="1062"/>
  <c r="AF19" i="1062"/>
  <c r="Q19" i="1062"/>
  <c r="P19" i="1062" s="1"/>
  <c r="AC19" i="1062" s="1"/>
  <c r="O19" i="1062"/>
  <c r="AF18" i="1062"/>
  <c r="AB18" i="1062"/>
  <c r="Q18" i="1062"/>
  <c r="P18" i="1062" s="1"/>
  <c r="AC18" i="1062" s="1"/>
  <c r="M18" i="1062"/>
  <c r="O18" i="1062"/>
  <c r="AF17" i="1062"/>
  <c r="Q17" i="1062"/>
  <c r="O17" i="1062"/>
  <c r="AF16" i="1062"/>
  <c r="AB16" i="1062"/>
  <c r="Q16" i="1062"/>
  <c r="P16" i="1062"/>
  <c r="AC16" i="1062" s="1"/>
  <c r="M16" i="1062"/>
  <c r="O16" i="1062"/>
  <c r="AF15" i="1062"/>
  <c r="Q15" i="1062"/>
  <c r="O15" i="1062"/>
  <c r="P15" i="1062"/>
  <c r="AC15" i="1062" s="1"/>
  <c r="AF13" i="1062"/>
  <c r="AB13" i="1062"/>
  <c r="Q13" i="1062"/>
  <c r="P13" i="1062" s="1"/>
  <c r="AC13" i="1062" s="1"/>
  <c r="M13" i="1062"/>
  <c r="O13" i="1062"/>
  <c r="AF12" i="1062"/>
  <c r="Q12" i="1062"/>
  <c r="AF11" i="1062"/>
  <c r="Q11" i="1062"/>
  <c r="O11" i="1062"/>
  <c r="P11" i="1062"/>
  <c r="AC11" i="1062" s="1"/>
  <c r="AF10" i="1062"/>
  <c r="AB10" i="1062"/>
  <c r="Q10" i="1062"/>
  <c r="P10" i="1062" s="1"/>
  <c r="AC10" i="1062" s="1"/>
  <c r="O10" i="1062"/>
  <c r="M10" i="1062"/>
  <c r="AF9" i="1062"/>
  <c r="Q9" i="1062"/>
  <c r="AB9" i="1062"/>
  <c r="AF8" i="1062"/>
  <c r="AB8" i="1062"/>
  <c r="Q8" i="1062"/>
  <c r="P8" i="1062" s="1"/>
  <c r="AC8" i="1062" s="1"/>
  <c r="M8" i="1062"/>
  <c r="O8" i="1062"/>
  <c r="AF7" i="1062"/>
  <c r="Q7" i="1062"/>
  <c r="O7" i="1062"/>
  <c r="AF6" i="1062"/>
  <c r="AB6" i="1062"/>
  <c r="Q6" i="1062"/>
  <c r="P6" i="1062"/>
  <c r="O6" i="1062"/>
  <c r="M6" i="1062"/>
  <c r="K6" i="1062"/>
  <c r="AE6" i="1065" l="1"/>
  <c r="AE20" i="1065"/>
  <c r="AE7" i="1065"/>
  <c r="AE18" i="1065"/>
  <c r="AE12" i="1065"/>
  <c r="AE8" i="1065"/>
  <c r="AE13" i="1065"/>
  <c r="AE11" i="1065"/>
  <c r="AE9" i="1065"/>
  <c r="AE10" i="1065"/>
  <c r="AE19" i="1065"/>
  <c r="AE15" i="1065"/>
  <c r="AE17" i="1065"/>
  <c r="AE16" i="1065"/>
  <c r="AD21" i="1064"/>
  <c r="AE7" i="1064" s="1"/>
  <c r="AC22" i="1063"/>
  <c r="M22" i="1063"/>
  <c r="AD21" i="1063"/>
  <c r="AB22" i="1063"/>
  <c r="AD8" i="1063"/>
  <c r="AD16" i="1063"/>
  <c r="P22" i="1063"/>
  <c r="Q22" i="1062"/>
  <c r="AD8" i="1062"/>
  <c r="AD13" i="1062"/>
  <c r="AD14" i="1062"/>
  <c r="AD20" i="1062"/>
  <c r="O21" i="1062"/>
  <c r="AB12" i="1062"/>
  <c r="P12" i="1062"/>
  <c r="AC12" i="1062" s="1"/>
  <c r="M12" i="1062"/>
  <c r="L22" i="1062"/>
  <c r="O22" i="1062" s="1"/>
  <c r="O12" i="1062"/>
  <c r="AD18" i="1062"/>
  <c r="AD10" i="1062"/>
  <c r="AD16" i="1062"/>
  <c r="O9" i="1062"/>
  <c r="M7" i="1062"/>
  <c r="AB7" i="1062"/>
  <c r="P9" i="1062"/>
  <c r="AC9" i="1062" s="1"/>
  <c r="M11" i="1062"/>
  <c r="AB11" i="1062"/>
  <c r="AD11" i="1062" s="1"/>
  <c r="M15" i="1062"/>
  <c r="AB15" i="1062"/>
  <c r="P17" i="1062"/>
  <c r="AC17" i="1062" s="1"/>
  <c r="M19" i="1062"/>
  <c r="AB19" i="1062"/>
  <c r="AD19" i="1062" s="1"/>
  <c r="P21" i="1062"/>
  <c r="AC21" i="1062" s="1"/>
  <c r="AC6" i="1062"/>
  <c r="P7" i="1062"/>
  <c r="AC7" i="1062" s="1"/>
  <c r="M9" i="1062"/>
  <c r="M17" i="1062"/>
  <c r="AB17" i="1062"/>
  <c r="M21" i="1062"/>
  <c r="AB21" i="1062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L20" i="1061"/>
  <c r="L19" i="1061"/>
  <c r="L18" i="1061"/>
  <c r="L17" i="1061"/>
  <c r="L16" i="1061"/>
  <c r="L15" i="1061"/>
  <c r="L14" i="1061"/>
  <c r="L13" i="1061"/>
  <c r="L11" i="1061"/>
  <c r="K11" i="1061" s="1"/>
  <c r="L10" i="1061"/>
  <c r="K10" i="1061" s="1"/>
  <c r="AF10" i="1061"/>
  <c r="Q10" i="1061"/>
  <c r="O10" i="1061"/>
  <c r="L9" i="1061"/>
  <c r="K9" i="1061" s="1"/>
  <c r="L8" i="1061"/>
  <c r="K8" i="1061" s="1"/>
  <c r="L7" i="1061"/>
  <c r="K20" i="1061"/>
  <c r="K19" i="1061"/>
  <c r="K18" i="1061"/>
  <c r="K17" i="1061"/>
  <c r="K16" i="1061"/>
  <c r="K15" i="1061"/>
  <c r="K14" i="1061"/>
  <c r="K12" i="1061"/>
  <c r="A74" i="1061"/>
  <c r="A75" i="1061" s="1"/>
  <c r="A76" i="1061" s="1"/>
  <c r="A77" i="1061" s="1"/>
  <c r="A78" i="1061" s="1"/>
  <c r="A79" i="1061" s="1"/>
  <c r="A80" i="1061" s="1"/>
  <c r="A81" i="1061" s="1"/>
  <c r="AF60" i="1061"/>
  <c r="AF59" i="1061"/>
  <c r="AF62" i="1061" s="1"/>
  <c r="AA21" i="1061"/>
  <c r="Z21" i="1061"/>
  <c r="Y21" i="1061"/>
  <c r="X21" i="1061"/>
  <c r="W21" i="1061"/>
  <c r="V21" i="1061"/>
  <c r="U21" i="1061"/>
  <c r="T21" i="1061"/>
  <c r="S21" i="1061"/>
  <c r="R21" i="1061"/>
  <c r="N21" i="1061"/>
  <c r="J21" i="1061"/>
  <c r="I21" i="1061"/>
  <c r="AF20" i="1061"/>
  <c r="Q20" i="1061"/>
  <c r="O20" i="1061"/>
  <c r="AF19" i="1061"/>
  <c r="AB19" i="1061"/>
  <c r="Q19" i="1061"/>
  <c r="P19" i="1061" s="1"/>
  <c r="AC19" i="1061" s="1"/>
  <c r="M19" i="1061"/>
  <c r="O19" i="1061"/>
  <c r="AF18" i="1061"/>
  <c r="Q18" i="1061"/>
  <c r="O18" i="1061"/>
  <c r="P18" i="1061"/>
  <c r="AC18" i="1061" s="1"/>
  <c r="AF17" i="1061"/>
  <c r="AB17" i="1061"/>
  <c r="Q17" i="1061"/>
  <c r="P17" i="1061"/>
  <c r="AC17" i="1061" s="1"/>
  <c r="O17" i="1061"/>
  <c r="M17" i="1061"/>
  <c r="AF16" i="1061"/>
  <c r="Q16" i="1061"/>
  <c r="O16" i="1061"/>
  <c r="AF15" i="1061"/>
  <c r="AB15" i="1061"/>
  <c r="Q15" i="1061"/>
  <c r="P15" i="1061"/>
  <c r="AC15" i="1061" s="1"/>
  <c r="M15" i="1061"/>
  <c r="O15" i="1061"/>
  <c r="AF14" i="1061"/>
  <c r="Q14" i="1061"/>
  <c r="P14" i="1061" s="1"/>
  <c r="AC14" i="1061" s="1"/>
  <c r="O14" i="1061"/>
  <c r="AF13" i="1061"/>
  <c r="AB13" i="1061"/>
  <c r="Q13" i="1061"/>
  <c r="P13" i="1061" s="1"/>
  <c r="AC13" i="1061" s="1"/>
  <c r="O13" i="1061"/>
  <c r="M13" i="1061"/>
  <c r="K13" i="1061"/>
  <c r="AF12" i="1061"/>
  <c r="AB12" i="1061"/>
  <c r="Q12" i="1061"/>
  <c r="P12" i="1061" s="1"/>
  <c r="AC12" i="1061" s="1"/>
  <c r="M12" i="1061"/>
  <c r="O12" i="1061"/>
  <c r="AF11" i="1061"/>
  <c r="Q11" i="1061"/>
  <c r="O11" i="1061"/>
  <c r="AF9" i="1061"/>
  <c r="Q9" i="1061"/>
  <c r="O9" i="1061"/>
  <c r="P9" i="1061"/>
  <c r="AC9" i="1061" s="1"/>
  <c r="AF8" i="1061"/>
  <c r="AB8" i="1061"/>
  <c r="Q8" i="1061"/>
  <c r="P8" i="1061" s="1"/>
  <c r="AC8" i="1061" s="1"/>
  <c r="M8" i="1061"/>
  <c r="L21" i="1061"/>
  <c r="O21" i="1061" s="1"/>
  <c r="AF7" i="1061"/>
  <c r="AB7" i="1061"/>
  <c r="Q7" i="1061"/>
  <c r="P7" i="1061" s="1"/>
  <c r="AC7" i="1061" s="1"/>
  <c r="O7" i="1061"/>
  <c r="M7" i="1061"/>
  <c r="K7" i="1061"/>
  <c r="AF6" i="1061"/>
  <c r="AC6" i="1061"/>
  <c r="AB6" i="1061"/>
  <c r="Q6" i="1061"/>
  <c r="P6" i="1061"/>
  <c r="O6" i="1061"/>
  <c r="M6" i="1061"/>
  <c r="K6" i="1061"/>
  <c r="AE10" i="1064" l="1"/>
  <c r="AE14" i="1064"/>
  <c r="AE13" i="1064"/>
  <c r="AE15" i="1064"/>
  <c r="AE9" i="1064"/>
  <c r="AE17" i="1064"/>
  <c r="AE12" i="1064"/>
  <c r="AE6" i="1064"/>
  <c r="AE16" i="1064"/>
  <c r="AE18" i="1064"/>
  <c r="AE8" i="1064"/>
  <c r="AE19" i="1064"/>
  <c r="AE20" i="1064"/>
  <c r="AE11" i="1064"/>
  <c r="AD22" i="1063"/>
  <c r="AD12" i="1062"/>
  <c r="M22" i="1062"/>
  <c r="AD7" i="1062"/>
  <c r="AB22" i="1062"/>
  <c r="AD9" i="1062"/>
  <c r="AC22" i="1062"/>
  <c r="AD6" i="1062"/>
  <c r="AD21" i="1062"/>
  <c r="AD17" i="1062"/>
  <c r="K22" i="1062"/>
  <c r="AD15" i="1062"/>
  <c r="P22" i="1062"/>
  <c r="Q21" i="1061"/>
  <c r="M10" i="1061"/>
  <c r="P10" i="1061"/>
  <c r="AC10" i="1061" s="1"/>
  <c r="AD17" i="1061"/>
  <c r="AB10" i="1061"/>
  <c r="AD13" i="1061"/>
  <c r="AD7" i="1061"/>
  <c r="AD19" i="1061"/>
  <c r="AD12" i="1061"/>
  <c r="AD15" i="1061"/>
  <c r="M9" i="1061"/>
  <c r="AB9" i="1061"/>
  <c r="P11" i="1061"/>
  <c r="AC11" i="1061" s="1"/>
  <c r="M14" i="1061"/>
  <c r="AB14" i="1061"/>
  <c r="AD14" i="1061" s="1"/>
  <c r="P16" i="1061"/>
  <c r="AC16" i="1061" s="1"/>
  <c r="M18" i="1061"/>
  <c r="AB18" i="1061"/>
  <c r="AD18" i="1061" s="1"/>
  <c r="P20" i="1061"/>
  <c r="AC20" i="1061" s="1"/>
  <c r="AD6" i="1061"/>
  <c r="O8" i="1061"/>
  <c r="AD8" i="1061" s="1"/>
  <c r="M11" i="1061"/>
  <c r="AB11" i="1061"/>
  <c r="K21" i="1061"/>
  <c r="M16" i="1061"/>
  <c r="AB16" i="1061"/>
  <c r="M20" i="1061"/>
  <c r="AB20" i="1061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K13" i="1060"/>
  <c r="L21" i="1060"/>
  <c r="L20" i="1060"/>
  <c r="K20" i="1060" s="1"/>
  <c r="L19" i="1060"/>
  <c r="L18" i="1060"/>
  <c r="L17" i="1060"/>
  <c r="K17" i="1060" s="1"/>
  <c r="L16" i="1060"/>
  <c r="K16" i="1060" s="1"/>
  <c r="L15" i="1060"/>
  <c r="K15" i="1060" s="1"/>
  <c r="AF15" i="1060"/>
  <c r="AB15" i="1060"/>
  <c r="Q15" i="1060"/>
  <c r="P15" i="1060" s="1"/>
  <c r="AC15" i="1060" s="1"/>
  <c r="O15" i="1060"/>
  <c r="L12" i="1060"/>
  <c r="K12" i="1060" s="1"/>
  <c r="L11" i="1060"/>
  <c r="K11" i="1060" s="1"/>
  <c r="L10" i="1060"/>
  <c r="K10" i="1060" s="1"/>
  <c r="L9" i="1060"/>
  <c r="K9" i="1060" s="1"/>
  <c r="L8" i="1060"/>
  <c r="K8" i="1060" s="1"/>
  <c r="K21" i="1060"/>
  <c r="K19" i="1060"/>
  <c r="K18" i="1060"/>
  <c r="K14" i="1060"/>
  <c r="A76" i="1060"/>
  <c r="A77" i="1060" s="1"/>
  <c r="A78" i="1060" s="1"/>
  <c r="A79" i="1060" s="1"/>
  <c r="A80" i="1060" s="1"/>
  <c r="A81" i="1060" s="1"/>
  <c r="A82" i="1060" s="1"/>
  <c r="A75" i="1060"/>
  <c r="AF61" i="1060"/>
  <c r="AF60" i="1060"/>
  <c r="AF63" i="1060" s="1"/>
  <c r="AA22" i="1060"/>
  <c r="Z22" i="1060"/>
  <c r="Y22" i="1060"/>
  <c r="X22" i="1060"/>
  <c r="W22" i="1060"/>
  <c r="V22" i="1060"/>
  <c r="U22" i="1060"/>
  <c r="T22" i="1060"/>
  <c r="S22" i="1060"/>
  <c r="R22" i="1060"/>
  <c r="N22" i="1060"/>
  <c r="J22" i="1060"/>
  <c r="I22" i="1060"/>
  <c r="AF21" i="1060"/>
  <c r="Q21" i="1060"/>
  <c r="O21" i="1060"/>
  <c r="AF20" i="1060"/>
  <c r="AB20" i="1060"/>
  <c r="Q20" i="1060"/>
  <c r="P20" i="1060" s="1"/>
  <c r="AC20" i="1060" s="1"/>
  <c r="AD20" i="1060" s="1"/>
  <c r="M20" i="1060"/>
  <c r="O20" i="1060"/>
  <c r="AF19" i="1060"/>
  <c r="Q19" i="1060"/>
  <c r="P19" i="1060" s="1"/>
  <c r="AC19" i="1060" s="1"/>
  <c r="O19" i="1060"/>
  <c r="AF18" i="1060"/>
  <c r="AB18" i="1060"/>
  <c r="Q18" i="1060"/>
  <c r="P18" i="1060" s="1"/>
  <c r="AC18" i="1060" s="1"/>
  <c r="M18" i="1060"/>
  <c r="O18" i="1060"/>
  <c r="AF17" i="1060"/>
  <c r="AB17" i="1060"/>
  <c r="Q17" i="1060"/>
  <c r="P17" i="1060" s="1"/>
  <c r="AC17" i="1060" s="1"/>
  <c r="O17" i="1060"/>
  <c r="M17" i="1060"/>
  <c r="AF16" i="1060"/>
  <c r="AB16" i="1060"/>
  <c r="Q16" i="1060"/>
  <c r="P16" i="1060" s="1"/>
  <c r="AC16" i="1060" s="1"/>
  <c r="O16" i="1060"/>
  <c r="M16" i="1060"/>
  <c r="AF14" i="1060"/>
  <c r="AB14" i="1060"/>
  <c r="Q14" i="1060"/>
  <c r="P14" i="1060" s="1"/>
  <c r="AC14" i="1060" s="1"/>
  <c r="O14" i="1060"/>
  <c r="M14" i="1060"/>
  <c r="AF13" i="1060"/>
  <c r="Q13" i="1060"/>
  <c r="O13" i="1060"/>
  <c r="P13" i="1060"/>
  <c r="AC13" i="1060" s="1"/>
  <c r="AF12" i="1060"/>
  <c r="AB12" i="1060"/>
  <c r="Q12" i="1060"/>
  <c r="P12" i="1060" s="1"/>
  <c r="AC12" i="1060" s="1"/>
  <c r="O12" i="1060"/>
  <c r="M12" i="1060"/>
  <c r="AF11" i="1060"/>
  <c r="AB11" i="1060"/>
  <c r="Q11" i="1060"/>
  <c r="P11" i="1060" s="1"/>
  <c r="AC11" i="1060" s="1"/>
  <c r="O11" i="1060"/>
  <c r="M11" i="1060"/>
  <c r="AF10" i="1060"/>
  <c r="Q10" i="1060"/>
  <c r="P10" i="1060" s="1"/>
  <c r="AC10" i="1060" s="1"/>
  <c r="AF9" i="1060"/>
  <c r="AB9" i="1060"/>
  <c r="Q9" i="1060"/>
  <c r="P9" i="1060" s="1"/>
  <c r="AC9" i="1060" s="1"/>
  <c r="AF8" i="1060"/>
  <c r="AB8" i="1060"/>
  <c r="Q8" i="1060"/>
  <c r="P8" i="1060" s="1"/>
  <c r="AC8" i="1060" s="1"/>
  <c r="O8" i="1060"/>
  <c r="M8" i="1060"/>
  <c r="AF7" i="1060"/>
  <c r="AB7" i="1060"/>
  <c r="Q7" i="1060"/>
  <c r="P7" i="1060"/>
  <c r="AC7" i="1060" s="1"/>
  <c r="O7" i="1060"/>
  <c r="M7" i="1060"/>
  <c r="K7" i="1060"/>
  <c r="AF6" i="1060"/>
  <c r="AC6" i="1060"/>
  <c r="AB6" i="1060"/>
  <c r="Q6" i="1060"/>
  <c r="P6" i="1060"/>
  <c r="O6" i="1060"/>
  <c r="M6" i="1060"/>
  <c r="K6" i="1060"/>
  <c r="AE18" i="1063" l="1"/>
  <c r="AE20" i="1063"/>
  <c r="AE12" i="1063"/>
  <c r="AE21" i="1063"/>
  <c r="AE13" i="1063"/>
  <c r="AE10" i="1063"/>
  <c r="AE9" i="1063"/>
  <c r="AE7" i="1063"/>
  <c r="AE8" i="1063"/>
  <c r="AE15" i="1063"/>
  <c r="AE14" i="1063"/>
  <c r="AE16" i="1063"/>
  <c r="AE6" i="1063"/>
  <c r="AE17" i="1063"/>
  <c r="AE11" i="1063"/>
  <c r="AE19" i="1063"/>
  <c r="AD22" i="1062"/>
  <c r="AD10" i="1061"/>
  <c r="M21" i="1061"/>
  <c r="AD11" i="1061"/>
  <c r="AD20" i="1061"/>
  <c r="AB21" i="1061"/>
  <c r="AD9" i="1061"/>
  <c r="P21" i="1061"/>
  <c r="AD16" i="1061"/>
  <c r="AC21" i="1061"/>
  <c r="AD12" i="1060"/>
  <c r="Q22" i="1060"/>
  <c r="AD15" i="1060"/>
  <c r="AD16" i="1060"/>
  <c r="M15" i="1060"/>
  <c r="AB10" i="1060"/>
  <c r="AD10" i="1060" s="1"/>
  <c r="M10" i="1060"/>
  <c r="O10" i="1060"/>
  <c r="L22" i="1060"/>
  <c r="O22" i="1060" s="1"/>
  <c r="M9" i="1060"/>
  <c r="O9" i="1060"/>
  <c r="AD9" i="1060" s="1"/>
  <c r="AD17" i="1060"/>
  <c r="AD18" i="1060"/>
  <c r="AD7" i="1060"/>
  <c r="AD8" i="1060"/>
  <c r="AD11" i="1060"/>
  <c r="AD14" i="1060"/>
  <c r="M13" i="1060"/>
  <c r="AB13" i="1060"/>
  <c r="M19" i="1060"/>
  <c r="AB19" i="1060"/>
  <c r="AD19" i="1060" s="1"/>
  <c r="P21" i="1060"/>
  <c r="AC21" i="1060" s="1"/>
  <c r="AC22" i="1060" s="1"/>
  <c r="AD6" i="1060"/>
  <c r="K22" i="1060"/>
  <c r="M21" i="1060"/>
  <c r="AB21" i="1060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L20" i="1059"/>
  <c r="L19" i="1059"/>
  <c r="L18" i="1059"/>
  <c r="L17" i="1059"/>
  <c r="K17" i="1059" s="1"/>
  <c r="K16" i="1059"/>
  <c r="K14" i="1059"/>
  <c r="L13" i="1059"/>
  <c r="K13" i="1059" s="1"/>
  <c r="L11" i="1059"/>
  <c r="K11" i="1059" s="1"/>
  <c r="K20" i="1059"/>
  <c r="K19" i="1059"/>
  <c r="K18" i="1059"/>
  <c r="K15" i="1059"/>
  <c r="K12" i="1059"/>
  <c r="K10" i="1059"/>
  <c r="K9" i="1059"/>
  <c r="K8" i="1059"/>
  <c r="K6" i="1059"/>
  <c r="A74" i="1059"/>
  <c r="A75" i="1059" s="1"/>
  <c r="A76" i="1059" s="1"/>
  <c r="A77" i="1059" s="1"/>
  <c r="A78" i="1059" s="1"/>
  <c r="A79" i="1059" s="1"/>
  <c r="A80" i="1059" s="1"/>
  <c r="A81" i="1059" s="1"/>
  <c r="AF62" i="1059"/>
  <c r="AF60" i="1059"/>
  <c r="AF59" i="1059"/>
  <c r="AA21" i="1059"/>
  <c r="Z21" i="1059"/>
  <c r="Y21" i="1059"/>
  <c r="X21" i="1059"/>
  <c r="W21" i="1059"/>
  <c r="V21" i="1059"/>
  <c r="U21" i="1059"/>
  <c r="T21" i="1059"/>
  <c r="S21" i="1059"/>
  <c r="R21" i="1059"/>
  <c r="N21" i="1059"/>
  <c r="J21" i="1059"/>
  <c r="I21" i="1059"/>
  <c r="AF20" i="1059"/>
  <c r="Q20" i="1059"/>
  <c r="O20" i="1059"/>
  <c r="M20" i="1059"/>
  <c r="AB20" i="1059"/>
  <c r="AF19" i="1059"/>
  <c r="AB19" i="1059"/>
  <c r="Q19" i="1059"/>
  <c r="P19" i="1059" s="1"/>
  <c r="AC19" i="1059" s="1"/>
  <c r="M19" i="1059"/>
  <c r="AF18" i="1059"/>
  <c r="Q18" i="1059"/>
  <c r="P18" i="1059" s="1"/>
  <c r="AC18" i="1059" s="1"/>
  <c r="AF17" i="1059"/>
  <c r="AB17" i="1059"/>
  <c r="Q17" i="1059"/>
  <c r="P17" i="1059" s="1"/>
  <c r="AC17" i="1059" s="1"/>
  <c r="AD17" i="1059" s="1"/>
  <c r="O17" i="1059"/>
  <c r="M17" i="1059"/>
  <c r="AF16" i="1059"/>
  <c r="AB16" i="1059"/>
  <c r="Q16" i="1059"/>
  <c r="P16" i="1059" s="1"/>
  <c r="AC16" i="1059" s="1"/>
  <c r="M16" i="1059"/>
  <c r="AF15" i="1059"/>
  <c r="Q15" i="1059"/>
  <c r="P15" i="1059" s="1"/>
  <c r="AC15" i="1059" s="1"/>
  <c r="AF14" i="1059"/>
  <c r="Q14" i="1059"/>
  <c r="P14" i="1059" s="1"/>
  <c r="AC14" i="1059" s="1"/>
  <c r="O14" i="1059"/>
  <c r="AB14" i="1059"/>
  <c r="AF13" i="1059"/>
  <c r="AB13" i="1059"/>
  <c r="Q13" i="1059"/>
  <c r="P13" i="1059" s="1"/>
  <c r="AC13" i="1059" s="1"/>
  <c r="O13" i="1059"/>
  <c r="M13" i="1059"/>
  <c r="AF12" i="1059"/>
  <c r="Q12" i="1059"/>
  <c r="P12" i="1059" s="1"/>
  <c r="AC12" i="1059" s="1"/>
  <c r="AF11" i="1059"/>
  <c r="Q11" i="1059"/>
  <c r="P11" i="1059" s="1"/>
  <c r="AC11" i="1059" s="1"/>
  <c r="O11" i="1059"/>
  <c r="AB11" i="1059"/>
  <c r="AF10" i="1059"/>
  <c r="AB10" i="1059"/>
  <c r="Q10" i="1059"/>
  <c r="P10" i="1059" s="1"/>
  <c r="AC10" i="1059" s="1"/>
  <c r="O10" i="1059"/>
  <c r="M10" i="1059"/>
  <c r="AF9" i="1059"/>
  <c r="AB9" i="1059"/>
  <c r="Q9" i="1059"/>
  <c r="P9" i="1059" s="1"/>
  <c r="AC9" i="1059" s="1"/>
  <c r="M9" i="1059"/>
  <c r="AF8" i="1059"/>
  <c r="Q8" i="1059"/>
  <c r="P8" i="1059"/>
  <c r="AC8" i="1059" s="1"/>
  <c r="AF7" i="1059"/>
  <c r="AB7" i="1059"/>
  <c r="Q7" i="1059"/>
  <c r="P7" i="1059"/>
  <c r="AC7" i="1059" s="1"/>
  <c r="O7" i="1059"/>
  <c r="M7" i="1059"/>
  <c r="K7" i="1059"/>
  <c r="AF6" i="1059"/>
  <c r="AB6" i="1059"/>
  <c r="Q6" i="1059"/>
  <c r="M6" i="1059"/>
  <c r="L21" i="1059"/>
  <c r="O21" i="1059" s="1"/>
  <c r="AE7" i="1062" l="1"/>
  <c r="AE14" i="1062"/>
  <c r="AE6" i="1062"/>
  <c r="AE9" i="1062"/>
  <c r="AE21" i="1062"/>
  <c r="AE17" i="1062"/>
  <c r="AE10" i="1062"/>
  <c r="AE8" i="1062"/>
  <c r="AE15" i="1062"/>
  <c r="AE12" i="1062"/>
  <c r="AE13" i="1062"/>
  <c r="AE20" i="1062"/>
  <c r="AE19" i="1062"/>
  <c r="AE11" i="1062"/>
  <c r="AE18" i="1062"/>
  <c r="AE16" i="1062"/>
  <c r="AD21" i="1061"/>
  <c r="AE10" i="1061" s="1"/>
  <c r="M22" i="1060"/>
  <c r="AB22" i="1060"/>
  <c r="AD13" i="1060"/>
  <c r="AD22" i="1060" s="1"/>
  <c r="AE15" i="1060" s="1"/>
  <c r="P22" i="1060"/>
  <c r="AD21" i="1060"/>
  <c r="AD13" i="1059"/>
  <c r="Q21" i="1059"/>
  <c r="AD10" i="1059"/>
  <c r="AD11" i="1059"/>
  <c r="AD7" i="1059"/>
  <c r="AD14" i="1059"/>
  <c r="AB8" i="1059"/>
  <c r="M12" i="1059"/>
  <c r="AB12" i="1059"/>
  <c r="M15" i="1059"/>
  <c r="AB15" i="1059"/>
  <c r="O16" i="1059"/>
  <c r="AD16" i="1059" s="1"/>
  <c r="M18" i="1059"/>
  <c r="AB18" i="1059"/>
  <c r="O19" i="1059"/>
  <c r="AD19" i="1059" s="1"/>
  <c r="P20" i="1059"/>
  <c r="AC20" i="1059" s="1"/>
  <c r="AD20" i="1059" s="1"/>
  <c r="O6" i="1059"/>
  <c r="M8" i="1059"/>
  <c r="O9" i="1059"/>
  <c r="AD9" i="1059" s="1"/>
  <c r="P6" i="1059"/>
  <c r="O8" i="1059"/>
  <c r="M11" i="1059"/>
  <c r="O12" i="1059"/>
  <c r="M14" i="1059"/>
  <c r="O15" i="1059"/>
  <c r="O18" i="1059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L20" i="1058"/>
  <c r="L19" i="1058"/>
  <c r="AB19" i="1058" s="1"/>
  <c r="L18" i="1058"/>
  <c r="AB18" i="1058" s="1"/>
  <c r="L16" i="1058"/>
  <c r="K16" i="1058" s="1"/>
  <c r="L15" i="1058"/>
  <c r="K15" i="1058" s="1"/>
  <c r="L14" i="1058"/>
  <c r="K14" i="1058" s="1"/>
  <c r="L12" i="1058"/>
  <c r="L11" i="1058"/>
  <c r="K11" i="1058" s="1"/>
  <c r="L10" i="1058"/>
  <c r="K10" i="1058" s="1"/>
  <c r="L9" i="1058"/>
  <c r="K9" i="1058" s="1"/>
  <c r="L8" i="1058"/>
  <c r="K8" i="1058" s="1"/>
  <c r="L6" i="1058"/>
  <c r="O6" i="1058" s="1"/>
  <c r="AF6" i="1058"/>
  <c r="Q6" i="1058"/>
  <c r="K20" i="1058"/>
  <c r="K18" i="1058"/>
  <c r="K17" i="1058"/>
  <c r="K13" i="1058"/>
  <c r="K12" i="1058"/>
  <c r="A74" i="1058"/>
  <c r="A75" i="1058" s="1"/>
  <c r="A76" i="1058" s="1"/>
  <c r="A77" i="1058" s="1"/>
  <c r="A78" i="1058" s="1"/>
  <c r="A79" i="1058" s="1"/>
  <c r="A80" i="1058" s="1"/>
  <c r="A81" i="1058" s="1"/>
  <c r="AF60" i="1058"/>
  <c r="AF59" i="1058"/>
  <c r="AF62" i="1058" s="1"/>
  <c r="AA21" i="1058"/>
  <c r="Z21" i="1058"/>
  <c r="Y21" i="1058"/>
  <c r="X21" i="1058"/>
  <c r="W21" i="1058"/>
  <c r="V21" i="1058"/>
  <c r="U21" i="1058"/>
  <c r="T21" i="1058"/>
  <c r="S21" i="1058"/>
  <c r="R21" i="1058"/>
  <c r="N21" i="1058"/>
  <c r="J21" i="1058"/>
  <c r="I21" i="1058"/>
  <c r="AF20" i="1058"/>
  <c r="Q20" i="1058"/>
  <c r="O20" i="1058"/>
  <c r="AF19" i="1058"/>
  <c r="Q19" i="1058"/>
  <c r="AF18" i="1058"/>
  <c r="Q18" i="1058"/>
  <c r="P18" i="1058" s="1"/>
  <c r="AC18" i="1058" s="1"/>
  <c r="AF17" i="1058"/>
  <c r="Q17" i="1058"/>
  <c r="P17" i="1058"/>
  <c r="AC17" i="1058" s="1"/>
  <c r="AB17" i="1058"/>
  <c r="AF16" i="1058"/>
  <c r="Q16" i="1058"/>
  <c r="P16" i="1058" s="1"/>
  <c r="AC16" i="1058" s="1"/>
  <c r="O16" i="1058"/>
  <c r="AB16" i="1058"/>
  <c r="AF15" i="1058"/>
  <c r="AB15" i="1058"/>
  <c r="Q15" i="1058"/>
  <c r="P15" i="1058" s="1"/>
  <c r="AC15" i="1058" s="1"/>
  <c r="O15" i="1058"/>
  <c r="M15" i="1058"/>
  <c r="AF14" i="1058"/>
  <c r="Q14" i="1058"/>
  <c r="P14" i="1058" s="1"/>
  <c r="AC14" i="1058" s="1"/>
  <c r="AB14" i="1058"/>
  <c r="AF13" i="1058"/>
  <c r="Q13" i="1058"/>
  <c r="O13" i="1058"/>
  <c r="P13" i="1058"/>
  <c r="AC13" i="1058" s="1"/>
  <c r="AF12" i="1058"/>
  <c r="AB12" i="1058"/>
  <c r="Q12" i="1058"/>
  <c r="P12" i="1058" s="1"/>
  <c r="AC12" i="1058" s="1"/>
  <c r="O12" i="1058"/>
  <c r="M12" i="1058"/>
  <c r="AF11" i="1058"/>
  <c r="Q11" i="1058"/>
  <c r="O11" i="1058"/>
  <c r="AF10" i="1058"/>
  <c r="Q10" i="1058"/>
  <c r="P10" i="1058" s="1"/>
  <c r="AC10" i="1058" s="1"/>
  <c r="M10" i="1058"/>
  <c r="AB10" i="1058"/>
  <c r="AF9" i="1058"/>
  <c r="AB9" i="1058"/>
  <c r="Q9" i="1058"/>
  <c r="P9" i="1058" s="1"/>
  <c r="AC9" i="1058" s="1"/>
  <c r="O9" i="1058"/>
  <c r="M9" i="1058"/>
  <c r="AF8" i="1058"/>
  <c r="Q8" i="1058"/>
  <c r="O8" i="1058"/>
  <c r="L21" i="1058"/>
  <c r="O21" i="1058" s="1"/>
  <c r="AF7" i="1058"/>
  <c r="AB7" i="1058"/>
  <c r="Q7" i="1058"/>
  <c r="P7" i="1058"/>
  <c r="AC7" i="1058" s="1"/>
  <c r="AD7" i="1058" s="1"/>
  <c r="O7" i="1058"/>
  <c r="M7" i="1058"/>
  <c r="K7" i="1058"/>
  <c r="AE11" i="1061" l="1"/>
  <c r="AE17" i="1061"/>
  <c r="AE15" i="1061"/>
  <c r="AE12" i="1061"/>
  <c r="AE16" i="1061"/>
  <c r="AE19" i="1061"/>
  <c r="AE8" i="1061"/>
  <c r="AE20" i="1061"/>
  <c r="AE18" i="1061"/>
  <c r="AE6" i="1061"/>
  <c r="AE14" i="1061"/>
  <c r="AE7" i="1061"/>
  <c r="AE13" i="1061"/>
  <c r="AE9" i="1061"/>
  <c r="AE19" i="1060"/>
  <c r="AE16" i="1060"/>
  <c r="AE13" i="1060"/>
  <c r="AE10" i="1060"/>
  <c r="AE8" i="1060"/>
  <c r="AE7" i="1060"/>
  <c r="AE20" i="1060"/>
  <c r="AE11" i="1060"/>
  <c r="AE9" i="1060"/>
  <c r="AE21" i="1060"/>
  <c r="AE17" i="1060"/>
  <c r="AE14" i="1060"/>
  <c r="AE18" i="1060"/>
  <c r="AE12" i="1060"/>
  <c r="AE6" i="1060"/>
  <c r="AD15" i="1059"/>
  <c r="AD8" i="1059"/>
  <c r="AD18" i="1059"/>
  <c r="M21" i="1059"/>
  <c r="AD12" i="1059"/>
  <c r="AB21" i="1059"/>
  <c r="K21" i="1059"/>
  <c r="P21" i="1059"/>
  <c r="AC6" i="1059"/>
  <c r="K19" i="1058"/>
  <c r="Q21" i="1058"/>
  <c r="M6" i="1058"/>
  <c r="P6" i="1058"/>
  <c r="AC6" i="1058" s="1"/>
  <c r="O18" i="1058"/>
  <c r="P19" i="1058"/>
  <c r="AC19" i="1058" s="1"/>
  <c r="K6" i="1058"/>
  <c r="AB6" i="1058"/>
  <c r="AD6" i="1058" s="1"/>
  <c r="AD12" i="1058"/>
  <c r="AD9" i="1058"/>
  <c r="AD15" i="1058"/>
  <c r="AD16" i="1058"/>
  <c r="AD18" i="1058"/>
  <c r="M8" i="1058"/>
  <c r="AB8" i="1058"/>
  <c r="O10" i="1058"/>
  <c r="AD10" i="1058" s="1"/>
  <c r="P11" i="1058"/>
  <c r="AC11" i="1058" s="1"/>
  <c r="M13" i="1058"/>
  <c r="AB13" i="1058"/>
  <c r="AD13" i="1058" s="1"/>
  <c r="O14" i="1058"/>
  <c r="AD14" i="1058" s="1"/>
  <c r="M16" i="1058"/>
  <c r="O17" i="1058"/>
  <c r="AD17" i="1058" s="1"/>
  <c r="M18" i="1058"/>
  <c r="O19" i="1058"/>
  <c r="P20" i="1058"/>
  <c r="AC20" i="1058" s="1"/>
  <c r="K21" i="1058"/>
  <c r="P8" i="1058"/>
  <c r="AC8" i="1058" s="1"/>
  <c r="M11" i="1058"/>
  <c r="AB11" i="1058"/>
  <c r="M20" i="1058"/>
  <c r="AB20" i="1058"/>
  <c r="M14" i="1058"/>
  <c r="M17" i="1058"/>
  <c r="M19" i="1058"/>
  <c r="AE9" i="1057"/>
  <c r="AE10" i="1057"/>
  <c r="AE11" i="1057"/>
  <c r="AE12" i="1057"/>
  <c r="AE13" i="1057"/>
  <c r="AE14" i="1057"/>
  <c r="AE15" i="1057"/>
  <c r="AE16" i="1057"/>
  <c r="AC21" i="1059" l="1"/>
  <c r="AD6" i="1059"/>
  <c r="AD21" i="1059" s="1"/>
  <c r="AD19" i="1058"/>
  <c r="AB21" i="1058"/>
  <c r="AD20" i="1058"/>
  <c r="M21" i="1058"/>
  <c r="AD8" i="1058"/>
  <c r="AC21" i="1058"/>
  <c r="AD11" i="1058"/>
  <c r="P21" i="1058"/>
  <c r="D18" i="16"/>
  <c r="D17" i="16"/>
  <c r="D16" i="16"/>
  <c r="D15" i="16"/>
  <c r="D14" i="16"/>
  <c r="D13" i="16"/>
  <c r="D12" i="16"/>
  <c r="D11" i="16"/>
  <c r="D10" i="16"/>
  <c r="D9" i="16"/>
  <c r="D8" i="16"/>
  <c r="L22" i="1057"/>
  <c r="L21" i="1057"/>
  <c r="L20" i="1057"/>
  <c r="K19" i="1057"/>
  <c r="L18" i="1057"/>
  <c r="K18" i="1057" s="1"/>
  <c r="AF18" i="1057"/>
  <c r="AB18" i="1057"/>
  <c r="Q18" i="1057"/>
  <c r="P18" i="1057" s="1"/>
  <c r="AC18" i="1057" s="1"/>
  <c r="O18" i="1057"/>
  <c r="M18" i="1057"/>
  <c r="L17" i="1057"/>
  <c r="K17" i="1057" s="1"/>
  <c r="L15" i="1057"/>
  <c r="K15" i="1057" s="1"/>
  <c r="L14" i="1057"/>
  <c r="K14" i="1057" s="1"/>
  <c r="L13" i="1057"/>
  <c r="L12" i="1057"/>
  <c r="L11" i="1057"/>
  <c r="K11" i="1057" s="1"/>
  <c r="K10" i="1057"/>
  <c r="AF10" i="1057"/>
  <c r="Q10" i="1057"/>
  <c r="AB10" i="1057"/>
  <c r="L8" i="1057"/>
  <c r="K22" i="1057"/>
  <c r="K21" i="1057"/>
  <c r="K20" i="1057"/>
  <c r="K13" i="1057"/>
  <c r="K12" i="1057"/>
  <c r="K9" i="1057"/>
  <c r="K8" i="1057"/>
  <c r="A77" i="1057"/>
  <c r="A78" i="1057" s="1"/>
  <c r="A79" i="1057" s="1"/>
  <c r="A80" i="1057" s="1"/>
  <c r="A81" i="1057" s="1"/>
  <c r="A82" i="1057" s="1"/>
  <c r="A83" i="1057" s="1"/>
  <c r="A76" i="1057"/>
  <c r="AF62" i="1057"/>
  <c r="AF61" i="1057"/>
  <c r="AF64" i="1057" s="1"/>
  <c r="AA23" i="1057"/>
  <c r="Z23" i="1057"/>
  <c r="Y23" i="1057"/>
  <c r="X23" i="1057"/>
  <c r="W23" i="1057"/>
  <c r="V23" i="1057"/>
  <c r="U23" i="1057"/>
  <c r="T23" i="1057"/>
  <c r="S23" i="1057"/>
  <c r="R23" i="1057"/>
  <c r="N23" i="1057"/>
  <c r="J23" i="1057"/>
  <c r="I23" i="1057"/>
  <c r="AF22" i="1057"/>
  <c r="Q22" i="1057"/>
  <c r="O22" i="1057"/>
  <c r="AF21" i="1057"/>
  <c r="Q21" i="1057"/>
  <c r="P21" i="1057"/>
  <c r="AC21" i="1057" s="1"/>
  <c r="AB21" i="1057"/>
  <c r="AF20" i="1057"/>
  <c r="Q20" i="1057"/>
  <c r="P20" i="1057" s="1"/>
  <c r="AC20" i="1057" s="1"/>
  <c r="O20" i="1057"/>
  <c r="AB20" i="1057"/>
  <c r="AF19" i="1057"/>
  <c r="AB19" i="1057"/>
  <c r="Q19" i="1057"/>
  <c r="P19" i="1057" s="1"/>
  <c r="AC19" i="1057" s="1"/>
  <c r="O19" i="1057"/>
  <c r="M19" i="1057"/>
  <c r="AF17" i="1057"/>
  <c r="Q17" i="1057"/>
  <c r="P17" i="1057"/>
  <c r="AC17" i="1057" s="1"/>
  <c r="AB17" i="1057"/>
  <c r="AF16" i="1057"/>
  <c r="AB16" i="1057"/>
  <c r="Q16" i="1057"/>
  <c r="P16" i="1057"/>
  <c r="AC16" i="1057" s="1"/>
  <c r="O16" i="1057"/>
  <c r="M16" i="1057"/>
  <c r="K16" i="1057"/>
  <c r="AF15" i="1057"/>
  <c r="AB15" i="1057"/>
  <c r="Q15" i="1057"/>
  <c r="P15" i="1057" s="1"/>
  <c r="AC15" i="1057" s="1"/>
  <c r="O15" i="1057"/>
  <c r="M15" i="1057"/>
  <c r="AF14" i="1057"/>
  <c r="AB14" i="1057"/>
  <c r="Q14" i="1057"/>
  <c r="P14" i="1057" s="1"/>
  <c r="AC14" i="1057" s="1"/>
  <c r="O14" i="1057"/>
  <c r="M14" i="1057"/>
  <c r="AF13" i="1057"/>
  <c r="Q13" i="1057"/>
  <c r="M13" i="1057"/>
  <c r="AF12" i="1057"/>
  <c r="AB12" i="1057"/>
  <c r="Q12" i="1057"/>
  <c r="P12" i="1057" s="1"/>
  <c r="AC12" i="1057" s="1"/>
  <c r="O12" i="1057"/>
  <c r="M12" i="1057"/>
  <c r="AF11" i="1057"/>
  <c r="Q11" i="1057"/>
  <c r="O11" i="1057"/>
  <c r="AF9" i="1057"/>
  <c r="Q9" i="1057"/>
  <c r="P9" i="1057" s="1"/>
  <c r="AC9" i="1057" s="1"/>
  <c r="AB9" i="1057"/>
  <c r="AF8" i="1057"/>
  <c r="Q8" i="1057"/>
  <c r="P8" i="1057" s="1"/>
  <c r="AC8" i="1057" s="1"/>
  <c r="O8" i="1057"/>
  <c r="L23" i="1057"/>
  <c r="O23" i="1057" s="1"/>
  <c r="AF7" i="1057"/>
  <c r="AB7" i="1057"/>
  <c r="Q7" i="1057"/>
  <c r="P7" i="1057"/>
  <c r="AC7" i="1057" s="1"/>
  <c r="O7" i="1057"/>
  <c r="M7" i="1057"/>
  <c r="K7" i="1057"/>
  <c r="AF6" i="1057"/>
  <c r="AB6" i="1057"/>
  <c r="Q6" i="1057"/>
  <c r="P6" i="1057"/>
  <c r="O6" i="1057"/>
  <c r="M6" i="1057"/>
  <c r="K6" i="1057"/>
  <c r="AE18" i="1059" l="1"/>
  <c r="AE15" i="1059"/>
  <c r="AE19" i="1059"/>
  <c r="AE16" i="1059"/>
  <c r="AE9" i="1059"/>
  <c r="AE6" i="1059"/>
  <c r="AE8" i="1059"/>
  <c r="AE20" i="1059"/>
  <c r="AE13" i="1059"/>
  <c r="AE10" i="1059"/>
  <c r="AE7" i="1059"/>
  <c r="AE12" i="1059"/>
  <c r="AE17" i="1059"/>
  <c r="AE14" i="1059"/>
  <c r="AE11" i="1059"/>
  <c r="AD21" i="1058"/>
  <c r="AE8" i="1058" s="1"/>
  <c r="AD18" i="1057"/>
  <c r="AD7" i="1057"/>
  <c r="D4" i="16" s="1"/>
  <c r="AD15" i="1057"/>
  <c r="AD12" i="1057"/>
  <c r="AD16" i="1057"/>
  <c r="O10" i="1057"/>
  <c r="K23" i="1057"/>
  <c r="P10" i="1057"/>
  <c r="AC10" i="1057" s="1"/>
  <c r="AD14" i="1057"/>
  <c r="AD19" i="1057"/>
  <c r="M10" i="1057"/>
  <c r="Q23" i="1057"/>
  <c r="AD20" i="1057"/>
  <c r="AB11" i="1057"/>
  <c r="AB13" i="1057"/>
  <c r="M9" i="1057"/>
  <c r="O13" i="1057"/>
  <c r="AC6" i="1057"/>
  <c r="M8" i="1057"/>
  <c r="AB8" i="1057"/>
  <c r="AD8" i="1057" s="1"/>
  <c r="D5" i="16" s="1"/>
  <c r="O9" i="1057"/>
  <c r="AD9" i="1057" s="1"/>
  <c r="P11" i="1057"/>
  <c r="AC11" i="1057" s="1"/>
  <c r="AD11" i="1057" s="1"/>
  <c r="D7" i="16" s="1"/>
  <c r="P13" i="1057"/>
  <c r="AC13" i="1057" s="1"/>
  <c r="O17" i="1057"/>
  <c r="AD17" i="1057" s="1"/>
  <c r="M20" i="1057"/>
  <c r="O21" i="1057"/>
  <c r="AD21" i="1057" s="1"/>
  <c r="P22" i="1057"/>
  <c r="AC22" i="1057" s="1"/>
  <c r="M22" i="1057"/>
  <c r="AB22" i="1057"/>
  <c r="M11" i="1057"/>
  <c r="M17" i="1057"/>
  <c r="M21" i="1057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L21" i="1056"/>
  <c r="K21" i="1056" s="1"/>
  <c r="L20" i="1056"/>
  <c r="L19" i="1056"/>
  <c r="L17" i="1056"/>
  <c r="K17" i="1056" s="1"/>
  <c r="L13" i="1056"/>
  <c r="L11" i="1056"/>
  <c r="L10" i="1056"/>
  <c r="K10" i="1056" s="1"/>
  <c r="L9" i="1056"/>
  <c r="K9" i="1056" s="1"/>
  <c r="L8" i="1056"/>
  <c r="K20" i="1056"/>
  <c r="K19" i="1056"/>
  <c r="K18" i="1056"/>
  <c r="K15" i="1056"/>
  <c r="K13" i="1056"/>
  <c r="K12" i="1056"/>
  <c r="K11" i="1056"/>
  <c r="K8" i="1056"/>
  <c r="K7" i="1056"/>
  <c r="A75" i="1056"/>
  <c r="A76" i="1056" s="1"/>
  <c r="A77" i="1056" s="1"/>
  <c r="A78" i="1056" s="1"/>
  <c r="A79" i="1056" s="1"/>
  <c r="A80" i="1056" s="1"/>
  <c r="A81" i="1056" s="1"/>
  <c r="A82" i="1056" s="1"/>
  <c r="AF61" i="1056"/>
  <c r="AF60" i="1056"/>
  <c r="AF63" i="1056" s="1"/>
  <c r="AA22" i="1056"/>
  <c r="Z22" i="1056"/>
  <c r="Y22" i="1056"/>
  <c r="X22" i="1056"/>
  <c r="W22" i="1056"/>
  <c r="V22" i="1056"/>
  <c r="U22" i="1056"/>
  <c r="T22" i="1056"/>
  <c r="S22" i="1056"/>
  <c r="R22" i="1056"/>
  <c r="N22" i="1056"/>
  <c r="J22" i="1056"/>
  <c r="I22" i="1056"/>
  <c r="AF21" i="1056"/>
  <c r="AB21" i="1056"/>
  <c r="Q21" i="1056"/>
  <c r="AF20" i="1056"/>
  <c r="Q20" i="1056"/>
  <c r="P20" i="1056" s="1"/>
  <c r="AC20" i="1056" s="1"/>
  <c r="AF19" i="1056"/>
  <c r="Q19" i="1056"/>
  <c r="P19" i="1056"/>
  <c r="AC19" i="1056" s="1"/>
  <c r="AF18" i="1056"/>
  <c r="Q18" i="1056"/>
  <c r="P18" i="1056"/>
  <c r="AC18" i="1056" s="1"/>
  <c r="AD18" i="1056" s="1"/>
  <c r="O18" i="1056"/>
  <c r="AB18" i="1056"/>
  <c r="AF17" i="1056"/>
  <c r="AB17" i="1056"/>
  <c r="Q17" i="1056"/>
  <c r="P17" i="1056" s="1"/>
  <c r="AC17" i="1056" s="1"/>
  <c r="AD17" i="1056" s="1"/>
  <c r="O17" i="1056"/>
  <c r="M17" i="1056"/>
  <c r="AF16" i="1056"/>
  <c r="AB16" i="1056"/>
  <c r="Q16" i="1056"/>
  <c r="P16" i="1056"/>
  <c r="AC16" i="1056" s="1"/>
  <c r="AD16" i="1056" s="1"/>
  <c r="O16" i="1056"/>
  <c r="M16" i="1056"/>
  <c r="K16" i="1056"/>
  <c r="AF15" i="1056"/>
  <c r="AB15" i="1056"/>
  <c r="Q15" i="1056"/>
  <c r="P15" i="1056"/>
  <c r="AC15" i="1056" s="1"/>
  <c r="AD15" i="1056" s="1"/>
  <c r="O15" i="1056"/>
  <c r="M15" i="1056"/>
  <c r="AF14" i="1056"/>
  <c r="AB14" i="1056"/>
  <c r="Q14" i="1056"/>
  <c r="P14" i="1056"/>
  <c r="AC14" i="1056" s="1"/>
  <c r="O14" i="1056"/>
  <c r="M14" i="1056"/>
  <c r="K14" i="1056"/>
  <c r="AF13" i="1056"/>
  <c r="Q13" i="1056"/>
  <c r="P13" i="1056"/>
  <c r="AC13" i="1056" s="1"/>
  <c r="O13" i="1056"/>
  <c r="AB13" i="1056"/>
  <c r="AF12" i="1056"/>
  <c r="AB12" i="1056"/>
  <c r="Q12" i="1056"/>
  <c r="P12" i="1056"/>
  <c r="AC12" i="1056" s="1"/>
  <c r="O12" i="1056"/>
  <c r="M12" i="1056"/>
  <c r="AF11" i="1056"/>
  <c r="AB11" i="1056"/>
  <c r="Q11" i="1056"/>
  <c r="P11" i="1056" s="1"/>
  <c r="AC11" i="1056" s="1"/>
  <c r="O11" i="1056"/>
  <c r="M11" i="1056"/>
  <c r="AF10" i="1056"/>
  <c r="AB10" i="1056"/>
  <c r="Q10" i="1056"/>
  <c r="P10" i="1056" s="1"/>
  <c r="AC10" i="1056" s="1"/>
  <c r="O10" i="1056"/>
  <c r="M10" i="1056"/>
  <c r="AF9" i="1056"/>
  <c r="AB9" i="1056"/>
  <c r="Q9" i="1056"/>
  <c r="P9" i="1056" s="1"/>
  <c r="AC9" i="1056" s="1"/>
  <c r="M9" i="1056"/>
  <c r="AF8" i="1056"/>
  <c r="Q8" i="1056"/>
  <c r="P8" i="1056" s="1"/>
  <c r="AC8" i="1056" s="1"/>
  <c r="AF7" i="1056"/>
  <c r="AB7" i="1056"/>
  <c r="Q7" i="1056"/>
  <c r="P7" i="1056"/>
  <c r="AC7" i="1056" s="1"/>
  <c r="AD7" i="1056" s="1"/>
  <c r="O7" i="1056"/>
  <c r="M7" i="1056"/>
  <c r="AF6" i="1056"/>
  <c r="AC6" i="1056"/>
  <c r="AB6" i="1056"/>
  <c r="Q6" i="1056"/>
  <c r="P6" i="1056"/>
  <c r="O6" i="1056"/>
  <c r="M6" i="1056"/>
  <c r="K6" i="1056"/>
  <c r="AE18" i="1058" l="1"/>
  <c r="AE16" i="1058"/>
  <c r="AE6" i="1058"/>
  <c r="AE7" i="1058"/>
  <c r="AE19" i="1058"/>
  <c r="AE12" i="1058"/>
  <c r="AE11" i="1058"/>
  <c r="AE14" i="1058"/>
  <c r="AE13" i="1058"/>
  <c r="AE10" i="1058"/>
  <c r="AE9" i="1058"/>
  <c r="AE15" i="1058"/>
  <c r="AE20" i="1058"/>
  <c r="AE17" i="1058"/>
  <c r="D6" i="16"/>
  <c r="AD10" i="1057"/>
  <c r="AB23" i="1057"/>
  <c r="AD22" i="1057"/>
  <c r="M23" i="1057"/>
  <c r="P23" i="1057"/>
  <c r="AC23" i="1057"/>
  <c r="AD6" i="1057"/>
  <c r="D3" i="16" s="1"/>
  <c r="AD13" i="1057"/>
  <c r="AD11" i="1056"/>
  <c r="AD13" i="1056"/>
  <c r="O21" i="1056"/>
  <c r="P21" i="1056"/>
  <c r="AC21" i="1056" s="1"/>
  <c r="AD21" i="1056" s="1"/>
  <c r="M21" i="1056"/>
  <c r="Q22" i="1056"/>
  <c r="AD10" i="1056"/>
  <c r="AD12" i="1056"/>
  <c r="AD14" i="1056"/>
  <c r="M20" i="1056"/>
  <c r="AB20" i="1056"/>
  <c r="M8" i="1056"/>
  <c r="AB8" i="1056"/>
  <c r="AD8" i="1056" s="1"/>
  <c r="O9" i="1056"/>
  <c r="AD9" i="1056" s="1"/>
  <c r="M19" i="1056"/>
  <c r="AB19" i="1056"/>
  <c r="O20" i="1056"/>
  <c r="AD6" i="1056"/>
  <c r="O8" i="1056"/>
  <c r="M13" i="1056"/>
  <c r="M18" i="1056"/>
  <c r="O19" i="1056"/>
  <c r="L22" i="1056"/>
  <c r="O22" i="1056" s="1"/>
  <c r="K22" i="1056"/>
  <c r="B18" i="16"/>
  <c r="B17" i="16"/>
  <c r="B16" i="16"/>
  <c r="B15" i="16"/>
  <c r="B14" i="16"/>
  <c r="B13" i="16"/>
  <c r="B12" i="16"/>
  <c r="B11" i="16"/>
  <c r="B10" i="16"/>
  <c r="B9" i="16"/>
  <c r="B8" i="16"/>
  <c r="AG8" i="16" s="1"/>
  <c r="B7" i="16"/>
  <c r="AG7" i="16" s="1"/>
  <c r="B6" i="16"/>
  <c r="B5" i="16"/>
  <c r="B4" i="16"/>
  <c r="B3" i="16"/>
  <c r="AG3" i="16" s="1"/>
  <c r="L20" i="1055"/>
  <c r="L19" i="1055"/>
  <c r="L18" i="1055"/>
  <c r="K18" i="1055" s="1"/>
  <c r="L17" i="1055"/>
  <c r="K17" i="1055" s="1"/>
  <c r="K15" i="1055"/>
  <c r="L13" i="1055"/>
  <c r="AF11" i="1055"/>
  <c r="AB11" i="1055"/>
  <c r="Q11" i="1055"/>
  <c r="P11" i="1055" s="1"/>
  <c r="AC11" i="1055" s="1"/>
  <c r="O11" i="1055"/>
  <c r="M11" i="1055"/>
  <c r="K11" i="1055"/>
  <c r="K12" i="1055"/>
  <c r="L10" i="1055"/>
  <c r="L9" i="1055"/>
  <c r="L8" i="1055"/>
  <c r="K7" i="1055"/>
  <c r="AG18" i="16"/>
  <c r="AG17" i="16"/>
  <c r="AG16" i="16"/>
  <c r="AG15" i="16"/>
  <c r="AG14" i="16"/>
  <c r="AG13" i="16"/>
  <c r="AG12" i="16"/>
  <c r="AG11" i="16"/>
  <c r="AG10" i="16"/>
  <c r="AG9" i="16"/>
  <c r="AG6" i="16"/>
  <c r="AG5" i="16"/>
  <c r="AG4" i="16"/>
  <c r="K20" i="1055"/>
  <c r="K19" i="1055"/>
  <c r="K13" i="1055"/>
  <c r="K10" i="1055"/>
  <c r="K9" i="1055"/>
  <c r="K8" i="1055"/>
  <c r="AD23" i="1057" l="1"/>
  <c r="AE18" i="1057" s="1"/>
  <c r="AC22" i="1056"/>
  <c r="P22" i="1056"/>
  <c r="AB22" i="1056"/>
  <c r="AD20" i="1056"/>
  <c r="AD19" i="1056"/>
  <c r="M22" i="1056"/>
  <c r="AD11" i="1055"/>
  <c r="AB19" i="1055"/>
  <c r="K14" i="1055"/>
  <c r="A75" i="1055"/>
  <c r="A76" i="1055" s="1"/>
  <c r="A77" i="1055" s="1"/>
  <c r="A78" i="1055" s="1"/>
  <c r="A79" i="1055" s="1"/>
  <c r="A80" i="1055" s="1"/>
  <c r="A81" i="1055" s="1"/>
  <c r="A82" i="1055" s="1"/>
  <c r="AF61" i="1055"/>
  <c r="AF60" i="1055"/>
  <c r="AF63" i="1055" s="1"/>
  <c r="AA22" i="1055"/>
  <c r="Z22" i="1055"/>
  <c r="Y22" i="1055"/>
  <c r="X22" i="1055"/>
  <c r="W22" i="1055"/>
  <c r="V22" i="1055"/>
  <c r="U22" i="1055"/>
  <c r="T22" i="1055"/>
  <c r="S22" i="1055"/>
  <c r="R22" i="1055"/>
  <c r="N22" i="1055"/>
  <c r="J22" i="1055"/>
  <c r="I22" i="1055"/>
  <c r="AF21" i="1055"/>
  <c r="AB21" i="1055"/>
  <c r="Q21" i="1055"/>
  <c r="P21" i="1055"/>
  <c r="AC21" i="1055" s="1"/>
  <c r="O21" i="1055"/>
  <c r="M21" i="1055"/>
  <c r="K21" i="1055"/>
  <c r="AF20" i="1055"/>
  <c r="Q20" i="1055"/>
  <c r="P20" i="1055" s="1"/>
  <c r="AC20" i="1055" s="1"/>
  <c r="O20" i="1055"/>
  <c r="M20" i="1055"/>
  <c r="AF19" i="1055"/>
  <c r="Q19" i="1055"/>
  <c r="M19" i="1055"/>
  <c r="AF18" i="1055"/>
  <c r="AB18" i="1055"/>
  <c r="Q18" i="1055"/>
  <c r="P18" i="1055" s="1"/>
  <c r="AC18" i="1055" s="1"/>
  <c r="O18" i="1055"/>
  <c r="M18" i="1055"/>
  <c r="AF17" i="1055"/>
  <c r="AB17" i="1055"/>
  <c r="Q17" i="1055"/>
  <c r="P17" i="1055" s="1"/>
  <c r="AC17" i="1055" s="1"/>
  <c r="O17" i="1055"/>
  <c r="M17" i="1055"/>
  <c r="AF16" i="1055"/>
  <c r="AB16" i="1055"/>
  <c r="Q16" i="1055"/>
  <c r="P16" i="1055"/>
  <c r="AC16" i="1055" s="1"/>
  <c r="O16" i="1055"/>
  <c r="M16" i="1055"/>
  <c r="K16" i="1055"/>
  <c r="AF15" i="1055"/>
  <c r="Q15" i="1055"/>
  <c r="P15" i="1055" s="1"/>
  <c r="AC15" i="1055" s="1"/>
  <c r="O15" i="1055"/>
  <c r="AF14" i="1055"/>
  <c r="AB14" i="1055"/>
  <c r="Q14" i="1055"/>
  <c r="M14" i="1055"/>
  <c r="P14" i="1055"/>
  <c r="AC14" i="1055" s="1"/>
  <c r="AF13" i="1055"/>
  <c r="Q13" i="1055"/>
  <c r="O13" i="1055"/>
  <c r="AF12" i="1055"/>
  <c r="AB12" i="1055"/>
  <c r="Q12" i="1055"/>
  <c r="P12" i="1055" s="1"/>
  <c r="AC12" i="1055" s="1"/>
  <c r="O12" i="1055"/>
  <c r="M12" i="1055"/>
  <c r="AF10" i="1055"/>
  <c r="Q10" i="1055"/>
  <c r="P10" i="1055" s="1"/>
  <c r="AC10" i="1055" s="1"/>
  <c r="O10" i="1055"/>
  <c r="AF9" i="1055"/>
  <c r="AB9" i="1055"/>
  <c r="Q9" i="1055"/>
  <c r="P9" i="1055" s="1"/>
  <c r="AC9" i="1055" s="1"/>
  <c r="O9" i="1055"/>
  <c r="M9" i="1055"/>
  <c r="AF8" i="1055"/>
  <c r="AB8" i="1055"/>
  <c r="Q8" i="1055"/>
  <c r="P8" i="1055" s="1"/>
  <c r="AC8" i="1055" s="1"/>
  <c r="L22" i="1055"/>
  <c r="O22" i="1055" s="1"/>
  <c r="AF7" i="1055"/>
  <c r="AB7" i="1055"/>
  <c r="Q7" i="1055"/>
  <c r="P7" i="1055" s="1"/>
  <c r="AC7" i="1055" s="1"/>
  <c r="O7" i="1055"/>
  <c r="M7" i="1055"/>
  <c r="AF6" i="1055"/>
  <c r="AB6" i="1055"/>
  <c r="Q6" i="1055"/>
  <c r="P6" i="1055"/>
  <c r="AC6" i="1055" s="1"/>
  <c r="O6" i="1055"/>
  <c r="M6" i="1055"/>
  <c r="K6" i="1055"/>
  <c r="AE20" i="1057" l="1"/>
  <c r="AE21" i="1057"/>
  <c r="AE17" i="1057"/>
  <c r="AE6" i="1057"/>
  <c r="AE22" i="1057"/>
  <c r="AE19" i="1057"/>
  <c r="AE7" i="1057"/>
  <c r="AE8" i="1057"/>
  <c r="AD22" i="1056"/>
  <c r="AE14" i="1056" s="1"/>
  <c r="AD21" i="1055"/>
  <c r="M8" i="1055"/>
  <c r="AD18" i="1055"/>
  <c r="P19" i="1055"/>
  <c r="AC19" i="1055" s="1"/>
  <c r="AD9" i="1055"/>
  <c r="Q22" i="1055"/>
  <c r="AD12" i="1055"/>
  <c r="AD7" i="1055"/>
  <c r="AD17" i="1055"/>
  <c r="AD16" i="1055"/>
  <c r="M10" i="1055"/>
  <c r="AB10" i="1055"/>
  <c r="AD10" i="1055" s="1"/>
  <c r="P13" i="1055"/>
  <c r="AC13" i="1055" s="1"/>
  <c r="M15" i="1055"/>
  <c r="AB15" i="1055"/>
  <c r="AD15" i="1055" s="1"/>
  <c r="AB20" i="1055"/>
  <c r="AD20" i="1055" s="1"/>
  <c r="AD6" i="1055"/>
  <c r="O8" i="1055"/>
  <c r="AD8" i="1055" s="1"/>
  <c r="K22" i="1055"/>
  <c r="M13" i="1055"/>
  <c r="AB13" i="1055"/>
  <c r="O14" i="1055"/>
  <c r="AD14" i="1055" s="1"/>
  <c r="O19" i="1055"/>
  <c r="AE8" i="1056" l="1"/>
  <c r="AE10" i="1056"/>
  <c r="AE15" i="1056"/>
  <c r="AE16" i="1056"/>
  <c r="AE19" i="1056"/>
  <c r="AE21" i="1056"/>
  <c r="AE17" i="1056"/>
  <c r="AE11" i="1056"/>
  <c r="AE18" i="1056"/>
  <c r="AE12" i="1056"/>
  <c r="AE13" i="1056"/>
  <c r="AE7" i="1056"/>
  <c r="AE6" i="1056"/>
  <c r="AE9" i="1056"/>
  <c r="AE20" i="1056"/>
  <c r="AD19" i="1055"/>
  <c r="M22" i="1055"/>
  <c r="AB22" i="1055"/>
  <c r="AD13" i="1055"/>
  <c r="AC22" i="1055"/>
  <c r="P22" i="1055"/>
  <c r="AD22" i="1055" l="1"/>
  <c r="AE10" i="1055" l="1"/>
  <c r="AE11" i="1055"/>
  <c r="AE9" i="1055"/>
  <c r="AE13" i="1055"/>
  <c r="AE19" i="1055"/>
  <c r="AE20" i="1055"/>
  <c r="AE8" i="1055"/>
  <c r="AE7" i="1055"/>
  <c r="AE14" i="1055"/>
  <c r="AE16" i="1055"/>
  <c r="AE18" i="1055"/>
  <c r="AE12" i="1055"/>
  <c r="AE21" i="1055"/>
  <c r="AE6" i="1055"/>
  <c r="AE15" i="1055"/>
  <c r="AE17" i="1055"/>
</calcChain>
</file>

<file path=xl/sharedStrings.xml><?xml version="1.0" encoding="utf-8"?>
<sst xmlns="http://schemas.openxmlformats.org/spreadsheetml/2006/main" count="6316" uniqueCount="1362">
  <si>
    <t>호
기</t>
  </si>
  <si>
    <t>구분</t>
  </si>
  <si>
    <t>고객사</t>
  </si>
  <si>
    <t>품  명</t>
  </si>
  <si>
    <t>품   번</t>
  </si>
  <si>
    <t>원료명</t>
  </si>
  <si>
    <t>Cav't</t>
  </si>
  <si>
    <t>C/T
(sec)</t>
  </si>
  <si>
    <t>생산실적</t>
  </si>
  <si>
    <t>시간
실적</t>
  </si>
  <si>
    <t>유실시간(시간)</t>
  </si>
  <si>
    <t>계획정지시간(시간)</t>
  </si>
  <si>
    <t>성능
가동율</t>
  </si>
  <si>
    <t>시간
가동율</t>
  </si>
  <si>
    <t>설비
효율</t>
  </si>
  <si>
    <t>발주
수량</t>
  </si>
  <si>
    <t>당일
목표
수량</t>
  </si>
  <si>
    <t>생산누계
수량</t>
  </si>
  <si>
    <t>생산
수량</t>
  </si>
  <si>
    <t>양품
수량</t>
  </si>
  <si>
    <t>불량
(공정
불량)</t>
  </si>
  <si>
    <t>불
량
율</t>
  </si>
  <si>
    <t>작업
시간</t>
  </si>
  <si>
    <t>총
loss
시간</t>
  </si>
  <si>
    <t>설비
수리</t>
  </si>
  <si>
    <t>금형
수리</t>
  </si>
  <si>
    <t>기종
변경</t>
  </si>
  <si>
    <t>관리
loss</t>
  </si>
  <si>
    <t>기타</t>
  </si>
  <si>
    <t>발주
완료</t>
  </si>
  <si>
    <t>금형
청소</t>
  </si>
  <si>
    <t>교육
조회</t>
  </si>
  <si>
    <t>정기
점검</t>
  </si>
  <si>
    <t>시
사출</t>
  </si>
  <si>
    <t>TOTAL</t>
  </si>
  <si>
    <t>◆ 품목별 생산 계획 대비 실적 현황</t>
  </si>
  <si>
    <t>◆ 품목별 생산 가동효율</t>
  </si>
  <si>
    <t>금형번호</t>
  </si>
  <si>
    <t>품  번</t>
  </si>
  <si>
    <t>원재료</t>
  </si>
  <si>
    <t>구 분</t>
  </si>
  <si>
    <t>사용호기</t>
  </si>
  <si>
    <t>수 량</t>
  </si>
  <si>
    <t>내        용</t>
  </si>
  <si>
    <t>비   고</t>
  </si>
  <si>
    <t>ISSUE 사항</t>
  </si>
  <si>
    <t>호기</t>
  </si>
  <si>
    <t>품 명</t>
  </si>
  <si>
    <t>내 용</t>
  </si>
  <si>
    <t>시작일</t>
  </si>
  <si>
    <t>완료예정일</t>
  </si>
  <si>
    <t>비      고</t>
  </si>
  <si>
    <t>호   기</t>
  </si>
  <si>
    <t>Error 내역</t>
  </si>
  <si>
    <t>수 리 내 역</t>
  </si>
  <si>
    <t>업 체</t>
  </si>
  <si>
    <t>발 생 금 액</t>
  </si>
  <si>
    <t>BASE</t>
    <phoneticPr fontId="2" type="noConversion"/>
  </si>
  <si>
    <t>발주</t>
    <phoneticPr fontId="2" type="noConversion"/>
  </si>
  <si>
    <t>불량 내역</t>
    <phoneticPr fontId="2" type="noConversion"/>
  </si>
  <si>
    <t>호기</t>
    <phoneticPr fontId="2" type="noConversion"/>
  </si>
  <si>
    <t>1호기</t>
    <phoneticPr fontId="2" type="noConversion"/>
  </si>
  <si>
    <t>2호기</t>
    <phoneticPr fontId="2" type="noConversion"/>
  </si>
  <si>
    <t>3호기</t>
  </si>
  <si>
    <t>4호기</t>
  </si>
  <si>
    <t>5호기</t>
  </si>
  <si>
    <t>6호기</t>
  </si>
  <si>
    <t>7호기</t>
  </si>
  <si>
    <t>8호기</t>
  </si>
  <si>
    <t>9호기</t>
  </si>
  <si>
    <t>10호기</t>
  </si>
  <si>
    <t>11호기</t>
  </si>
  <si>
    <t>12호기</t>
  </si>
  <si>
    <t>13호기</t>
  </si>
  <si>
    <t>14호기</t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</si>
  <si>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</si>
  <si>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</si>
  <si>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</si>
  <si>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</si>
  <si>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</si>
  <si>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</si>
  <si>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</si>
  <si>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</si>
  <si>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</si>
  <si>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</si>
  <si>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</si>
  <si>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</si>
  <si>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</si>
  <si>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</si>
  <si>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</si>
  <si>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</si>
  <si>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</si>
  <si>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</si>
  <si>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</si>
  <si>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</si>
  <si>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</si>
  <si>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</si>
  <si>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</si>
  <si>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</si>
  <si>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</si>
  <si>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</si>
  <si>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</si>
  <si>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</si>
  <si>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</si>
  <si>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</si>
  <si>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</si>
  <si>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평균</t>
    <phoneticPr fontId="2" type="noConversion"/>
  </si>
  <si>
    <t>평균</t>
    <phoneticPr fontId="2" type="noConversion"/>
  </si>
  <si>
    <t>내   용</t>
    <phoneticPr fontId="2" type="noConversion"/>
  </si>
  <si>
    <t>품 번</t>
    <phoneticPr fontId="2" type="noConversion"/>
  </si>
  <si>
    <t>목표</t>
    <phoneticPr fontId="2" type="noConversion"/>
  </si>
  <si>
    <t>품  번</t>
    <phoneticPr fontId="2" type="noConversion"/>
  </si>
  <si>
    <t>15호기</t>
    <phoneticPr fontId="2" type="noConversion"/>
  </si>
  <si>
    <t>고객사</t>
    <phoneticPr fontId="2" type="noConversion"/>
  </si>
  <si>
    <t>순위</t>
    <phoneticPr fontId="2" type="noConversion"/>
  </si>
  <si>
    <t>DI</t>
    <phoneticPr fontId="2" type="noConversion"/>
  </si>
  <si>
    <t>PA46</t>
    <phoneticPr fontId="2" type="noConversion"/>
  </si>
  <si>
    <t>MCS</t>
    <phoneticPr fontId="2" type="noConversion"/>
  </si>
  <si>
    <t>SST</t>
    <phoneticPr fontId="2" type="noConversion"/>
  </si>
  <si>
    <t xml:space="preserve"> 코아파손</t>
    <phoneticPr fontId="2" type="noConversion"/>
  </si>
  <si>
    <t>IC GUIDE</t>
    <phoneticPr fontId="2" type="noConversion"/>
  </si>
  <si>
    <t>AMB07H9A-KAA-R1</t>
    <phoneticPr fontId="2" type="noConversion"/>
  </si>
  <si>
    <t xml:space="preserve"> 미성형,단차</t>
    <phoneticPr fontId="2" type="noConversion"/>
  </si>
  <si>
    <t>38P</t>
    <phoneticPr fontId="2" type="noConversion"/>
  </si>
  <si>
    <t>AM0164A-A</t>
    <phoneticPr fontId="2" type="noConversion"/>
  </si>
  <si>
    <t>자동시 형폐안됨</t>
    <phoneticPr fontId="2" type="noConversion"/>
  </si>
  <si>
    <t>입출력카드교환</t>
    <phoneticPr fontId="2" type="noConversion"/>
  </si>
  <si>
    <t>키트</t>
    <phoneticPr fontId="2" type="noConversion"/>
  </si>
  <si>
    <t>대기중</t>
    <phoneticPr fontId="2" type="noConversion"/>
  </si>
  <si>
    <t>ADAPTER</t>
    <phoneticPr fontId="2" type="noConversion"/>
  </si>
  <si>
    <t>KR6414-GA414QA</t>
    <phoneticPr fontId="2" type="noConversion"/>
  </si>
  <si>
    <t>SLIDER</t>
    <phoneticPr fontId="2" type="noConversion"/>
  </si>
  <si>
    <t xml:space="preserve"> BURR</t>
    <phoneticPr fontId="2" type="noConversion"/>
  </si>
  <si>
    <t>HICON</t>
    <phoneticPr fontId="2" type="noConversion"/>
  </si>
  <si>
    <t>HSB65-M002A1</t>
    <phoneticPr fontId="2" type="noConversion"/>
  </si>
  <si>
    <t>SF2255</t>
    <phoneticPr fontId="2" type="noConversion"/>
  </si>
  <si>
    <t>BODY</t>
    <phoneticPr fontId="2" type="noConversion"/>
  </si>
  <si>
    <t>SST</t>
    <phoneticPr fontId="2" type="noConversion"/>
  </si>
  <si>
    <t>SLIDER</t>
    <phoneticPr fontId="2" type="noConversion"/>
  </si>
  <si>
    <t>KR6156FA841YA</t>
    <phoneticPr fontId="2" type="noConversion"/>
  </si>
  <si>
    <t>ACTUATOR</t>
    <phoneticPr fontId="2" type="noConversion"/>
  </si>
  <si>
    <t>AMB1922A-KAA-R1</t>
    <phoneticPr fontId="2" type="noConversion"/>
  </si>
  <si>
    <t>SGF2030</t>
    <phoneticPr fontId="2" type="noConversion"/>
  </si>
  <si>
    <t>9</t>
    <phoneticPr fontId="2" type="noConversion"/>
  </si>
  <si>
    <t>수리후양산</t>
    <phoneticPr fontId="2" type="noConversion"/>
  </si>
  <si>
    <t>SGF2033</t>
    <phoneticPr fontId="2" type="noConversion"/>
  </si>
  <si>
    <t>SGF2050</t>
    <phoneticPr fontId="2" type="noConversion"/>
  </si>
  <si>
    <t>SGF2041 N/P</t>
    <phoneticPr fontId="2" type="noConversion"/>
  </si>
  <si>
    <t>SGF2030 N/P</t>
    <phoneticPr fontId="2" type="noConversion"/>
  </si>
  <si>
    <t>발주</t>
    <phoneticPr fontId="2" type="noConversion"/>
  </si>
  <si>
    <t>발주분양산</t>
    <phoneticPr fontId="2" type="noConversion"/>
  </si>
  <si>
    <t>HICON</t>
    <phoneticPr fontId="2" type="noConversion"/>
  </si>
  <si>
    <t>수리후양산</t>
    <phoneticPr fontId="2" type="noConversion"/>
  </si>
  <si>
    <t>SLIDER</t>
    <phoneticPr fontId="2" type="noConversion"/>
  </si>
  <si>
    <t>HSA65-M002B1-13A</t>
    <phoneticPr fontId="2" type="noConversion"/>
  </si>
  <si>
    <t>22P(4P)</t>
    <phoneticPr fontId="2" type="noConversion"/>
  </si>
  <si>
    <t>AMB0125A-KAA-R1</t>
    <phoneticPr fontId="2" type="noConversion"/>
  </si>
  <si>
    <t xml:space="preserve"> 하측박힘</t>
    <phoneticPr fontId="2" type="noConversion"/>
  </si>
  <si>
    <t>KR6182-A308WA</t>
    <phoneticPr fontId="2" type="noConversion"/>
  </si>
  <si>
    <t>KR6156DB84CA</t>
    <phoneticPr fontId="2" type="noConversion"/>
  </si>
  <si>
    <t>KR6182-B624CB</t>
    <phoneticPr fontId="2" type="noConversion"/>
  </si>
  <si>
    <t>원재료</t>
    <phoneticPr fontId="2" type="noConversion"/>
  </si>
  <si>
    <t>AMM0863A-KAA-R2</t>
    <phoneticPr fontId="2" type="noConversion"/>
  </si>
  <si>
    <t>GTS</t>
    <phoneticPr fontId="2" type="noConversion"/>
  </si>
  <si>
    <t>STOPPER</t>
    <phoneticPr fontId="2" type="noConversion"/>
  </si>
  <si>
    <t>KR6182-D624PA</t>
    <phoneticPr fontId="2" type="noConversion"/>
  </si>
  <si>
    <t>SGF2041 N/P</t>
    <phoneticPr fontId="2" type="noConversion"/>
  </si>
  <si>
    <t>BOTTOM</t>
    <phoneticPr fontId="2" type="noConversion"/>
  </si>
  <si>
    <t>GTS-004</t>
    <phoneticPr fontId="2" type="noConversion"/>
  </si>
  <si>
    <t>신작</t>
    <phoneticPr fontId="2" type="noConversion"/>
  </si>
  <si>
    <t>11</t>
    <phoneticPr fontId="2" type="noConversion"/>
  </si>
  <si>
    <t>발주분양산</t>
    <phoneticPr fontId="2" type="noConversion"/>
  </si>
  <si>
    <t>AMM0863A-KAA-R2</t>
    <phoneticPr fontId="2" type="noConversion"/>
  </si>
  <si>
    <t>SST</t>
    <phoneticPr fontId="2" type="noConversion"/>
  </si>
  <si>
    <t>13</t>
    <phoneticPr fontId="2" type="noConversion"/>
  </si>
  <si>
    <t>SLIDER</t>
    <phoneticPr fontId="2" type="noConversion"/>
  </si>
  <si>
    <t>KR6182-A308WA</t>
    <phoneticPr fontId="2" type="noConversion"/>
  </si>
  <si>
    <t>OKINS</t>
    <phoneticPr fontId="2" type="noConversion"/>
  </si>
  <si>
    <t>LATCH</t>
    <phoneticPr fontId="2" type="noConversion"/>
  </si>
  <si>
    <t>SAMPLE 진행 사항(01일)</t>
    <phoneticPr fontId="2" type="noConversion"/>
  </si>
  <si>
    <t>LATCH ROLLER</t>
    <phoneticPr fontId="2" type="noConversion"/>
  </si>
  <si>
    <t>KR6304-ER01XX</t>
    <phoneticPr fontId="2" type="noConversion"/>
  </si>
  <si>
    <t>LATCH</t>
    <phoneticPr fontId="2" type="noConversion"/>
  </si>
  <si>
    <t>KR6304-E03XX</t>
    <phoneticPr fontId="2" type="noConversion"/>
  </si>
  <si>
    <t>JD4901</t>
    <phoneticPr fontId="2" type="noConversion"/>
  </si>
  <si>
    <t>금형 수리 내역(01일)</t>
    <phoneticPr fontId="2" type="noConversion"/>
  </si>
  <si>
    <t>설비 점검 내역(01일)</t>
    <phoneticPr fontId="2" type="noConversion"/>
  </si>
  <si>
    <r>
      <t>2017년 11월 01일 일일생산현황</t>
    </r>
    <r>
      <rPr>
        <b/>
        <sz val="14"/>
        <color indexed="8"/>
        <rFont val="굴림체"/>
        <family val="3"/>
        <charset val="129"/>
      </rPr>
      <t>(02일(목) 09시 현재)</t>
    </r>
    <phoneticPr fontId="2" type="noConversion"/>
  </si>
  <si>
    <t>11월 호기별 가동현황</t>
    <phoneticPr fontId="2" type="noConversion"/>
  </si>
  <si>
    <t>OKINS</t>
    <phoneticPr fontId="2" type="noConversion"/>
  </si>
  <si>
    <t>COVER</t>
    <phoneticPr fontId="2" type="noConversion"/>
  </si>
  <si>
    <t>92-178V-CV949A</t>
    <phoneticPr fontId="2" type="noConversion"/>
  </si>
  <si>
    <t>JD4901</t>
    <phoneticPr fontId="2" type="noConversion"/>
  </si>
  <si>
    <t>TOP</t>
    <phoneticPr fontId="2" type="noConversion"/>
  </si>
  <si>
    <t>GTS-003</t>
    <phoneticPr fontId="2" type="noConversion"/>
  </si>
  <si>
    <t>MCS</t>
    <phoneticPr fontId="2" type="noConversion"/>
  </si>
  <si>
    <t>BASE</t>
    <phoneticPr fontId="2" type="noConversion"/>
  </si>
  <si>
    <t>AMM0863A-KAA-R2</t>
    <phoneticPr fontId="2" type="noConversion"/>
  </si>
  <si>
    <t>BLUE</t>
    <phoneticPr fontId="2" type="noConversion"/>
  </si>
  <si>
    <t>OKINS</t>
    <phoneticPr fontId="2" type="noConversion"/>
  </si>
  <si>
    <t>92-178V-LC949B</t>
    <phoneticPr fontId="2" type="noConversion"/>
  </si>
  <si>
    <t>SF2255</t>
    <phoneticPr fontId="2" type="noConversion"/>
  </si>
  <si>
    <t>FLOAT</t>
    <phoneticPr fontId="2" type="noConversion"/>
  </si>
  <si>
    <t>HRCS-00C13</t>
    <phoneticPr fontId="2" type="noConversion"/>
  </si>
  <si>
    <t>전일 ISSUE 사항(01일)</t>
    <phoneticPr fontId="2" type="noConversion"/>
  </si>
  <si>
    <t>OKINS</t>
    <phoneticPr fontId="2" type="noConversion"/>
  </si>
  <si>
    <t>2</t>
    <phoneticPr fontId="2" type="noConversion"/>
  </si>
  <si>
    <t>COVER</t>
    <phoneticPr fontId="2" type="noConversion"/>
  </si>
  <si>
    <t>92-178V-CV949A</t>
    <phoneticPr fontId="2" type="noConversion"/>
  </si>
  <si>
    <t>발주분양산-&gt;설비이상정지</t>
    <phoneticPr fontId="2" type="noConversion"/>
  </si>
  <si>
    <t>수리후양산-&gt;코아파손정지</t>
    <phoneticPr fontId="2" type="noConversion"/>
  </si>
  <si>
    <t>BURR정지</t>
    <phoneticPr fontId="2" type="noConversion"/>
  </si>
  <si>
    <t>HICON</t>
    <phoneticPr fontId="2" type="noConversion"/>
  </si>
  <si>
    <t>12</t>
    <phoneticPr fontId="2" type="noConversion"/>
  </si>
  <si>
    <t>FLOAT</t>
    <phoneticPr fontId="2" type="noConversion"/>
  </si>
  <si>
    <t>HRCS-00C13</t>
    <phoneticPr fontId="2" type="noConversion"/>
  </si>
  <si>
    <t>발주분양산</t>
    <phoneticPr fontId="2" type="noConversion"/>
  </si>
  <si>
    <t>당일 진행 사항(02일)</t>
    <phoneticPr fontId="2" type="noConversion"/>
  </si>
  <si>
    <t>3</t>
    <phoneticPr fontId="2" type="noConversion"/>
  </si>
  <si>
    <t>STOPPER</t>
    <phoneticPr fontId="2" type="noConversion"/>
  </si>
  <si>
    <t>KR6182-D624PA</t>
    <phoneticPr fontId="2" type="noConversion"/>
  </si>
  <si>
    <t>수리후양산</t>
    <phoneticPr fontId="2" type="noConversion"/>
  </si>
  <si>
    <t>11</t>
    <phoneticPr fontId="2" type="noConversion"/>
  </si>
  <si>
    <t>92-178V-BS949C</t>
    <phoneticPr fontId="2" type="noConversion"/>
  </si>
  <si>
    <t>5</t>
    <phoneticPr fontId="2" type="noConversion"/>
  </si>
  <si>
    <t>HSA65-M002B1-13A</t>
    <phoneticPr fontId="2" type="noConversion"/>
  </si>
  <si>
    <t>세척후양산</t>
    <phoneticPr fontId="2" type="noConversion"/>
  </si>
  <si>
    <t>AMB0152A-KAA-R1</t>
    <phoneticPr fontId="2" type="noConversion"/>
  </si>
  <si>
    <t>MCS</t>
    <phoneticPr fontId="2" type="noConversion"/>
  </si>
  <si>
    <t>4</t>
    <phoneticPr fontId="2" type="noConversion"/>
  </si>
  <si>
    <t>SST</t>
    <phoneticPr fontId="2" type="noConversion"/>
  </si>
  <si>
    <t>13</t>
    <phoneticPr fontId="2" type="noConversion"/>
  </si>
  <si>
    <t>SLIDER</t>
    <phoneticPr fontId="2" type="noConversion"/>
  </si>
  <si>
    <t>KR6182-A308WA</t>
    <phoneticPr fontId="2" type="noConversion"/>
  </si>
  <si>
    <t>SST</t>
    <phoneticPr fontId="2" type="noConversion"/>
  </si>
  <si>
    <t>14</t>
    <phoneticPr fontId="2" type="noConversion"/>
  </si>
  <si>
    <t>KR6156DB841CA</t>
    <phoneticPr fontId="2" type="noConversion"/>
  </si>
  <si>
    <t>세척후양산</t>
    <phoneticPr fontId="2" type="noConversion"/>
  </si>
  <si>
    <t>FLOAT</t>
    <phoneticPr fontId="2" type="noConversion"/>
  </si>
  <si>
    <t>HRCS-00C13</t>
    <phoneticPr fontId="2" type="noConversion"/>
  </si>
  <si>
    <t>SGF2030 N/P</t>
    <phoneticPr fontId="2" type="noConversion"/>
  </si>
  <si>
    <t>ADAPTER</t>
    <phoneticPr fontId="2" type="noConversion"/>
  </si>
  <si>
    <t>AMB07P8A-KAA-R1</t>
    <phoneticPr fontId="2" type="noConversion"/>
  </si>
  <si>
    <t>SF2255 I/V</t>
    <phoneticPr fontId="2" type="noConversion"/>
  </si>
  <si>
    <t>수정</t>
    <phoneticPr fontId="2" type="noConversion"/>
  </si>
  <si>
    <r>
      <t>2017년 11월 02일 일일생산현황</t>
    </r>
    <r>
      <rPr>
        <b/>
        <sz val="14"/>
        <color indexed="8"/>
        <rFont val="굴림체"/>
        <family val="3"/>
        <charset val="129"/>
      </rPr>
      <t>(03일(금) 09시 현재)</t>
    </r>
    <phoneticPr fontId="2" type="noConversion"/>
  </si>
  <si>
    <t>BASE</t>
    <phoneticPr fontId="2" type="noConversion"/>
  </si>
  <si>
    <t>AMB0152A-KAA-R1</t>
    <phoneticPr fontId="2" type="noConversion"/>
  </si>
  <si>
    <t>SGF2030</t>
    <phoneticPr fontId="2" type="noConversion"/>
  </si>
  <si>
    <t>92-178V-BS949C</t>
    <phoneticPr fontId="2" type="noConversion"/>
  </si>
  <si>
    <t>30P(4P)</t>
    <phoneticPr fontId="2" type="noConversion"/>
  </si>
  <si>
    <t>전일 ISSUE 사항(02일)</t>
    <phoneticPr fontId="2" type="noConversion"/>
  </si>
  <si>
    <t>11</t>
    <phoneticPr fontId="2" type="noConversion"/>
  </si>
  <si>
    <t>발주분양산</t>
    <phoneticPr fontId="2" type="noConversion"/>
  </si>
  <si>
    <t>MCS</t>
    <phoneticPr fontId="2" type="noConversion"/>
  </si>
  <si>
    <t>수리후양산</t>
    <phoneticPr fontId="2" type="noConversion"/>
  </si>
  <si>
    <t>KR6156DB841CA</t>
    <phoneticPr fontId="2" type="noConversion"/>
  </si>
  <si>
    <t>세척후양산</t>
    <phoneticPr fontId="2" type="noConversion"/>
  </si>
  <si>
    <t>HICON</t>
    <phoneticPr fontId="2" type="noConversion"/>
  </si>
  <si>
    <t>5</t>
    <phoneticPr fontId="2" type="noConversion"/>
  </si>
  <si>
    <t>SLIDER</t>
    <phoneticPr fontId="2" type="noConversion"/>
  </si>
  <si>
    <t>HSA65-M002B1-13A</t>
    <phoneticPr fontId="2" type="noConversion"/>
  </si>
  <si>
    <t>DI</t>
    <phoneticPr fontId="2" type="noConversion"/>
  </si>
  <si>
    <t>15</t>
    <phoneticPr fontId="2" type="noConversion"/>
  </si>
  <si>
    <t>30P</t>
    <phoneticPr fontId="2" type="noConversion"/>
  </si>
  <si>
    <t>발주분양산</t>
    <phoneticPr fontId="2" type="noConversion"/>
  </si>
  <si>
    <t>당일 진행 사항(03일)</t>
    <phoneticPr fontId="2" type="noConversion"/>
  </si>
  <si>
    <t>7</t>
    <phoneticPr fontId="2" type="noConversion"/>
  </si>
  <si>
    <t>KR6182-B624CA</t>
    <phoneticPr fontId="2" type="noConversion"/>
  </si>
  <si>
    <t>세척후양산</t>
    <phoneticPr fontId="2" type="noConversion"/>
  </si>
  <si>
    <t>SLIDER</t>
    <phoneticPr fontId="2" type="noConversion"/>
  </si>
  <si>
    <t>92-178V-SL949B</t>
    <phoneticPr fontId="2" type="noConversion"/>
  </si>
  <si>
    <t>OKINS</t>
    <phoneticPr fontId="2" type="noConversion"/>
  </si>
  <si>
    <t>11</t>
    <phoneticPr fontId="2" type="noConversion"/>
  </si>
  <si>
    <t>발주분양산</t>
    <phoneticPr fontId="2" type="noConversion"/>
  </si>
  <si>
    <t>SAMPLE 진행 사항(02일)</t>
    <phoneticPr fontId="2" type="noConversion"/>
  </si>
  <si>
    <t>GTS</t>
    <phoneticPr fontId="2" type="noConversion"/>
  </si>
  <si>
    <t>GTS-001</t>
    <phoneticPr fontId="2" type="noConversion"/>
  </si>
  <si>
    <t>SGF2030</t>
    <phoneticPr fontId="2" type="noConversion"/>
  </si>
  <si>
    <t>NEXT</t>
    <phoneticPr fontId="2" type="noConversion"/>
  </si>
  <si>
    <t>MIDDLE PLATE</t>
    <phoneticPr fontId="2" type="noConversion"/>
  </si>
  <si>
    <t>RTP</t>
    <phoneticPr fontId="2" type="noConversion"/>
  </si>
  <si>
    <t>K-JR01928-B01XXX</t>
    <phoneticPr fontId="2" type="noConversion"/>
  </si>
  <si>
    <t>SGP2020R</t>
    <phoneticPr fontId="2" type="noConversion"/>
  </si>
  <si>
    <t>수정</t>
    <phoneticPr fontId="2" type="noConversion"/>
  </si>
  <si>
    <t>치수NG 2회진행</t>
    <phoneticPr fontId="2" type="noConversion"/>
  </si>
  <si>
    <t>금형 수리 내역(02일)</t>
    <phoneticPr fontId="2" type="noConversion"/>
  </si>
  <si>
    <t>설비 점검 내역(02일)</t>
    <phoneticPr fontId="2" type="noConversion"/>
  </si>
  <si>
    <r>
      <t>2017년 11월 03일 일일생산현황</t>
    </r>
    <r>
      <rPr>
        <b/>
        <sz val="14"/>
        <color indexed="8"/>
        <rFont val="굴림체"/>
        <family val="3"/>
        <charset val="129"/>
      </rPr>
      <t>(04일(토) 09시 현재)</t>
    </r>
    <phoneticPr fontId="2" type="noConversion"/>
  </si>
  <si>
    <t>GTS</t>
    <phoneticPr fontId="2" type="noConversion"/>
  </si>
  <si>
    <t>BASE</t>
    <phoneticPr fontId="2" type="noConversion"/>
  </si>
  <si>
    <t>GTS-001</t>
    <phoneticPr fontId="2" type="noConversion"/>
  </si>
  <si>
    <t>AMM0849A-KAA-R2</t>
    <phoneticPr fontId="2" type="noConversion"/>
  </si>
  <si>
    <t>PA9T</t>
    <phoneticPr fontId="2" type="noConversion"/>
  </si>
  <si>
    <t>92-178V-SL949B</t>
    <phoneticPr fontId="2" type="noConversion"/>
  </si>
  <si>
    <t>EX08302</t>
    <phoneticPr fontId="2" type="noConversion"/>
  </si>
  <si>
    <t>PLATE</t>
    <phoneticPr fontId="2" type="noConversion"/>
  </si>
  <si>
    <t>HR03A-06A1</t>
    <phoneticPr fontId="2" type="noConversion"/>
  </si>
  <si>
    <t>SGF2030 N/P</t>
    <phoneticPr fontId="2" type="noConversion"/>
  </si>
  <si>
    <t>ADAPTER</t>
    <phoneticPr fontId="2" type="noConversion"/>
  </si>
  <si>
    <t>HT00-M64A5-1</t>
    <phoneticPr fontId="2" type="noConversion"/>
  </si>
  <si>
    <t>전일 ISSUE 사항(03일)</t>
    <phoneticPr fontId="2" type="noConversion"/>
  </si>
  <si>
    <t>SLIDER</t>
    <phoneticPr fontId="2" type="noConversion"/>
  </si>
  <si>
    <t>SST</t>
    <phoneticPr fontId="2" type="noConversion"/>
  </si>
  <si>
    <t>KR6156FA841YA</t>
    <phoneticPr fontId="2" type="noConversion"/>
  </si>
  <si>
    <t>세척후양산</t>
    <phoneticPr fontId="2" type="noConversion"/>
  </si>
  <si>
    <t>밀핀수리후양산</t>
    <phoneticPr fontId="2" type="noConversion"/>
  </si>
  <si>
    <t>7</t>
    <phoneticPr fontId="2" type="noConversion"/>
  </si>
  <si>
    <t>KR6182-B624CB</t>
    <phoneticPr fontId="2" type="noConversion"/>
  </si>
  <si>
    <t>MCS</t>
    <phoneticPr fontId="2" type="noConversion"/>
  </si>
  <si>
    <t>9</t>
    <phoneticPr fontId="2" type="noConversion"/>
  </si>
  <si>
    <t>BASE</t>
    <phoneticPr fontId="2" type="noConversion"/>
  </si>
  <si>
    <t>AMM0849A-KAA-R2</t>
    <phoneticPr fontId="2" type="noConversion"/>
  </si>
  <si>
    <t>발주분양산</t>
    <phoneticPr fontId="2" type="noConversion"/>
  </si>
  <si>
    <t>당일 진행 사항(04일)</t>
    <phoneticPr fontId="2" type="noConversion"/>
  </si>
  <si>
    <t>AMM0850A-KAA-R2</t>
    <phoneticPr fontId="2" type="noConversion"/>
  </si>
  <si>
    <t>STOPPER</t>
    <phoneticPr fontId="2" type="noConversion"/>
  </si>
  <si>
    <t>92-178V-ST949B-2</t>
    <phoneticPr fontId="2" type="noConversion"/>
  </si>
  <si>
    <t>OKINS</t>
    <phoneticPr fontId="2" type="noConversion"/>
  </si>
  <si>
    <t>10</t>
    <phoneticPr fontId="2" type="noConversion"/>
  </si>
  <si>
    <t>ADAPTER</t>
    <phoneticPr fontId="2" type="noConversion"/>
  </si>
  <si>
    <t>92-178V-AD949C</t>
    <phoneticPr fontId="2" type="noConversion"/>
  </si>
  <si>
    <t>1</t>
    <phoneticPr fontId="2" type="noConversion"/>
  </si>
  <si>
    <t>COVER</t>
    <phoneticPr fontId="2" type="noConversion"/>
  </si>
  <si>
    <t>92-178V-CV949A</t>
    <phoneticPr fontId="2" type="noConversion"/>
  </si>
  <si>
    <t>설비수리후양산</t>
    <phoneticPr fontId="2" type="noConversion"/>
  </si>
  <si>
    <t>SAMPLE 진행 사항(03일)</t>
    <phoneticPr fontId="2" type="noConversion"/>
  </si>
  <si>
    <t>SST</t>
    <phoneticPr fontId="2" type="noConversion"/>
  </si>
  <si>
    <t>ADAPTER</t>
    <phoneticPr fontId="2" type="noConversion"/>
  </si>
  <si>
    <t>K-JR01928-G01XXX</t>
    <phoneticPr fontId="2" type="noConversion"/>
  </si>
  <si>
    <t>SGF2030</t>
    <phoneticPr fontId="2" type="noConversion"/>
  </si>
  <si>
    <t>수정</t>
    <phoneticPr fontId="2" type="noConversion"/>
  </si>
  <si>
    <t>MCS</t>
    <phoneticPr fontId="2" type="noConversion"/>
  </si>
  <si>
    <t>AM0211B-K</t>
    <phoneticPr fontId="2" type="noConversion"/>
  </si>
  <si>
    <t>SF2255</t>
    <phoneticPr fontId="2" type="noConversion"/>
  </si>
  <si>
    <t>원재료</t>
    <phoneticPr fontId="2" type="noConversion"/>
  </si>
  <si>
    <t>AM0143A-K</t>
    <phoneticPr fontId="2" type="noConversion"/>
  </si>
  <si>
    <t>SF2255</t>
    <phoneticPr fontId="2" type="noConversion"/>
  </si>
  <si>
    <t>수정</t>
    <phoneticPr fontId="2" type="noConversion"/>
  </si>
  <si>
    <t>치수NG</t>
    <phoneticPr fontId="2" type="noConversion"/>
  </si>
  <si>
    <t>금형 수리 내역(03일)</t>
    <phoneticPr fontId="2" type="noConversion"/>
  </si>
  <si>
    <t>설비 점검 내역(03일)</t>
    <phoneticPr fontId="2" type="noConversion"/>
  </si>
  <si>
    <r>
      <t>2017년 11월 04일 일일생산현황</t>
    </r>
    <r>
      <rPr>
        <b/>
        <sz val="14"/>
        <color indexed="8"/>
        <rFont val="굴림체"/>
        <family val="3"/>
        <charset val="129"/>
      </rPr>
      <t>(05일(일) 09시 현재)</t>
    </r>
    <phoneticPr fontId="2" type="noConversion"/>
  </si>
  <si>
    <t>AMM0850A-KAA-R2</t>
    <phoneticPr fontId="2" type="noConversion"/>
  </si>
  <si>
    <t>OKINS</t>
    <phoneticPr fontId="2" type="noConversion"/>
  </si>
  <si>
    <t>ADAPTER</t>
    <phoneticPr fontId="2" type="noConversion"/>
  </si>
  <si>
    <t>92-178V-AD949C</t>
    <phoneticPr fontId="2" type="noConversion"/>
  </si>
  <si>
    <t>SF2255
I/V</t>
    <phoneticPr fontId="2" type="noConversion"/>
  </si>
  <si>
    <t>STOPPER</t>
    <phoneticPr fontId="2" type="noConversion"/>
  </si>
  <si>
    <t>92-178V-ST949B-2</t>
    <phoneticPr fontId="2" type="noConversion"/>
  </si>
  <si>
    <t>SF2255</t>
    <phoneticPr fontId="2" type="noConversion"/>
  </si>
  <si>
    <t>전일 ISSUE 사항(04일)</t>
    <phoneticPr fontId="2" type="noConversion"/>
  </si>
  <si>
    <t>STOPPER</t>
    <phoneticPr fontId="2" type="noConversion"/>
  </si>
  <si>
    <t>OKINS</t>
    <phoneticPr fontId="2" type="noConversion"/>
  </si>
  <si>
    <t>1</t>
    <phoneticPr fontId="2" type="noConversion"/>
  </si>
  <si>
    <t>COVER</t>
    <phoneticPr fontId="2" type="noConversion"/>
  </si>
  <si>
    <t>92-178V-CV949A</t>
    <phoneticPr fontId="2" type="noConversion"/>
  </si>
  <si>
    <t>설비수리후양산-&gt;실린더이상정지</t>
    <phoneticPr fontId="2" type="noConversion"/>
  </si>
  <si>
    <t>14</t>
    <phoneticPr fontId="2" type="noConversion"/>
  </si>
  <si>
    <t>KR6156DB841CA</t>
    <phoneticPr fontId="2" type="noConversion"/>
  </si>
  <si>
    <t>상코아세척후양산</t>
    <phoneticPr fontId="2" type="noConversion"/>
  </si>
  <si>
    <t>3</t>
    <phoneticPr fontId="2" type="noConversion"/>
  </si>
  <si>
    <t>KR6182-D624PA</t>
    <phoneticPr fontId="2" type="noConversion"/>
  </si>
  <si>
    <t>코아파손2회수리</t>
    <phoneticPr fontId="2" type="noConversion"/>
  </si>
  <si>
    <t>당일 진행 사항(05일)</t>
    <phoneticPr fontId="2" type="noConversion"/>
  </si>
  <si>
    <t>AMM0863A-KAA-R2</t>
    <phoneticPr fontId="2" type="noConversion"/>
  </si>
  <si>
    <t>92-178V-SL949B</t>
    <phoneticPr fontId="2" type="noConversion"/>
  </si>
  <si>
    <t>LEAD GUIDE</t>
    <phoneticPr fontId="2" type="noConversion"/>
  </si>
  <si>
    <t>12</t>
    <phoneticPr fontId="2" type="noConversion"/>
  </si>
  <si>
    <t>AMB07H9A-KAA-R1</t>
    <phoneticPr fontId="2" type="noConversion"/>
  </si>
  <si>
    <t>8</t>
    <phoneticPr fontId="2" type="noConversion"/>
  </si>
  <si>
    <t>AM0607N-J</t>
    <phoneticPr fontId="2" type="noConversion"/>
  </si>
  <si>
    <t>발주분양산</t>
    <phoneticPr fontId="2" type="noConversion"/>
  </si>
  <si>
    <t>HICON</t>
    <phoneticPr fontId="2" type="noConversion"/>
  </si>
  <si>
    <t>6</t>
    <phoneticPr fontId="2" type="noConversion"/>
  </si>
  <si>
    <t>SLIDER</t>
    <phoneticPr fontId="2" type="noConversion"/>
  </si>
  <si>
    <t>HSB75-M01A2</t>
    <phoneticPr fontId="2" type="noConversion"/>
  </si>
  <si>
    <t>SAMPLE 진행 사항(04일)</t>
    <phoneticPr fontId="2" type="noConversion"/>
  </si>
  <si>
    <t>LATCH</t>
    <phoneticPr fontId="2" type="noConversion"/>
  </si>
  <si>
    <t>KR6304-E03TA</t>
    <phoneticPr fontId="2" type="noConversion"/>
  </si>
  <si>
    <t>JD4901</t>
    <phoneticPr fontId="2" type="noConversion"/>
  </si>
  <si>
    <t>수정</t>
    <phoneticPr fontId="2" type="noConversion"/>
  </si>
  <si>
    <t>BODY</t>
    <phoneticPr fontId="2" type="noConversion"/>
  </si>
  <si>
    <t>AM0148A-K-R2</t>
    <phoneticPr fontId="2" type="noConversion"/>
  </si>
  <si>
    <t>금형노즐이상</t>
    <phoneticPr fontId="2" type="noConversion"/>
  </si>
  <si>
    <t>금형 수리 내역(04일)</t>
    <phoneticPr fontId="2" type="noConversion"/>
  </si>
  <si>
    <t>설비 점검 내역(04일)</t>
    <phoneticPr fontId="2" type="noConversion"/>
  </si>
  <si>
    <t>콘덴서 교환</t>
    <phoneticPr fontId="2" type="noConversion"/>
  </si>
  <si>
    <r>
      <t>2017년 11월 05일(주간) 일일생산현황</t>
    </r>
    <r>
      <rPr>
        <b/>
        <sz val="14"/>
        <color indexed="8"/>
        <rFont val="굴림체"/>
        <family val="3"/>
        <charset val="129"/>
      </rPr>
      <t>(06일(월) 09시 현재)</t>
    </r>
    <phoneticPr fontId="2" type="noConversion"/>
  </si>
  <si>
    <t>HICON</t>
    <phoneticPr fontId="2" type="noConversion"/>
  </si>
  <si>
    <t>SLIDER</t>
    <phoneticPr fontId="2" type="noConversion"/>
  </si>
  <si>
    <t>HSB75-M01A2</t>
    <phoneticPr fontId="2" type="noConversion"/>
  </si>
  <si>
    <t>MCS</t>
    <phoneticPr fontId="2" type="noConversion"/>
  </si>
  <si>
    <t>AM0607N-J</t>
    <phoneticPr fontId="2" type="noConversion"/>
  </si>
  <si>
    <t>7301(미)</t>
    <phoneticPr fontId="2" type="noConversion"/>
  </si>
  <si>
    <t>AMM0863A-KAA-R2</t>
    <phoneticPr fontId="2" type="noConversion"/>
  </si>
  <si>
    <t>BLUE</t>
    <phoneticPr fontId="2" type="noConversion"/>
  </si>
  <si>
    <t>LEAD GUIDE</t>
    <phoneticPr fontId="2" type="noConversion"/>
  </si>
  <si>
    <t>92-178V-LG949C</t>
    <phoneticPr fontId="2" type="noConversion"/>
  </si>
  <si>
    <t>IC GUIDE</t>
    <phoneticPr fontId="2" type="noConversion"/>
  </si>
  <si>
    <t>AMB07H9A-KAA-R1</t>
    <phoneticPr fontId="2" type="noConversion"/>
  </si>
  <si>
    <t>전일 ISSUE 사항(05일)</t>
    <phoneticPr fontId="2" type="noConversion"/>
  </si>
  <si>
    <t>LEAD GUIDE</t>
    <phoneticPr fontId="2" type="noConversion"/>
  </si>
  <si>
    <t>92-178V-LG949C</t>
    <phoneticPr fontId="2" type="noConversion"/>
  </si>
  <si>
    <t>발주분양산-&gt;밀핀파손2회수리</t>
    <phoneticPr fontId="2" type="noConversion"/>
  </si>
  <si>
    <t>수리후양산</t>
    <phoneticPr fontId="2" type="noConversion"/>
  </si>
  <si>
    <t>HICON</t>
    <phoneticPr fontId="2" type="noConversion"/>
  </si>
  <si>
    <t>6</t>
    <phoneticPr fontId="2" type="noConversion"/>
  </si>
  <si>
    <t>SLIDER</t>
    <phoneticPr fontId="2" type="noConversion"/>
  </si>
  <si>
    <t>발주분양산</t>
    <phoneticPr fontId="2" type="noConversion"/>
  </si>
  <si>
    <t>8</t>
    <phoneticPr fontId="2" type="noConversion"/>
  </si>
  <si>
    <t>12</t>
    <phoneticPr fontId="2" type="noConversion"/>
  </si>
  <si>
    <t>IC GUIDE</t>
    <phoneticPr fontId="2" type="noConversion"/>
  </si>
  <si>
    <t>AMB07H9A-KAA-R1</t>
    <phoneticPr fontId="2" type="noConversion"/>
  </si>
  <si>
    <t>당일 진행 사항(06일)</t>
    <phoneticPr fontId="2" type="noConversion"/>
  </si>
  <si>
    <t>2</t>
    <phoneticPr fontId="2" type="noConversion"/>
  </si>
  <si>
    <t>COVER</t>
    <phoneticPr fontId="2" type="noConversion"/>
  </si>
  <si>
    <t>92-178V-CV949A</t>
    <phoneticPr fontId="2" type="noConversion"/>
  </si>
  <si>
    <t>설비수리후양산</t>
    <phoneticPr fontId="2" type="noConversion"/>
  </si>
  <si>
    <t>10</t>
    <phoneticPr fontId="2" type="noConversion"/>
  </si>
  <si>
    <t>SAM</t>
    <phoneticPr fontId="2" type="noConversion"/>
  </si>
  <si>
    <t>AM0610B-J</t>
    <phoneticPr fontId="2" type="noConversion"/>
  </si>
  <si>
    <t>BODY</t>
    <phoneticPr fontId="2" type="noConversion"/>
  </si>
  <si>
    <t>AM0149A-K</t>
    <phoneticPr fontId="2" type="noConversion"/>
  </si>
  <si>
    <t>14</t>
    <phoneticPr fontId="2" type="noConversion"/>
  </si>
  <si>
    <t>BASE</t>
    <phoneticPr fontId="2" type="noConversion"/>
  </si>
  <si>
    <t>HSB75-M01A1</t>
    <phoneticPr fontId="2" type="noConversion"/>
  </si>
  <si>
    <t>SST</t>
    <phoneticPr fontId="2" type="noConversion"/>
  </si>
  <si>
    <t>7</t>
    <phoneticPr fontId="2" type="noConversion"/>
  </si>
  <si>
    <t>KR6182-B624CB</t>
    <phoneticPr fontId="2" type="noConversion"/>
  </si>
  <si>
    <t>세척후양산</t>
    <phoneticPr fontId="2" type="noConversion"/>
  </si>
  <si>
    <t>SAMPLE 진행 사항(05일)</t>
    <phoneticPr fontId="2" type="noConversion"/>
  </si>
  <si>
    <t>금형 수리 내역(05일)</t>
    <phoneticPr fontId="2" type="noConversion"/>
  </si>
  <si>
    <t>설비 점검 내역(05일)</t>
    <phoneticPr fontId="2" type="noConversion"/>
  </si>
  <si>
    <r>
      <t>2017년 11월 06일 일일생산현황</t>
    </r>
    <r>
      <rPr>
        <b/>
        <sz val="14"/>
        <color indexed="8"/>
        <rFont val="굴림체"/>
        <family val="3"/>
        <charset val="129"/>
      </rPr>
      <t>(07일(화) 09시 현재)</t>
    </r>
    <phoneticPr fontId="2" type="noConversion"/>
  </si>
  <si>
    <t>GTS</t>
    <phoneticPr fontId="2" type="noConversion"/>
  </si>
  <si>
    <t>GTS-002</t>
    <phoneticPr fontId="2" type="noConversion"/>
  </si>
  <si>
    <t>SGF2041</t>
    <phoneticPr fontId="2" type="noConversion"/>
  </si>
  <si>
    <t>MCS</t>
    <phoneticPr fontId="2" type="noConversion"/>
  </si>
  <si>
    <t>SAM</t>
    <phoneticPr fontId="2" type="noConversion"/>
  </si>
  <si>
    <t>AM0610B-J</t>
    <phoneticPr fontId="2" type="noConversion"/>
  </si>
  <si>
    <t>GTS</t>
    <phoneticPr fontId="2" type="noConversion"/>
  </si>
  <si>
    <t>BASE</t>
    <phoneticPr fontId="2" type="noConversion"/>
  </si>
  <si>
    <t>GTS-001</t>
    <phoneticPr fontId="2" type="noConversion"/>
  </si>
  <si>
    <t>SGF2030</t>
    <phoneticPr fontId="2" type="noConversion"/>
  </si>
  <si>
    <t>HICON</t>
    <phoneticPr fontId="2" type="noConversion"/>
  </si>
  <si>
    <t>HSB75-M01A1</t>
    <phoneticPr fontId="2" type="noConversion"/>
  </si>
  <si>
    <t>SGF2041</t>
    <phoneticPr fontId="2" type="noConversion"/>
  </si>
  <si>
    <t>BODY</t>
    <phoneticPr fontId="2" type="noConversion"/>
  </si>
  <si>
    <t>AM0149A-K</t>
    <phoneticPr fontId="2" type="noConversion"/>
  </si>
  <si>
    <t>전일 ISSUE 사항(06일)</t>
    <phoneticPr fontId="2" type="noConversion"/>
  </si>
  <si>
    <t>GTS</t>
    <phoneticPr fontId="2" type="noConversion"/>
  </si>
  <si>
    <t>9</t>
    <phoneticPr fontId="2" type="noConversion"/>
  </si>
  <si>
    <t>COVER</t>
    <phoneticPr fontId="2" type="noConversion"/>
  </si>
  <si>
    <t>발주분양산</t>
    <phoneticPr fontId="2" type="noConversion"/>
  </si>
  <si>
    <t>11</t>
    <phoneticPr fontId="2" type="noConversion"/>
  </si>
  <si>
    <t>14</t>
    <phoneticPr fontId="2" type="noConversion"/>
  </si>
  <si>
    <t>발주분양산-&gt;치수NG정지</t>
    <phoneticPr fontId="2" type="noConversion"/>
  </si>
  <si>
    <t>SST</t>
    <phoneticPr fontId="2" type="noConversion"/>
  </si>
  <si>
    <t>7</t>
    <phoneticPr fontId="2" type="noConversion"/>
  </si>
  <si>
    <t>BASE</t>
    <phoneticPr fontId="2" type="noConversion"/>
  </si>
  <si>
    <t>KR6182-B624CB</t>
    <phoneticPr fontId="2" type="noConversion"/>
  </si>
  <si>
    <t>세척후양산</t>
    <phoneticPr fontId="2" type="noConversion"/>
  </si>
  <si>
    <t>10</t>
    <phoneticPr fontId="2" type="noConversion"/>
  </si>
  <si>
    <t>SAM</t>
    <phoneticPr fontId="2" type="noConversion"/>
  </si>
  <si>
    <t>AM0160B-J</t>
    <phoneticPr fontId="2" type="noConversion"/>
  </si>
  <si>
    <t>당일 진행 사항(07일)</t>
    <phoneticPr fontId="2" type="noConversion"/>
  </si>
  <si>
    <t>5</t>
    <phoneticPr fontId="2" type="noConversion"/>
  </si>
  <si>
    <t>BOTTOM</t>
    <phoneticPr fontId="2" type="noConversion"/>
  </si>
  <si>
    <t>GTS-004</t>
    <phoneticPr fontId="2" type="noConversion"/>
  </si>
  <si>
    <t>수리후양산</t>
    <phoneticPr fontId="2" type="noConversion"/>
  </si>
  <si>
    <t>SST</t>
    <phoneticPr fontId="2" type="noConversion"/>
  </si>
  <si>
    <t>4</t>
    <phoneticPr fontId="2" type="noConversion"/>
  </si>
  <si>
    <t>SLIDER</t>
    <phoneticPr fontId="2" type="noConversion"/>
  </si>
  <si>
    <t>KR6156FA841YA</t>
    <phoneticPr fontId="2" type="noConversion"/>
  </si>
  <si>
    <t>13</t>
    <phoneticPr fontId="2" type="noConversion"/>
  </si>
  <si>
    <t>SLIDER</t>
    <phoneticPr fontId="2" type="noConversion"/>
  </si>
  <si>
    <t>KR6182-A308WA</t>
    <phoneticPr fontId="2" type="noConversion"/>
  </si>
  <si>
    <t>SAMPLE 진행 사항(06일)</t>
    <phoneticPr fontId="2" type="noConversion"/>
  </si>
  <si>
    <t>금형 수리 내역(06일)</t>
    <phoneticPr fontId="2" type="noConversion"/>
  </si>
  <si>
    <t>설비 점검 내역(06일)</t>
    <phoneticPr fontId="2" type="noConversion"/>
  </si>
  <si>
    <r>
      <t>2017년 11월 07일 일일생산현황</t>
    </r>
    <r>
      <rPr>
        <b/>
        <sz val="14"/>
        <color indexed="8"/>
        <rFont val="굴림체"/>
        <family val="3"/>
        <charset val="129"/>
      </rPr>
      <t>(08일(수) 09시 현재)</t>
    </r>
    <phoneticPr fontId="2" type="noConversion"/>
  </si>
  <si>
    <t>ADAPTER</t>
    <phoneticPr fontId="2" type="noConversion"/>
  </si>
  <si>
    <t>K-JR01911-G01HBB</t>
    <phoneticPr fontId="2" type="noConversion"/>
  </si>
  <si>
    <t>BASE</t>
    <phoneticPr fontId="2" type="noConversion"/>
  </si>
  <si>
    <t>K-JR01911-B432AWA</t>
    <phoneticPr fontId="2" type="noConversion"/>
  </si>
  <si>
    <t>SGF2033</t>
    <phoneticPr fontId="2" type="noConversion"/>
  </si>
  <si>
    <t>전일 ISSUE 사항(07일)</t>
    <phoneticPr fontId="2" type="noConversion"/>
  </si>
  <si>
    <t>SST</t>
    <phoneticPr fontId="2" type="noConversion"/>
  </si>
  <si>
    <t>8</t>
    <phoneticPr fontId="2" type="noConversion"/>
  </si>
  <si>
    <t>K-JR01911-B432AWA</t>
    <phoneticPr fontId="2" type="noConversion"/>
  </si>
  <si>
    <t>설비이상정지</t>
    <phoneticPr fontId="2" type="noConversion"/>
  </si>
  <si>
    <t>4</t>
    <phoneticPr fontId="2" type="noConversion"/>
  </si>
  <si>
    <t>SLIDER</t>
    <phoneticPr fontId="2" type="noConversion"/>
  </si>
  <si>
    <t>KR6156FA841YA</t>
    <phoneticPr fontId="2" type="noConversion"/>
  </si>
  <si>
    <t>세척후양산-&gt;코아파손수리</t>
    <phoneticPr fontId="2" type="noConversion"/>
  </si>
  <si>
    <t>OKINS</t>
    <phoneticPr fontId="2" type="noConversion"/>
  </si>
  <si>
    <t>2</t>
    <phoneticPr fontId="2" type="noConversion"/>
  </si>
  <si>
    <t>COVER</t>
    <phoneticPr fontId="2" type="noConversion"/>
  </si>
  <si>
    <t>92-178V-CV949A</t>
    <phoneticPr fontId="2" type="noConversion"/>
  </si>
  <si>
    <t>설비수리후양산</t>
    <phoneticPr fontId="2" type="noConversion"/>
  </si>
  <si>
    <t>당일 진행 사항(08일)</t>
    <phoneticPr fontId="2" type="noConversion"/>
  </si>
  <si>
    <t>K-JR01911-F432AWA</t>
    <phoneticPr fontId="2" type="noConversion"/>
  </si>
  <si>
    <t>발주분양산</t>
    <phoneticPr fontId="2" type="noConversion"/>
  </si>
  <si>
    <t>STOPPER</t>
    <phoneticPr fontId="2" type="noConversion"/>
  </si>
  <si>
    <t>K-JR01911-D432AZA</t>
    <phoneticPr fontId="2" type="noConversion"/>
  </si>
  <si>
    <t>HR366-03C15</t>
    <phoneticPr fontId="2" type="noConversion"/>
  </si>
  <si>
    <t>2</t>
    <phoneticPr fontId="2" type="noConversion"/>
  </si>
  <si>
    <t>LID</t>
    <phoneticPr fontId="2" type="noConversion"/>
  </si>
  <si>
    <t>승인후양산</t>
    <phoneticPr fontId="2" type="noConversion"/>
  </si>
  <si>
    <t>KR6182-B624CB</t>
    <phoneticPr fontId="2" type="noConversion"/>
  </si>
  <si>
    <t>7</t>
    <phoneticPr fontId="2" type="noConversion"/>
  </si>
  <si>
    <t>설비수리후양산</t>
    <phoneticPr fontId="2" type="noConversion"/>
  </si>
  <si>
    <t>HSB75-M01A4</t>
    <phoneticPr fontId="2" type="noConversion"/>
  </si>
  <si>
    <t>STOPPER</t>
    <phoneticPr fontId="2" type="noConversion"/>
  </si>
  <si>
    <t>SAMPLE 진행 사항(07일)</t>
    <phoneticPr fontId="2" type="noConversion"/>
  </si>
  <si>
    <t>LATCH,ROLLER</t>
    <phoneticPr fontId="2" type="noConversion"/>
  </si>
  <si>
    <t>KR6304-E03TA/ER01TA</t>
    <phoneticPr fontId="2" type="noConversion"/>
  </si>
  <si>
    <t>JD4901</t>
    <phoneticPr fontId="2" type="noConversion"/>
  </si>
  <si>
    <t>요청</t>
    <phoneticPr fontId="2" type="noConversion"/>
  </si>
  <si>
    <t>ACTUATOR</t>
    <phoneticPr fontId="2" type="noConversion"/>
  </si>
  <si>
    <t>AMB1919A-KAA-R1</t>
    <phoneticPr fontId="2" type="noConversion"/>
  </si>
  <si>
    <t>SGF2050 N/P</t>
    <phoneticPr fontId="2" type="noConversion"/>
  </si>
  <si>
    <t>수정</t>
    <phoneticPr fontId="2" type="noConversion"/>
  </si>
  <si>
    <t>금형 수리 내역(07일)</t>
    <phoneticPr fontId="2" type="noConversion"/>
  </si>
  <si>
    <t>설비 점검 내역(07일)</t>
    <phoneticPr fontId="2" type="noConversion"/>
  </si>
  <si>
    <r>
      <t>2017년 11월 08일 일일생산현황</t>
    </r>
    <r>
      <rPr>
        <b/>
        <sz val="14"/>
        <color indexed="8"/>
        <rFont val="굴림체"/>
        <family val="3"/>
        <charset val="129"/>
      </rPr>
      <t>(09일(목) 09시 현재)</t>
    </r>
    <phoneticPr fontId="2" type="noConversion"/>
  </si>
  <si>
    <t>LID/BASE</t>
    <phoneticPr fontId="2" type="noConversion"/>
  </si>
  <si>
    <t>HR366-03C15/HRCS-00C14</t>
    <phoneticPr fontId="2" type="noConversion"/>
  </si>
  <si>
    <t>7301</t>
    <phoneticPr fontId="2" type="noConversion"/>
  </si>
  <si>
    <t>2*1</t>
    <phoneticPr fontId="2" type="noConversion"/>
  </si>
  <si>
    <t>K-JR01911-D432AZA</t>
    <phoneticPr fontId="2" type="noConversion"/>
  </si>
  <si>
    <t>SGP2020R</t>
    <phoneticPr fontId="2" type="noConversion"/>
  </si>
  <si>
    <t>STOPPER</t>
    <phoneticPr fontId="2" type="noConversion"/>
  </si>
  <si>
    <t>LEAD GUIDE</t>
    <phoneticPr fontId="2" type="noConversion"/>
  </si>
  <si>
    <t>K-JR01911-F432AWA</t>
    <phoneticPr fontId="2" type="noConversion"/>
  </si>
  <si>
    <t>SGF2030</t>
    <phoneticPr fontId="2" type="noConversion"/>
  </si>
  <si>
    <t>HSB75-M01A4</t>
    <phoneticPr fontId="2" type="noConversion"/>
  </si>
  <si>
    <t>SGF2030</t>
    <phoneticPr fontId="2" type="noConversion"/>
  </si>
  <si>
    <t>전일 ISSUE 사항(08일)</t>
    <phoneticPr fontId="2" type="noConversion"/>
  </si>
  <si>
    <t>STOPPER</t>
    <phoneticPr fontId="2" type="noConversion"/>
  </si>
  <si>
    <t>K-JR01911-D432AZA</t>
    <phoneticPr fontId="2" type="noConversion"/>
  </si>
  <si>
    <t>LEAD GUIDE</t>
    <phoneticPr fontId="2" type="noConversion"/>
  </si>
  <si>
    <t>K-JR01911-F432AWA</t>
    <phoneticPr fontId="2" type="noConversion"/>
  </si>
  <si>
    <t>수리후양산-&gt;상측뜯김정지</t>
    <phoneticPr fontId="2" type="noConversion"/>
  </si>
  <si>
    <t>HICON</t>
    <phoneticPr fontId="2" type="noConversion"/>
  </si>
  <si>
    <t>2</t>
    <phoneticPr fontId="2" type="noConversion"/>
  </si>
  <si>
    <t>LID</t>
    <phoneticPr fontId="2" type="noConversion"/>
  </si>
  <si>
    <t>HR366-03C15</t>
    <phoneticPr fontId="2" type="noConversion"/>
  </si>
  <si>
    <t>승인후양산</t>
    <phoneticPr fontId="2" type="noConversion"/>
  </si>
  <si>
    <t>당일 진행 사항(09일)</t>
    <phoneticPr fontId="2" type="noConversion"/>
  </si>
  <si>
    <t>MCS</t>
    <phoneticPr fontId="2" type="noConversion"/>
  </si>
  <si>
    <t>BODY</t>
    <phoneticPr fontId="2" type="noConversion"/>
  </si>
  <si>
    <t>AM0149A-K</t>
    <phoneticPr fontId="2" type="noConversion"/>
  </si>
  <si>
    <t>14</t>
    <phoneticPr fontId="2" type="noConversion"/>
  </si>
  <si>
    <t>SLIDER</t>
    <phoneticPr fontId="2" type="noConversion"/>
  </si>
  <si>
    <t>K-JR01911-A432AWA</t>
    <phoneticPr fontId="2" type="noConversion"/>
  </si>
  <si>
    <t>COVER</t>
    <phoneticPr fontId="2" type="noConversion"/>
  </si>
  <si>
    <t>KR6414-C414TA</t>
    <phoneticPr fontId="2" type="noConversion"/>
  </si>
  <si>
    <t>발주분양산</t>
    <phoneticPr fontId="2" type="noConversion"/>
  </si>
  <si>
    <t>수리후양산</t>
    <phoneticPr fontId="2" type="noConversion"/>
  </si>
  <si>
    <t>SAMPLE 진행 사항(08일)</t>
    <phoneticPr fontId="2" type="noConversion"/>
  </si>
  <si>
    <t>ODT</t>
    <phoneticPr fontId="2" type="noConversion"/>
  </si>
  <si>
    <t>LED A</t>
    <phoneticPr fontId="2" type="noConversion"/>
  </si>
  <si>
    <t>SW-003071</t>
    <phoneticPr fontId="2" type="noConversion"/>
  </si>
  <si>
    <t>LEN2211 N/P</t>
    <phoneticPr fontId="2" type="noConversion"/>
  </si>
  <si>
    <t>신작</t>
    <phoneticPr fontId="2" type="noConversion"/>
  </si>
  <si>
    <t>수축NG</t>
    <phoneticPr fontId="2" type="noConversion"/>
  </si>
  <si>
    <t>금형 수리 내역(08일)</t>
    <phoneticPr fontId="2" type="noConversion"/>
  </si>
  <si>
    <t>설비 점검 내역(08일)</t>
    <phoneticPr fontId="2" type="noConversion"/>
  </si>
  <si>
    <r>
      <t>2017년 11월 09일 일일생산현황</t>
    </r>
    <r>
      <rPr>
        <b/>
        <sz val="14"/>
        <color indexed="8"/>
        <rFont val="굴림체"/>
        <family val="3"/>
        <charset val="129"/>
      </rPr>
      <t>(10일(금) 09시 현재)</t>
    </r>
    <phoneticPr fontId="2" type="noConversion"/>
  </si>
  <si>
    <t>KR6414-C414TA</t>
    <phoneticPr fontId="2" type="noConversion"/>
  </si>
  <si>
    <t>스테츠</t>
    <phoneticPr fontId="2" type="noConversion"/>
  </si>
  <si>
    <t>LID</t>
    <phoneticPr fontId="2" type="noConversion"/>
  </si>
  <si>
    <t>LID-0084</t>
    <phoneticPr fontId="2" type="noConversion"/>
  </si>
  <si>
    <t>S475 N/P</t>
    <phoneticPr fontId="2" type="noConversion"/>
  </si>
  <si>
    <t>BODY</t>
    <phoneticPr fontId="2" type="noConversion"/>
  </si>
  <si>
    <t>AM0149A-K</t>
    <phoneticPr fontId="2" type="noConversion"/>
  </si>
  <si>
    <t>BODY</t>
    <phoneticPr fontId="2" type="noConversion"/>
  </si>
  <si>
    <t>AM0148B-K-R2</t>
    <phoneticPr fontId="2" type="noConversion"/>
  </si>
  <si>
    <t>SST</t>
    <phoneticPr fontId="2" type="noConversion"/>
  </si>
  <si>
    <t>SLIDER</t>
    <phoneticPr fontId="2" type="noConversion"/>
  </si>
  <si>
    <t>K-JR01911-A432AWA</t>
    <phoneticPr fontId="2" type="noConversion"/>
  </si>
  <si>
    <t>전일 ISSUE 사항(09일)</t>
    <phoneticPr fontId="2" type="noConversion"/>
  </si>
  <si>
    <t>SLIDER</t>
    <phoneticPr fontId="2" type="noConversion"/>
  </si>
  <si>
    <t>K-JR01911-A432AWA</t>
    <phoneticPr fontId="2" type="noConversion"/>
  </si>
  <si>
    <t>MCS</t>
    <phoneticPr fontId="2" type="noConversion"/>
  </si>
  <si>
    <t>BODY</t>
    <phoneticPr fontId="2" type="noConversion"/>
  </si>
  <si>
    <t>AM0149A-K</t>
    <phoneticPr fontId="2" type="noConversion"/>
  </si>
  <si>
    <t>수리후양산</t>
    <phoneticPr fontId="2" type="noConversion"/>
  </si>
  <si>
    <t>SST</t>
    <phoneticPr fontId="2" type="noConversion"/>
  </si>
  <si>
    <t>COVER</t>
    <phoneticPr fontId="2" type="noConversion"/>
  </si>
  <si>
    <t>KR6414-C414TA</t>
    <phoneticPr fontId="2" type="noConversion"/>
  </si>
  <si>
    <t>발주분양산</t>
    <phoneticPr fontId="2" type="noConversion"/>
  </si>
  <si>
    <t>LID</t>
    <phoneticPr fontId="2" type="noConversion"/>
  </si>
  <si>
    <t>LID-0084</t>
    <phoneticPr fontId="2" type="noConversion"/>
  </si>
  <si>
    <t>10</t>
    <phoneticPr fontId="2" type="noConversion"/>
  </si>
  <si>
    <t>SAM</t>
    <phoneticPr fontId="2" type="noConversion"/>
  </si>
  <si>
    <t>AM0610B-J</t>
    <phoneticPr fontId="2" type="noConversion"/>
  </si>
  <si>
    <t>세척후양산</t>
    <phoneticPr fontId="2" type="noConversion"/>
  </si>
  <si>
    <t>11</t>
    <phoneticPr fontId="2" type="noConversion"/>
  </si>
  <si>
    <t>당일 진행 사항(10일)</t>
    <phoneticPr fontId="2" type="noConversion"/>
  </si>
  <si>
    <t>KR6197EA841YA</t>
    <phoneticPr fontId="2" type="noConversion"/>
  </si>
  <si>
    <t>BASE</t>
    <phoneticPr fontId="2" type="noConversion"/>
  </si>
  <si>
    <t>KR6197AB841CA</t>
    <phoneticPr fontId="2" type="noConversion"/>
  </si>
  <si>
    <t>HSB75-M01A3</t>
    <phoneticPr fontId="2" type="noConversion"/>
  </si>
  <si>
    <t>12</t>
    <phoneticPr fontId="2" type="noConversion"/>
  </si>
  <si>
    <t>SAMPLE 진행 사항(09일)</t>
    <phoneticPr fontId="2" type="noConversion"/>
  </si>
  <si>
    <t>LED B</t>
    <phoneticPr fontId="2" type="noConversion"/>
  </si>
  <si>
    <t>SW-003074</t>
    <phoneticPr fontId="2" type="noConversion"/>
  </si>
  <si>
    <t>LID</t>
    <phoneticPr fontId="2" type="noConversion"/>
  </si>
  <si>
    <t>LCP N/P</t>
    <phoneticPr fontId="2" type="noConversion"/>
  </si>
  <si>
    <t>원재료</t>
    <phoneticPr fontId="2" type="noConversion"/>
  </si>
  <si>
    <t>LATCH</t>
    <phoneticPr fontId="2" type="noConversion"/>
  </si>
  <si>
    <t>KR6304-E03TA</t>
    <phoneticPr fontId="2" type="noConversion"/>
  </si>
  <si>
    <t>JD4901</t>
    <phoneticPr fontId="2" type="noConversion"/>
  </si>
  <si>
    <t>수정</t>
    <phoneticPr fontId="2" type="noConversion"/>
  </si>
  <si>
    <t>금형 수리 내역(09일)</t>
    <phoneticPr fontId="2" type="noConversion"/>
  </si>
  <si>
    <t>설비 점검 내역(09일)</t>
    <phoneticPr fontId="2" type="noConversion"/>
  </si>
  <si>
    <r>
      <t>2017년 11월 10일 일일생산현황</t>
    </r>
    <r>
      <rPr>
        <b/>
        <sz val="14"/>
        <color indexed="8"/>
        <rFont val="굴림체"/>
        <family val="3"/>
        <charset val="129"/>
      </rPr>
      <t>(11일(토) 09시 현재)</t>
    </r>
    <phoneticPr fontId="2" type="noConversion"/>
  </si>
  <si>
    <t>KR6197EA293YA</t>
    <phoneticPr fontId="2" type="noConversion"/>
  </si>
  <si>
    <t>COVER</t>
    <phoneticPr fontId="2" type="noConversion"/>
  </si>
  <si>
    <t>HSB75-M01A3</t>
    <phoneticPr fontId="2" type="noConversion"/>
  </si>
  <si>
    <t>RTP</t>
    <phoneticPr fontId="2" type="noConversion"/>
  </si>
  <si>
    <t>BASE</t>
    <phoneticPr fontId="2" type="noConversion"/>
  </si>
  <si>
    <t>KR6197AB841CA</t>
    <phoneticPr fontId="2" type="noConversion"/>
  </si>
  <si>
    <t>SGF2033</t>
    <phoneticPr fontId="2" type="noConversion"/>
  </si>
  <si>
    <t>전일 ISSUE 사항(10일)</t>
    <phoneticPr fontId="2" type="noConversion"/>
  </si>
  <si>
    <t>KR6197AB841CA</t>
    <phoneticPr fontId="2" type="noConversion"/>
  </si>
  <si>
    <t>발주분양산-&gt;코아파손수리</t>
    <phoneticPr fontId="2" type="noConversion"/>
  </si>
  <si>
    <t>BURR수리후양산</t>
    <phoneticPr fontId="2" type="noConversion"/>
  </si>
  <si>
    <t>4</t>
    <phoneticPr fontId="2" type="noConversion"/>
  </si>
  <si>
    <t>SLIDER</t>
    <phoneticPr fontId="2" type="noConversion"/>
  </si>
  <si>
    <t>KR6197EA293YA</t>
    <phoneticPr fontId="2" type="noConversion"/>
  </si>
  <si>
    <t>발주분양산-&gt;제품눌림 수리후양산</t>
    <phoneticPr fontId="2" type="noConversion"/>
  </si>
  <si>
    <t>3</t>
    <phoneticPr fontId="2" type="noConversion"/>
  </si>
  <si>
    <t>STOPPER</t>
    <phoneticPr fontId="2" type="noConversion"/>
  </si>
  <si>
    <t>KR6182-D624PA</t>
    <phoneticPr fontId="2" type="noConversion"/>
  </si>
  <si>
    <t>코아파손2회수리-&gt;코아파손정지(제품뜯김)</t>
    <phoneticPr fontId="2" type="noConversion"/>
  </si>
  <si>
    <t>HICON</t>
    <phoneticPr fontId="2" type="noConversion"/>
  </si>
  <si>
    <t>12</t>
    <phoneticPr fontId="2" type="noConversion"/>
  </si>
  <si>
    <t>COVER</t>
    <phoneticPr fontId="2" type="noConversion"/>
  </si>
  <si>
    <t>발주분양산</t>
    <phoneticPr fontId="2" type="noConversion"/>
  </si>
  <si>
    <t>13</t>
    <phoneticPr fontId="2" type="noConversion"/>
  </si>
  <si>
    <t>SLIDER</t>
    <phoneticPr fontId="2" type="noConversion"/>
  </si>
  <si>
    <t>KR6182-A308WA</t>
    <phoneticPr fontId="2" type="noConversion"/>
  </si>
  <si>
    <t>코아파손2회수리-&gt;코아파손정지</t>
    <phoneticPr fontId="2" type="noConversion"/>
  </si>
  <si>
    <t>당일 진행 사항(11일)</t>
    <phoneticPr fontId="2" type="noConversion"/>
  </si>
  <si>
    <t>STOPPER</t>
    <phoneticPr fontId="2" type="noConversion"/>
  </si>
  <si>
    <t>KR6182-D624PA</t>
    <phoneticPr fontId="2" type="noConversion"/>
  </si>
  <si>
    <t>2</t>
    <phoneticPr fontId="2" type="noConversion"/>
  </si>
  <si>
    <t>LEAD GUIDE</t>
    <phoneticPr fontId="2" type="noConversion"/>
  </si>
  <si>
    <t>KR6414-F414UA</t>
    <phoneticPr fontId="2" type="noConversion"/>
  </si>
  <si>
    <t>STOPPER</t>
    <phoneticPr fontId="2" type="noConversion"/>
  </si>
  <si>
    <t>KR6414-D414PA</t>
    <phoneticPr fontId="2" type="noConversion"/>
  </si>
  <si>
    <t>SLIDER</t>
    <phoneticPr fontId="2" type="noConversion"/>
  </si>
  <si>
    <t>수리후양산</t>
    <phoneticPr fontId="2" type="noConversion"/>
  </si>
  <si>
    <t>SAMPLE 진행 사항(10일)</t>
    <phoneticPr fontId="2" type="noConversion"/>
  </si>
  <si>
    <t>금형 수리 내역(10일)</t>
    <phoneticPr fontId="2" type="noConversion"/>
  </si>
  <si>
    <t>설비 점검 내역(10일)</t>
    <phoneticPr fontId="2" type="noConversion"/>
  </si>
  <si>
    <r>
      <t>2017년 11월 11일 일일생산현황</t>
    </r>
    <r>
      <rPr>
        <b/>
        <sz val="14"/>
        <color indexed="8"/>
        <rFont val="굴림체"/>
        <family val="3"/>
        <charset val="129"/>
      </rPr>
      <t>(12일(일) 09시 현재)</t>
    </r>
    <phoneticPr fontId="2" type="noConversion"/>
  </si>
  <si>
    <t>TST</t>
    <phoneticPr fontId="2" type="noConversion"/>
  </si>
  <si>
    <t>사출물 B</t>
    <phoneticPr fontId="2" type="noConversion"/>
  </si>
  <si>
    <t>PA46</t>
    <phoneticPr fontId="2" type="noConversion"/>
  </si>
  <si>
    <t>LEAD GUIDE</t>
    <phoneticPr fontId="2" type="noConversion"/>
  </si>
  <si>
    <t>KR6414-F414UA</t>
    <phoneticPr fontId="2" type="noConversion"/>
  </si>
  <si>
    <t>7301</t>
    <phoneticPr fontId="2" type="noConversion"/>
  </si>
  <si>
    <t>케미텍</t>
    <phoneticPr fontId="2" type="noConversion"/>
  </si>
  <si>
    <t>Z280 ASSY</t>
    <phoneticPr fontId="2" type="noConversion"/>
  </si>
  <si>
    <t>Z280-F40</t>
    <phoneticPr fontId="2" type="noConversion"/>
  </si>
  <si>
    <t>E473i</t>
    <phoneticPr fontId="2" type="noConversion"/>
  </si>
  <si>
    <t>STOPPER</t>
    <phoneticPr fontId="2" type="noConversion"/>
  </si>
  <si>
    <t>KR6414-D414PA</t>
    <phoneticPr fontId="2" type="noConversion"/>
  </si>
  <si>
    <t>SF2255</t>
    <phoneticPr fontId="2" type="noConversion"/>
  </si>
  <si>
    <t>전일 ISSUE 사항(11일)</t>
    <phoneticPr fontId="2" type="noConversion"/>
  </si>
  <si>
    <t>TST</t>
    <phoneticPr fontId="2" type="noConversion"/>
  </si>
  <si>
    <t>1</t>
    <phoneticPr fontId="2" type="noConversion"/>
  </si>
  <si>
    <t>발주분양산</t>
    <phoneticPr fontId="2" type="noConversion"/>
  </si>
  <si>
    <t>SST</t>
    <phoneticPr fontId="2" type="noConversion"/>
  </si>
  <si>
    <t>7</t>
    <phoneticPr fontId="2" type="noConversion"/>
  </si>
  <si>
    <t>BASE</t>
    <phoneticPr fontId="2" type="noConversion"/>
  </si>
  <si>
    <t>KR6182-B624CB</t>
    <phoneticPr fontId="2" type="noConversion"/>
  </si>
  <si>
    <t>코아파손정지</t>
    <phoneticPr fontId="2" type="noConversion"/>
  </si>
  <si>
    <t>케미텍</t>
    <phoneticPr fontId="2" type="noConversion"/>
  </si>
  <si>
    <t>5</t>
    <phoneticPr fontId="2" type="noConversion"/>
  </si>
  <si>
    <t>Z280ASSY</t>
    <phoneticPr fontId="2" type="noConversion"/>
  </si>
  <si>
    <t>2</t>
    <phoneticPr fontId="2" type="noConversion"/>
  </si>
  <si>
    <t>발주분양산-&gt;밀핀수리후양산</t>
    <phoneticPr fontId="2" type="noConversion"/>
  </si>
  <si>
    <t>11</t>
    <phoneticPr fontId="2" type="noConversion"/>
  </si>
  <si>
    <t>STOPPER</t>
    <phoneticPr fontId="2" type="noConversion"/>
  </si>
  <si>
    <t>코아파손수리후양산</t>
    <phoneticPr fontId="2" type="noConversion"/>
  </si>
  <si>
    <t>당일 진행 사항(13일)</t>
    <phoneticPr fontId="2" type="noConversion"/>
  </si>
  <si>
    <t>14</t>
    <phoneticPr fontId="2" type="noConversion"/>
  </si>
  <si>
    <t>BASE</t>
    <phoneticPr fontId="2" type="noConversion"/>
  </si>
  <si>
    <t>KR6197AB841CA</t>
    <phoneticPr fontId="2" type="noConversion"/>
  </si>
  <si>
    <t>세척후양산</t>
    <phoneticPr fontId="2" type="noConversion"/>
  </si>
  <si>
    <t>KR6182-B624CB</t>
    <phoneticPr fontId="2" type="noConversion"/>
  </si>
  <si>
    <t>수리후양산</t>
    <phoneticPr fontId="2" type="noConversion"/>
  </si>
  <si>
    <t>SAMPLE 진행 사항(11일)</t>
    <phoneticPr fontId="2" type="noConversion"/>
  </si>
  <si>
    <t>금형 수리 내역(11일)</t>
    <phoneticPr fontId="2" type="noConversion"/>
  </si>
  <si>
    <t>HSB05-M002B1-15BI</t>
    <phoneticPr fontId="2" type="noConversion"/>
  </si>
  <si>
    <t>HICON</t>
    <phoneticPr fontId="2" type="noConversion"/>
  </si>
  <si>
    <t>6</t>
    <phoneticPr fontId="2" type="noConversion"/>
  </si>
  <si>
    <t>SLIDER</t>
    <phoneticPr fontId="2" type="noConversion"/>
  </si>
  <si>
    <t>발주분양산</t>
    <phoneticPr fontId="2" type="noConversion"/>
  </si>
  <si>
    <t>설비 점검 내역(11일)</t>
    <phoneticPr fontId="2" type="noConversion"/>
  </si>
  <si>
    <r>
      <t>2017년 11월 13일 일일생산현황</t>
    </r>
    <r>
      <rPr>
        <b/>
        <sz val="14"/>
        <color indexed="8"/>
        <rFont val="굴림체"/>
        <family val="3"/>
        <charset val="129"/>
      </rPr>
      <t>(14일(화) 09시 현재)</t>
    </r>
    <phoneticPr fontId="2" type="noConversion"/>
  </si>
  <si>
    <t>ODT</t>
    <phoneticPr fontId="2" type="noConversion"/>
  </si>
  <si>
    <t>203T</t>
    <phoneticPr fontId="2" type="noConversion"/>
  </si>
  <si>
    <t>SW-003068-01</t>
    <phoneticPr fontId="2" type="noConversion"/>
  </si>
  <si>
    <t>PC 30%</t>
    <phoneticPr fontId="2" type="noConversion"/>
  </si>
  <si>
    <t>SLIDER</t>
    <phoneticPr fontId="2" type="noConversion"/>
  </si>
  <si>
    <t>HSB05-M002B1-15BI</t>
    <phoneticPr fontId="2" type="noConversion"/>
  </si>
  <si>
    <t>SGF2041 N/P</t>
    <phoneticPr fontId="2" type="noConversion"/>
  </si>
  <si>
    <t>72P</t>
    <phoneticPr fontId="2" type="noConversion"/>
  </si>
  <si>
    <t>전일 ISSUE 사항(13일)</t>
    <phoneticPr fontId="2" type="noConversion"/>
  </si>
  <si>
    <t>ODT</t>
    <phoneticPr fontId="2" type="noConversion"/>
  </si>
  <si>
    <t>세척후양산-&gt;뜯김정지</t>
    <phoneticPr fontId="2" type="noConversion"/>
  </si>
  <si>
    <t>SST</t>
    <phoneticPr fontId="2" type="noConversion"/>
  </si>
  <si>
    <t>KR6197EA293YA</t>
    <phoneticPr fontId="2" type="noConversion"/>
  </si>
  <si>
    <t>세척후양산-&gt;코아파손정지</t>
    <phoneticPr fontId="2" type="noConversion"/>
  </si>
  <si>
    <t>2</t>
    <phoneticPr fontId="2" type="noConversion"/>
  </si>
  <si>
    <t>LEAD GUIDE</t>
    <phoneticPr fontId="2" type="noConversion"/>
  </si>
  <si>
    <t>KR6414-F841UA</t>
    <phoneticPr fontId="2" type="noConversion"/>
  </si>
  <si>
    <t>게이트수리후양산-&gt;코아파손수리(사고)</t>
    <phoneticPr fontId="2" type="noConversion"/>
  </si>
  <si>
    <t>3</t>
    <phoneticPr fontId="2" type="noConversion"/>
  </si>
  <si>
    <t>STOPPER</t>
    <phoneticPr fontId="2" type="noConversion"/>
  </si>
  <si>
    <t>코아파손수리후양산-&gt;메쉬 휨수리후양산</t>
    <phoneticPr fontId="2" type="noConversion"/>
  </si>
  <si>
    <t>HICON</t>
    <phoneticPr fontId="2" type="noConversion"/>
  </si>
  <si>
    <t>발주분양산-&gt;BURR 수리2회정지</t>
    <phoneticPr fontId="2" type="noConversion"/>
  </si>
  <si>
    <t>AM0610B-J</t>
    <phoneticPr fontId="2" type="noConversion"/>
  </si>
  <si>
    <t>MCS</t>
    <phoneticPr fontId="2" type="noConversion"/>
  </si>
  <si>
    <t>10</t>
    <phoneticPr fontId="2" type="noConversion"/>
  </si>
  <si>
    <t>SAM</t>
    <phoneticPr fontId="2" type="noConversion"/>
  </si>
  <si>
    <t>세척후양산</t>
    <phoneticPr fontId="2" type="noConversion"/>
  </si>
  <si>
    <t>KR6197AB841CA</t>
    <phoneticPr fontId="2" type="noConversion"/>
  </si>
  <si>
    <t>14</t>
    <phoneticPr fontId="2" type="noConversion"/>
  </si>
  <si>
    <t>BASE</t>
    <phoneticPr fontId="2" type="noConversion"/>
  </si>
  <si>
    <t>DI</t>
    <phoneticPr fontId="2" type="noConversion"/>
  </si>
  <si>
    <t>15</t>
    <phoneticPr fontId="2" type="noConversion"/>
  </si>
  <si>
    <t>72P</t>
    <phoneticPr fontId="2" type="noConversion"/>
  </si>
  <si>
    <t>발주분양산</t>
    <phoneticPr fontId="2" type="noConversion"/>
  </si>
  <si>
    <t>당일 진행 사항(14일)</t>
    <phoneticPr fontId="2" type="noConversion"/>
  </si>
  <si>
    <t>SW-003206</t>
    <phoneticPr fontId="2" type="noConversion"/>
  </si>
  <si>
    <t>HOLDER</t>
    <phoneticPr fontId="2" type="noConversion"/>
  </si>
  <si>
    <t>발주분양산</t>
    <phoneticPr fontId="2" type="noConversion"/>
  </si>
  <si>
    <t>KR6197EA293YA</t>
    <phoneticPr fontId="2" type="noConversion"/>
  </si>
  <si>
    <t>수리후양산</t>
    <phoneticPr fontId="2" type="noConversion"/>
  </si>
  <si>
    <t>NP504-295-091#SP</t>
    <phoneticPr fontId="2" type="noConversion"/>
  </si>
  <si>
    <t>AYE</t>
    <phoneticPr fontId="2" type="noConversion"/>
  </si>
  <si>
    <t>13</t>
    <phoneticPr fontId="2" type="noConversion"/>
  </si>
  <si>
    <t>SAMPLE 진행 사항(13일)</t>
    <phoneticPr fontId="2" type="noConversion"/>
  </si>
  <si>
    <t>테스트메카</t>
    <phoneticPr fontId="2" type="noConversion"/>
  </si>
  <si>
    <t>LOWER PLATE</t>
    <phoneticPr fontId="2" type="noConversion"/>
  </si>
  <si>
    <t>SGF2030,2041,JD4901</t>
    <phoneticPr fontId="2" type="noConversion"/>
  </si>
  <si>
    <t>원재료</t>
    <phoneticPr fontId="2" type="noConversion"/>
  </si>
  <si>
    <t>각 50EA</t>
    <phoneticPr fontId="2" type="noConversion"/>
  </si>
  <si>
    <t>ADAPTER</t>
    <phoneticPr fontId="2" type="noConversion"/>
  </si>
  <si>
    <t>K-JR01928-G01XXX</t>
    <phoneticPr fontId="2" type="noConversion"/>
  </si>
  <si>
    <t>SGF2030</t>
    <phoneticPr fontId="2" type="noConversion"/>
  </si>
  <si>
    <t>수정</t>
    <phoneticPr fontId="2" type="noConversion"/>
  </si>
  <si>
    <t>금형 수리 내역(13일)</t>
    <phoneticPr fontId="2" type="noConversion"/>
  </si>
  <si>
    <t>설비 점검 내역(13일)</t>
    <phoneticPr fontId="2" type="noConversion"/>
  </si>
  <si>
    <r>
      <t>2017년 11월 14일 일일생산현황</t>
    </r>
    <r>
      <rPr>
        <b/>
        <sz val="14"/>
        <color indexed="8"/>
        <rFont val="굴림체"/>
        <family val="3"/>
        <charset val="129"/>
      </rPr>
      <t>(15일(수) 09시 현재)</t>
    </r>
    <phoneticPr fontId="2" type="noConversion"/>
  </si>
  <si>
    <t>201T</t>
    <phoneticPr fontId="2" type="noConversion"/>
  </si>
  <si>
    <t>SW-003066</t>
    <phoneticPr fontId="2" type="noConversion"/>
  </si>
  <si>
    <t>PC B/K</t>
    <phoneticPr fontId="2" type="noConversion"/>
  </si>
  <si>
    <t>Z280MM</t>
    <phoneticPr fontId="2" type="noConversion"/>
  </si>
  <si>
    <t>Z280-M10</t>
    <phoneticPr fontId="2" type="noConversion"/>
  </si>
  <si>
    <t>AYE</t>
    <phoneticPr fontId="2" type="noConversion"/>
  </si>
  <si>
    <t>NP504-295-091#SP</t>
    <phoneticPr fontId="2" type="noConversion"/>
  </si>
  <si>
    <t>SGF2033</t>
    <phoneticPr fontId="2" type="noConversion"/>
  </si>
  <si>
    <t>KR6414-B414UA</t>
    <phoneticPr fontId="2" type="noConversion"/>
  </si>
  <si>
    <t>전일 ISSUE 사항(14일)</t>
    <phoneticPr fontId="2" type="noConversion"/>
  </si>
  <si>
    <t>201T</t>
    <phoneticPr fontId="2" type="noConversion"/>
  </si>
  <si>
    <t>수리후양산</t>
    <phoneticPr fontId="2" type="noConversion"/>
  </si>
  <si>
    <t>수리후양산-&gt;코아파손정지</t>
    <phoneticPr fontId="2" type="noConversion"/>
  </si>
  <si>
    <t>코아파손수리후양산-&gt;코아파손정지</t>
    <phoneticPr fontId="2" type="noConversion"/>
  </si>
  <si>
    <t>발주분양산-&gt;BURR 수리3회정지</t>
    <phoneticPr fontId="2" type="noConversion"/>
  </si>
  <si>
    <t>발주분양산-&gt;미성형정지</t>
    <phoneticPr fontId="2" type="noConversion"/>
  </si>
  <si>
    <t>당일 진행 사항(15일)</t>
    <phoneticPr fontId="2" type="noConversion"/>
  </si>
  <si>
    <t>STOPPER</t>
    <phoneticPr fontId="2" type="noConversion"/>
  </si>
  <si>
    <t>KR6182-D624PA</t>
    <phoneticPr fontId="2" type="noConversion"/>
  </si>
  <si>
    <t>14</t>
    <phoneticPr fontId="2" type="noConversion"/>
  </si>
  <si>
    <t>KR6414-B414UA</t>
    <phoneticPr fontId="2" type="noConversion"/>
  </si>
  <si>
    <t>세척후양산</t>
    <phoneticPr fontId="2" type="noConversion"/>
  </si>
  <si>
    <t>13</t>
    <phoneticPr fontId="2" type="noConversion"/>
  </si>
  <si>
    <t>발주분양산</t>
    <phoneticPr fontId="2" type="noConversion"/>
  </si>
  <si>
    <t>SLIDER</t>
    <phoneticPr fontId="2" type="noConversion"/>
  </si>
  <si>
    <t>KR6414-A166YA</t>
    <phoneticPr fontId="2" type="noConversion"/>
  </si>
  <si>
    <t>SAMPLE 진행 사항(14일)</t>
    <phoneticPr fontId="2" type="noConversion"/>
  </si>
  <si>
    <t>LATCH</t>
    <phoneticPr fontId="2" type="noConversion"/>
  </si>
  <si>
    <t>SGF2030,7301</t>
    <phoneticPr fontId="2" type="noConversion"/>
  </si>
  <si>
    <t>요청</t>
    <phoneticPr fontId="2" type="noConversion"/>
  </si>
  <si>
    <t>슬라이드 휨</t>
    <phoneticPr fontId="2" type="noConversion"/>
  </si>
  <si>
    <t>금형 수리 내역(14일)</t>
    <phoneticPr fontId="2" type="noConversion"/>
  </si>
  <si>
    <t>설비 점검 내역(14일)</t>
    <phoneticPr fontId="2" type="noConversion"/>
  </si>
  <si>
    <r>
      <t>2017년 11월 15일 일일생산현황</t>
    </r>
    <r>
      <rPr>
        <b/>
        <sz val="14"/>
        <color indexed="8"/>
        <rFont val="굴림체"/>
        <family val="3"/>
        <charset val="129"/>
      </rPr>
      <t>(16일(목) 09시 현재)</t>
    </r>
    <phoneticPr fontId="2" type="noConversion"/>
  </si>
  <si>
    <t>테스트메카</t>
    <phoneticPr fontId="2" type="noConversion"/>
  </si>
  <si>
    <t>LATCH</t>
    <phoneticPr fontId="2" type="noConversion"/>
  </si>
  <si>
    <t>SLIDER</t>
    <phoneticPr fontId="2" type="noConversion"/>
  </si>
  <si>
    <t>KR6414-A166YA</t>
    <phoneticPr fontId="2" type="noConversion"/>
  </si>
  <si>
    <t>SGF2050</t>
    <phoneticPr fontId="2" type="noConversion"/>
  </si>
  <si>
    <t>24P(구형)</t>
    <phoneticPr fontId="2" type="noConversion"/>
  </si>
  <si>
    <t>전일 ISSUE 사항(15일)</t>
    <phoneticPr fontId="2" type="noConversion"/>
  </si>
  <si>
    <t>수리후양산-&gt;뜯김정지</t>
    <phoneticPr fontId="2" type="noConversion"/>
  </si>
  <si>
    <t>수리후양산-&gt;BURR수리후양산</t>
    <phoneticPr fontId="2" type="noConversion"/>
  </si>
  <si>
    <t>코아파손수리후양산</t>
    <phoneticPr fontId="2" type="noConversion"/>
  </si>
  <si>
    <t>수리후양산</t>
    <phoneticPr fontId="2" type="noConversion"/>
  </si>
  <si>
    <t>13</t>
    <phoneticPr fontId="2" type="noConversion"/>
  </si>
  <si>
    <t>발주분양산</t>
    <phoneticPr fontId="2" type="noConversion"/>
  </si>
  <si>
    <t>MCS</t>
    <phoneticPr fontId="2" type="noConversion"/>
  </si>
  <si>
    <t>SAM</t>
    <phoneticPr fontId="2" type="noConversion"/>
  </si>
  <si>
    <t>AM0610B-J</t>
    <phoneticPr fontId="2" type="noConversion"/>
  </si>
  <si>
    <t>세척후양산</t>
    <phoneticPr fontId="2" type="noConversion"/>
  </si>
  <si>
    <t>당일 진행 사항(16일)</t>
    <phoneticPr fontId="2" type="noConversion"/>
  </si>
  <si>
    <t>SHAFT</t>
    <phoneticPr fontId="2" type="noConversion"/>
  </si>
  <si>
    <t>KR6166-01TB</t>
    <phoneticPr fontId="2" type="noConversion"/>
  </si>
  <si>
    <t>KR6182-B624CB</t>
    <phoneticPr fontId="2" type="noConversion"/>
  </si>
  <si>
    <t>ACTUATOR</t>
    <phoneticPr fontId="2" type="noConversion"/>
  </si>
  <si>
    <t>AMB1901D-JAA-R2</t>
    <phoneticPr fontId="2" type="noConversion"/>
  </si>
  <si>
    <t>SAMPLE 진행 사항(15일)</t>
    <phoneticPr fontId="2" type="noConversion"/>
  </si>
  <si>
    <t>수리</t>
    <phoneticPr fontId="2" type="noConversion"/>
  </si>
  <si>
    <t>금형 수리 내역(15일)</t>
    <phoneticPr fontId="2" type="noConversion"/>
  </si>
  <si>
    <t>설비 점검 내역(15일)</t>
    <phoneticPr fontId="2" type="noConversion"/>
  </si>
  <si>
    <r>
      <t>2017년 11월 16일 일일생산현황</t>
    </r>
    <r>
      <rPr>
        <b/>
        <sz val="14"/>
        <color indexed="8"/>
        <rFont val="굴림체"/>
        <family val="3"/>
        <charset val="129"/>
      </rPr>
      <t>(17일(금) 09시 현재)</t>
    </r>
    <phoneticPr fontId="2" type="noConversion"/>
  </si>
  <si>
    <t>SHAFT</t>
    <phoneticPr fontId="2" type="noConversion"/>
  </si>
  <si>
    <t>KR6166-01TB</t>
    <phoneticPr fontId="2" type="noConversion"/>
  </si>
  <si>
    <t>JD4901</t>
    <phoneticPr fontId="2" type="noConversion"/>
  </si>
  <si>
    <t>LEAD GUIDE</t>
    <phoneticPr fontId="2" type="noConversion"/>
  </si>
  <si>
    <t>HSB05-M005B1</t>
    <phoneticPr fontId="2" type="noConversion"/>
  </si>
  <si>
    <t>ACTUATOR</t>
    <phoneticPr fontId="2" type="noConversion"/>
  </si>
  <si>
    <t>AMB1901D-JAA-R2</t>
    <phoneticPr fontId="2" type="noConversion"/>
  </si>
  <si>
    <t>SGF2030</t>
    <phoneticPr fontId="2" type="noConversion"/>
  </si>
  <si>
    <t>전일 ISSUE 사항(16일)</t>
    <phoneticPr fontId="2" type="noConversion"/>
  </si>
  <si>
    <t>게이트파손정지-&gt;14호기 이동-&gt;뜯김정지</t>
    <phoneticPr fontId="2" type="noConversion"/>
  </si>
  <si>
    <t>SHAFT</t>
    <phoneticPr fontId="2" type="noConversion"/>
  </si>
  <si>
    <t>발주분양산-&gt;가이드파손정지</t>
    <phoneticPr fontId="2" type="noConversion"/>
  </si>
  <si>
    <t>코아파손정지</t>
    <phoneticPr fontId="2" type="noConversion"/>
  </si>
  <si>
    <t>HICON</t>
    <phoneticPr fontId="2" type="noConversion"/>
  </si>
  <si>
    <t>11</t>
    <phoneticPr fontId="2" type="noConversion"/>
  </si>
  <si>
    <t>STOPPER</t>
    <phoneticPr fontId="2" type="noConversion"/>
  </si>
  <si>
    <t>HSB05-M004B1</t>
    <phoneticPr fontId="2" type="noConversion"/>
  </si>
  <si>
    <t>BURR 2회정지</t>
    <phoneticPr fontId="2" type="noConversion"/>
  </si>
  <si>
    <t>BURR 정지</t>
    <phoneticPr fontId="2" type="noConversion"/>
  </si>
  <si>
    <t>SLIDER</t>
    <phoneticPr fontId="2" type="noConversion"/>
  </si>
  <si>
    <t>HSB05-M002B1-15BI</t>
    <phoneticPr fontId="2" type="noConversion"/>
  </si>
  <si>
    <t>수리후양산-&gt;밀핀수리후양산</t>
    <phoneticPr fontId="2" type="noConversion"/>
  </si>
  <si>
    <t>당일 진행 사항(17일)</t>
    <phoneticPr fontId="2" type="noConversion"/>
  </si>
  <si>
    <t>수리후양산</t>
    <phoneticPr fontId="2" type="noConversion"/>
  </si>
  <si>
    <t>STOPPER</t>
    <phoneticPr fontId="2" type="noConversion"/>
  </si>
  <si>
    <t>KR6182-D624PA</t>
    <phoneticPr fontId="2" type="noConversion"/>
  </si>
  <si>
    <t>MCS</t>
    <phoneticPr fontId="2" type="noConversion"/>
  </si>
  <si>
    <t>13</t>
    <phoneticPr fontId="2" type="noConversion"/>
  </si>
  <si>
    <t>ACTUATOR</t>
    <phoneticPr fontId="2" type="noConversion"/>
  </si>
  <si>
    <t>발주분양산-&gt;치수이상정지</t>
    <phoneticPr fontId="2" type="noConversion"/>
  </si>
  <si>
    <t>SAMPLE 진행 사항(16일)</t>
    <phoneticPr fontId="2" type="noConversion"/>
  </si>
  <si>
    <t>MCS</t>
    <phoneticPr fontId="2" type="noConversion"/>
  </si>
  <si>
    <t>AMB0102B-JAA-R2</t>
    <phoneticPr fontId="2" type="noConversion"/>
  </si>
  <si>
    <t>SF2255</t>
    <phoneticPr fontId="2" type="noConversion"/>
  </si>
  <si>
    <t>수정</t>
    <phoneticPr fontId="2" type="noConversion"/>
  </si>
  <si>
    <t>BASE</t>
    <phoneticPr fontId="2" type="noConversion"/>
  </si>
  <si>
    <t>AM0170C-J-R2</t>
    <phoneticPr fontId="2" type="noConversion"/>
  </si>
  <si>
    <t>SF2255</t>
    <phoneticPr fontId="2" type="noConversion"/>
  </si>
  <si>
    <t>금형 수리 내역(16일)</t>
    <phoneticPr fontId="2" type="noConversion"/>
  </si>
  <si>
    <t>설비 점검 내역(16일)</t>
    <phoneticPr fontId="2" type="noConversion"/>
  </si>
  <si>
    <r>
      <t>2017년 11월 17일 일일생산현황</t>
    </r>
    <r>
      <rPr>
        <b/>
        <sz val="14"/>
        <color indexed="8"/>
        <rFont val="굴림체"/>
        <family val="3"/>
        <charset val="129"/>
      </rPr>
      <t>(18일(토) 09시 현재)</t>
    </r>
    <phoneticPr fontId="2" type="noConversion"/>
  </si>
  <si>
    <t>SST</t>
    <phoneticPr fontId="2" type="noConversion"/>
  </si>
  <si>
    <t>LATCH</t>
    <phoneticPr fontId="2" type="noConversion"/>
  </si>
  <si>
    <t>KR6190-E02TA</t>
    <phoneticPr fontId="2" type="noConversion"/>
  </si>
  <si>
    <t>JD4901</t>
    <phoneticPr fontId="2" type="noConversion"/>
  </si>
  <si>
    <t>전일 ISSUE 사항(17일)</t>
    <phoneticPr fontId="2" type="noConversion"/>
  </si>
  <si>
    <t>14</t>
    <phoneticPr fontId="2" type="noConversion"/>
  </si>
  <si>
    <t>수리후양산</t>
    <phoneticPr fontId="2" type="noConversion"/>
  </si>
  <si>
    <t>수리후양산-&gt;코아파손정지</t>
    <phoneticPr fontId="2" type="noConversion"/>
  </si>
  <si>
    <t>발주분양산</t>
    <phoneticPr fontId="2" type="noConversion"/>
  </si>
  <si>
    <t>5</t>
    <phoneticPr fontId="2" type="noConversion"/>
  </si>
  <si>
    <t>당일 진행 사항(18일)</t>
    <phoneticPr fontId="2" type="noConversion"/>
  </si>
  <si>
    <t>ODT</t>
    <phoneticPr fontId="2" type="noConversion"/>
  </si>
  <si>
    <t>2</t>
    <phoneticPr fontId="2" type="noConversion"/>
  </si>
  <si>
    <t>HOLDER</t>
    <phoneticPr fontId="2" type="noConversion"/>
  </si>
  <si>
    <t>SW-003206</t>
    <phoneticPr fontId="2" type="noConversion"/>
  </si>
  <si>
    <t>KR6182-A308WA</t>
    <phoneticPr fontId="2" type="noConversion"/>
  </si>
  <si>
    <t>13</t>
    <phoneticPr fontId="2" type="noConversion"/>
  </si>
  <si>
    <t>SLIDER</t>
    <phoneticPr fontId="2" type="noConversion"/>
  </si>
  <si>
    <t>발주분양산</t>
    <phoneticPr fontId="2" type="noConversion"/>
  </si>
  <si>
    <t>SAMPLE 진행 사항(17일)</t>
    <phoneticPr fontId="2" type="noConversion"/>
  </si>
  <si>
    <t>BURR조건변경</t>
    <phoneticPr fontId="2" type="noConversion"/>
  </si>
  <si>
    <t>케미텍</t>
    <phoneticPr fontId="2" type="noConversion"/>
  </si>
  <si>
    <t>Z280MM</t>
    <phoneticPr fontId="2" type="noConversion"/>
  </si>
  <si>
    <t>Z280-M10</t>
    <phoneticPr fontId="2" type="noConversion"/>
  </si>
  <si>
    <t>E473i</t>
    <phoneticPr fontId="2" type="noConversion"/>
  </si>
  <si>
    <t>확인용</t>
    <phoneticPr fontId="2" type="noConversion"/>
  </si>
  <si>
    <t>기포</t>
    <phoneticPr fontId="2" type="noConversion"/>
  </si>
  <si>
    <t>1CAV 안나옮</t>
    <phoneticPr fontId="2" type="noConversion"/>
  </si>
  <si>
    <t>금형 수리 내역(17일)</t>
    <phoneticPr fontId="2" type="noConversion"/>
  </si>
  <si>
    <t>설비 점검 내역(17일)</t>
    <phoneticPr fontId="2" type="noConversion"/>
  </si>
  <si>
    <r>
      <t>2017년 11월 18일 일일생산현황</t>
    </r>
    <r>
      <rPr>
        <b/>
        <sz val="14"/>
        <color indexed="8"/>
        <rFont val="굴림체"/>
        <family val="3"/>
        <charset val="129"/>
      </rPr>
      <t>(20일(월) 09시 현재)</t>
    </r>
    <phoneticPr fontId="2" type="noConversion"/>
  </si>
  <si>
    <t>HOLDER</t>
    <phoneticPr fontId="2" type="noConversion"/>
  </si>
  <si>
    <t>SW-003026</t>
    <phoneticPr fontId="2" type="noConversion"/>
  </si>
  <si>
    <t>STOPPER</t>
    <phoneticPr fontId="2" type="noConversion"/>
  </si>
  <si>
    <t>HSB05-M004B1</t>
    <phoneticPr fontId="2" type="noConversion"/>
  </si>
  <si>
    <t>HSB05-M003B1</t>
    <phoneticPr fontId="2" type="noConversion"/>
  </si>
  <si>
    <t>SGF2030 N/P</t>
    <phoneticPr fontId="2" type="noConversion"/>
  </si>
  <si>
    <t>SLIDER</t>
    <phoneticPr fontId="2" type="noConversion"/>
  </si>
  <si>
    <t>KR6182-A308WA</t>
    <phoneticPr fontId="2" type="noConversion"/>
  </si>
  <si>
    <t>72P</t>
    <phoneticPr fontId="2" type="noConversion"/>
  </si>
  <si>
    <t>전일 ISSUE 사항(18일)</t>
    <phoneticPr fontId="2" type="noConversion"/>
  </si>
  <si>
    <t>수리후양산</t>
    <phoneticPr fontId="2" type="noConversion"/>
  </si>
  <si>
    <t>ODT</t>
    <phoneticPr fontId="2" type="noConversion"/>
  </si>
  <si>
    <t>2</t>
    <phoneticPr fontId="2" type="noConversion"/>
  </si>
  <si>
    <t>SST</t>
    <phoneticPr fontId="2" type="noConversion"/>
  </si>
  <si>
    <t>SLIDER</t>
    <phoneticPr fontId="2" type="noConversion"/>
  </si>
  <si>
    <t>HICON</t>
    <phoneticPr fontId="2" type="noConversion"/>
  </si>
  <si>
    <t>12</t>
    <phoneticPr fontId="2" type="noConversion"/>
  </si>
  <si>
    <t>COVER</t>
    <phoneticPr fontId="2" type="noConversion"/>
  </si>
  <si>
    <t>DI</t>
    <phoneticPr fontId="2" type="noConversion"/>
  </si>
  <si>
    <t>15</t>
    <phoneticPr fontId="2" type="noConversion"/>
  </si>
  <si>
    <t>72P</t>
    <phoneticPr fontId="2" type="noConversion"/>
  </si>
  <si>
    <t>11</t>
    <phoneticPr fontId="2" type="noConversion"/>
  </si>
  <si>
    <t>수리후양산-&gt;BURR정지</t>
    <phoneticPr fontId="2" type="noConversion"/>
  </si>
  <si>
    <t>당일 진행 사항(20일)</t>
    <phoneticPr fontId="2" type="noConversion"/>
  </si>
  <si>
    <t>4LEAD</t>
    <phoneticPr fontId="2" type="noConversion"/>
  </si>
  <si>
    <t>009-019-004</t>
    <phoneticPr fontId="2" type="noConversion"/>
  </si>
  <si>
    <t>204F51M-B047D</t>
    <phoneticPr fontId="2" type="noConversion"/>
  </si>
  <si>
    <t>OKINS</t>
    <phoneticPr fontId="2" type="noConversion"/>
  </si>
  <si>
    <t>8</t>
    <phoneticPr fontId="2" type="noConversion"/>
  </si>
  <si>
    <t>204BASE</t>
    <phoneticPr fontId="2" type="noConversion"/>
  </si>
  <si>
    <t>HSB05-M002B1-15BI</t>
    <phoneticPr fontId="2" type="noConversion"/>
  </si>
  <si>
    <t>6</t>
    <phoneticPr fontId="2" type="noConversion"/>
  </si>
  <si>
    <t>세척후양산</t>
    <phoneticPr fontId="2" type="noConversion"/>
  </si>
  <si>
    <t>SAMPLE 진행 사항(18일)</t>
    <phoneticPr fontId="2" type="noConversion"/>
  </si>
  <si>
    <t>SST</t>
    <phoneticPr fontId="2" type="noConversion"/>
  </si>
  <si>
    <t>JD4901</t>
    <phoneticPr fontId="2" type="noConversion"/>
  </si>
  <si>
    <t>신작</t>
    <phoneticPr fontId="2" type="noConversion"/>
  </si>
  <si>
    <t>BODY</t>
    <phoneticPr fontId="2" type="noConversion"/>
  </si>
  <si>
    <t>AMB0114D-JAA-R1</t>
    <phoneticPr fontId="2" type="noConversion"/>
  </si>
  <si>
    <t>SF2255</t>
    <phoneticPr fontId="2" type="noConversion"/>
  </si>
  <si>
    <t>수정</t>
    <phoneticPr fontId="2" type="noConversion"/>
  </si>
  <si>
    <t>금형 수리 내역(18일)</t>
    <phoneticPr fontId="2" type="noConversion"/>
  </si>
  <si>
    <t>설비 점검 내역(18일)</t>
    <phoneticPr fontId="2" type="noConversion"/>
  </si>
  <si>
    <t>4LEAD</t>
    <phoneticPr fontId="2" type="noConversion"/>
  </si>
  <si>
    <t>009-019-004</t>
    <phoneticPr fontId="2" type="noConversion"/>
  </si>
  <si>
    <t>7301</t>
    <phoneticPr fontId="2" type="noConversion"/>
  </si>
  <si>
    <t>MCS</t>
    <phoneticPr fontId="2" type="noConversion"/>
  </si>
  <si>
    <t>AM0143A-K</t>
    <phoneticPr fontId="2" type="noConversion"/>
  </si>
  <si>
    <t>SF2255</t>
    <phoneticPr fontId="2" type="noConversion"/>
  </si>
  <si>
    <t>OKINS</t>
    <phoneticPr fontId="2" type="noConversion"/>
  </si>
  <si>
    <t>BASE</t>
    <phoneticPr fontId="2" type="noConversion"/>
  </si>
  <si>
    <t>204F51M-B047D</t>
    <phoneticPr fontId="2" type="noConversion"/>
  </si>
  <si>
    <t>PA9T</t>
    <phoneticPr fontId="2" type="noConversion"/>
  </si>
  <si>
    <t>HICON</t>
    <phoneticPr fontId="2" type="noConversion"/>
  </si>
  <si>
    <t>6</t>
    <phoneticPr fontId="2" type="noConversion"/>
  </si>
  <si>
    <t>SLIDER</t>
    <phoneticPr fontId="2" type="noConversion"/>
  </si>
  <si>
    <t>HSB05-M002B1-15BI</t>
    <phoneticPr fontId="2" type="noConversion"/>
  </si>
  <si>
    <t>SST</t>
    <phoneticPr fontId="2" type="noConversion"/>
  </si>
  <si>
    <t>4</t>
    <phoneticPr fontId="2" type="noConversion"/>
  </si>
  <si>
    <t xml:space="preserve">4LEAD </t>
    <phoneticPr fontId="2" type="noConversion"/>
  </si>
  <si>
    <t>009-019-004</t>
    <phoneticPr fontId="2" type="noConversion"/>
  </si>
  <si>
    <t>발주분양산</t>
    <phoneticPr fontId="2" type="noConversion"/>
  </si>
  <si>
    <t>INPHI</t>
    <phoneticPr fontId="2" type="noConversion"/>
  </si>
  <si>
    <t>TRAY</t>
    <phoneticPr fontId="2" type="noConversion"/>
  </si>
  <si>
    <t>NORYL B/K</t>
    <phoneticPr fontId="2" type="noConversion"/>
  </si>
  <si>
    <t>신작</t>
    <phoneticPr fontId="2" type="noConversion"/>
  </si>
  <si>
    <t>SLIDER</t>
    <phoneticPr fontId="2" type="noConversion"/>
  </si>
  <si>
    <t>HSB75-M01A2</t>
    <phoneticPr fontId="2" type="noConversion"/>
  </si>
  <si>
    <t>SGF2030 N/P</t>
    <phoneticPr fontId="2" type="noConversion"/>
  </si>
  <si>
    <t>F/ADAPTER</t>
    <phoneticPr fontId="2" type="noConversion"/>
  </si>
  <si>
    <t>AMB2071B-KAA-R2</t>
    <phoneticPr fontId="2" type="noConversion"/>
  </si>
  <si>
    <t>전일 ISSUE 사항(21일)</t>
    <phoneticPr fontId="2" type="noConversion"/>
  </si>
  <si>
    <t>코아파손수리-&gt;코아파손정지</t>
    <phoneticPr fontId="2" type="noConversion"/>
  </si>
  <si>
    <t>BURR정지</t>
    <phoneticPr fontId="2" type="noConversion"/>
  </si>
  <si>
    <t>수리후양산</t>
    <phoneticPr fontId="2" type="noConversion"/>
  </si>
  <si>
    <t>MCS</t>
    <phoneticPr fontId="2" type="noConversion"/>
  </si>
  <si>
    <t>10</t>
    <phoneticPr fontId="2" type="noConversion"/>
  </si>
  <si>
    <t>F/ADAPTER</t>
    <phoneticPr fontId="2" type="noConversion"/>
  </si>
  <si>
    <t>HICON</t>
    <phoneticPr fontId="2" type="noConversion"/>
  </si>
  <si>
    <t>5</t>
    <phoneticPr fontId="2" type="noConversion"/>
  </si>
  <si>
    <t>HSB75-M01A2</t>
    <phoneticPr fontId="2" type="noConversion"/>
  </si>
  <si>
    <t>발주분양산</t>
    <phoneticPr fontId="2" type="noConversion"/>
  </si>
  <si>
    <t>14</t>
    <phoneticPr fontId="2" type="noConversion"/>
  </si>
  <si>
    <t>BASE</t>
    <phoneticPr fontId="2" type="noConversion"/>
  </si>
  <si>
    <t>KR6182-B624CB</t>
    <phoneticPr fontId="2" type="noConversion"/>
  </si>
  <si>
    <t>세척후양산</t>
    <phoneticPr fontId="2" type="noConversion"/>
  </si>
  <si>
    <t>11</t>
    <phoneticPr fontId="2" type="noConversion"/>
  </si>
  <si>
    <t>STOPPER</t>
    <phoneticPr fontId="2" type="noConversion"/>
  </si>
  <si>
    <t>HSB05-M004B1</t>
    <phoneticPr fontId="2" type="noConversion"/>
  </si>
  <si>
    <t>수리후양산</t>
    <phoneticPr fontId="2" type="noConversion"/>
  </si>
  <si>
    <t>수리후양산-&gt;밀핀파손정지</t>
    <phoneticPr fontId="2" type="noConversion"/>
  </si>
  <si>
    <t>당일 진행 사항(22일)</t>
    <phoneticPr fontId="2" type="noConversion"/>
  </si>
  <si>
    <t>1</t>
    <phoneticPr fontId="2" type="noConversion"/>
  </si>
  <si>
    <t>HSB75-M01A1</t>
    <phoneticPr fontId="2" type="noConversion"/>
  </si>
  <si>
    <t>발주분양산</t>
    <phoneticPr fontId="2" type="noConversion"/>
  </si>
  <si>
    <t>STOPPER</t>
    <phoneticPr fontId="2" type="noConversion"/>
  </si>
  <si>
    <t>HSB05-M004B1</t>
    <phoneticPr fontId="2" type="noConversion"/>
  </si>
  <si>
    <t>7</t>
    <phoneticPr fontId="2" type="noConversion"/>
  </si>
  <si>
    <t>HSB75-M01A4</t>
    <phoneticPr fontId="2" type="noConversion"/>
  </si>
  <si>
    <t>SST</t>
    <phoneticPr fontId="2" type="noConversion"/>
  </si>
  <si>
    <t>3</t>
    <phoneticPr fontId="2" type="noConversion"/>
  </si>
  <si>
    <t>KR6182-D624PA</t>
    <phoneticPr fontId="2" type="noConversion"/>
  </si>
  <si>
    <t>6</t>
    <phoneticPr fontId="2" type="noConversion"/>
  </si>
  <si>
    <t>SLIDER</t>
    <phoneticPr fontId="2" type="noConversion"/>
  </si>
  <si>
    <t>HSB05-M002B1-15BI</t>
    <phoneticPr fontId="2" type="noConversion"/>
  </si>
  <si>
    <t>SAMPLE 진행 사항(21일)</t>
    <phoneticPr fontId="2" type="noConversion"/>
  </si>
  <si>
    <t>SST</t>
    <phoneticPr fontId="2" type="noConversion"/>
  </si>
  <si>
    <t>LATCH ARM/BLOCK</t>
    <phoneticPr fontId="2" type="noConversion"/>
  </si>
  <si>
    <t>3011002-1/2</t>
    <phoneticPr fontId="2" type="noConversion"/>
  </si>
  <si>
    <t>JD4901</t>
    <phoneticPr fontId="2" type="noConversion"/>
  </si>
  <si>
    <t>신작</t>
    <phoneticPr fontId="2" type="noConversion"/>
  </si>
  <si>
    <t>밀핀이상 2회진행</t>
    <phoneticPr fontId="2" type="noConversion"/>
  </si>
  <si>
    <t>금형 수리 내역(21일)</t>
    <phoneticPr fontId="2" type="noConversion"/>
  </si>
  <si>
    <t>설비 점검 내역(21일)</t>
    <phoneticPr fontId="2" type="noConversion"/>
  </si>
  <si>
    <r>
      <t>2017년 11월 21일 일일생산현황</t>
    </r>
    <r>
      <rPr>
        <b/>
        <sz val="14"/>
        <color indexed="8"/>
        <rFont val="굴림체"/>
        <family val="3"/>
        <charset val="129"/>
      </rPr>
      <t>(22일(수) 09시 현재)</t>
    </r>
    <phoneticPr fontId="2" type="noConversion"/>
  </si>
  <si>
    <r>
      <t>2017년 11월 22일 일일생산현황</t>
    </r>
    <r>
      <rPr>
        <b/>
        <sz val="14"/>
        <color indexed="8"/>
        <rFont val="굴림체"/>
        <family val="3"/>
        <charset val="129"/>
      </rPr>
      <t>(23일(목) 09시 현재)</t>
    </r>
    <phoneticPr fontId="2" type="noConversion"/>
  </si>
  <si>
    <t>HSB75-M01A1</t>
    <phoneticPr fontId="2" type="noConversion"/>
  </si>
  <si>
    <t>SGF2041</t>
    <phoneticPr fontId="2" type="noConversion"/>
  </si>
  <si>
    <t>STOPPER</t>
    <phoneticPr fontId="2" type="noConversion"/>
  </si>
  <si>
    <t>HSB75-M01A4</t>
    <phoneticPr fontId="2" type="noConversion"/>
  </si>
  <si>
    <t>SGF2030</t>
    <phoneticPr fontId="2" type="noConversion"/>
  </si>
  <si>
    <t>전일 ISSUE 사항(22일)</t>
    <phoneticPr fontId="2" type="noConversion"/>
  </si>
  <si>
    <t>수리후양산</t>
    <phoneticPr fontId="2" type="noConversion"/>
  </si>
  <si>
    <t>BURR수리후양산</t>
    <phoneticPr fontId="2" type="noConversion"/>
  </si>
  <si>
    <t>HICON</t>
    <phoneticPr fontId="2" type="noConversion"/>
  </si>
  <si>
    <t>1</t>
    <phoneticPr fontId="2" type="noConversion"/>
  </si>
  <si>
    <t>7</t>
    <phoneticPr fontId="2" type="noConversion"/>
  </si>
  <si>
    <t>당일 진행 사항(23일)</t>
    <phoneticPr fontId="2" type="noConversion"/>
  </si>
  <si>
    <t>NEXT</t>
    <phoneticPr fontId="2" type="noConversion"/>
  </si>
  <si>
    <t>2</t>
    <phoneticPr fontId="2" type="noConversion"/>
  </si>
  <si>
    <t>MIDDLE</t>
    <phoneticPr fontId="2" type="noConversion"/>
  </si>
  <si>
    <t>발주분양산</t>
    <phoneticPr fontId="2" type="noConversion"/>
  </si>
  <si>
    <t>11</t>
    <phoneticPr fontId="2" type="noConversion"/>
  </si>
  <si>
    <t>HSB05-M004B1</t>
    <phoneticPr fontId="2" type="noConversion"/>
  </si>
  <si>
    <t>수리후양산</t>
    <phoneticPr fontId="2" type="noConversion"/>
  </si>
  <si>
    <t>12</t>
    <phoneticPr fontId="2" type="noConversion"/>
  </si>
  <si>
    <t>COVER</t>
    <phoneticPr fontId="2" type="noConversion"/>
  </si>
  <si>
    <t>HSB75-M01A3</t>
    <phoneticPr fontId="2" type="noConversion"/>
  </si>
  <si>
    <t>발주분양산</t>
    <phoneticPr fontId="2" type="noConversion"/>
  </si>
  <si>
    <t>13</t>
    <phoneticPr fontId="2" type="noConversion"/>
  </si>
  <si>
    <t>SLIDER</t>
    <phoneticPr fontId="2" type="noConversion"/>
  </si>
  <si>
    <t>KR6182-A308WA</t>
    <phoneticPr fontId="2" type="noConversion"/>
  </si>
  <si>
    <t>세척후양산</t>
    <phoneticPr fontId="2" type="noConversion"/>
  </si>
  <si>
    <t>DI</t>
    <phoneticPr fontId="2" type="noConversion"/>
  </si>
  <si>
    <t>15</t>
    <phoneticPr fontId="2" type="noConversion"/>
  </si>
  <si>
    <t>72P</t>
    <phoneticPr fontId="2" type="noConversion"/>
  </si>
  <si>
    <t>코아파손수리후양산</t>
    <phoneticPr fontId="2" type="noConversion"/>
  </si>
  <si>
    <t>SAMPLE 진행 사항(22일)</t>
    <phoneticPr fontId="2" type="noConversion"/>
  </si>
  <si>
    <t>ODT</t>
    <phoneticPr fontId="2" type="noConversion"/>
  </si>
  <si>
    <t>LED A</t>
    <phoneticPr fontId="2" type="noConversion"/>
  </si>
  <si>
    <t>NORYL N/P</t>
    <phoneticPr fontId="2" type="noConversion"/>
  </si>
  <si>
    <t>MCS</t>
    <phoneticPr fontId="2" type="noConversion"/>
  </si>
  <si>
    <t>BODY</t>
    <phoneticPr fontId="2" type="noConversion"/>
  </si>
  <si>
    <t>AM0149A-K</t>
    <phoneticPr fontId="2" type="noConversion"/>
  </si>
  <si>
    <t>SGF2030/7301</t>
    <phoneticPr fontId="2" type="noConversion"/>
  </si>
  <si>
    <t>금형 수리 내역(22일)</t>
    <phoneticPr fontId="2" type="noConversion"/>
  </si>
  <si>
    <t>설비 점검 내역(22일)</t>
    <phoneticPr fontId="2" type="noConversion"/>
  </si>
  <si>
    <r>
      <t>2017년 11월 23일 일일생산현황</t>
    </r>
    <r>
      <rPr>
        <b/>
        <sz val="14"/>
        <color indexed="8"/>
        <rFont val="굴림체"/>
        <family val="3"/>
        <charset val="129"/>
      </rPr>
      <t>(24일(금) 09시 현재)</t>
    </r>
    <phoneticPr fontId="2" type="noConversion"/>
  </si>
  <si>
    <t>NEXT</t>
    <phoneticPr fontId="2" type="noConversion"/>
  </si>
  <si>
    <t>MIDDLE PLATE</t>
    <phoneticPr fontId="2" type="noConversion"/>
  </si>
  <si>
    <t>7301</t>
    <phoneticPr fontId="2" type="noConversion"/>
  </si>
  <si>
    <t>BASE</t>
    <phoneticPr fontId="2" type="noConversion"/>
  </si>
  <si>
    <t>AMM0822A-KAB-R1</t>
    <phoneticPr fontId="2" type="noConversion"/>
  </si>
  <si>
    <t>SF2255</t>
    <phoneticPr fontId="2" type="noConversion"/>
  </si>
  <si>
    <t>AM0241A-K</t>
    <phoneticPr fontId="2" type="noConversion"/>
  </si>
  <si>
    <t>HSB75-M01A3</t>
    <phoneticPr fontId="2" type="noConversion"/>
  </si>
  <si>
    <t>전일 ISSUE 사항(23일)</t>
    <phoneticPr fontId="2" type="noConversion"/>
  </si>
  <si>
    <t>코아파손수리후양산</t>
    <phoneticPr fontId="2" type="noConversion"/>
  </si>
  <si>
    <t>발주분양산</t>
    <phoneticPr fontId="2" type="noConversion"/>
  </si>
  <si>
    <t>NEXT</t>
    <phoneticPr fontId="2" type="noConversion"/>
  </si>
  <si>
    <t>MCS</t>
    <phoneticPr fontId="2" type="noConversion"/>
  </si>
  <si>
    <t>STOPPER</t>
    <phoneticPr fontId="2" type="noConversion"/>
  </si>
  <si>
    <t>COVER</t>
    <phoneticPr fontId="2" type="noConversion"/>
  </si>
  <si>
    <t>13</t>
    <phoneticPr fontId="2" type="noConversion"/>
  </si>
  <si>
    <t>SLIDER</t>
    <phoneticPr fontId="2" type="noConversion"/>
  </si>
  <si>
    <t>KR6182-A308WA</t>
    <phoneticPr fontId="2" type="noConversion"/>
  </si>
  <si>
    <t>세척후양산-&gt;코아파손수리후양산-&gt;슬라이드파손정지</t>
    <phoneticPr fontId="2" type="noConversion"/>
  </si>
  <si>
    <t>당일 진행 사항(24일)</t>
    <phoneticPr fontId="2" type="noConversion"/>
  </si>
  <si>
    <t>BASE</t>
    <phoneticPr fontId="2" type="noConversion"/>
  </si>
  <si>
    <t>AMB0143A-K</t>
    <phoneticPr fontId="2" type="noConversion"/>
  </si>
  <si>
    <t>발주분양산</t>
    <phoneticPr fontId="2" type="noConversion"/>
  </si>
  <si>
    <t>수리후양산</t>
    <phoneticPr fontId="2" type="noConversion"/>
  </si>
  <si>
    <t>SLIDER</t>
    <phoneticPr fontId="2" type="noConversion"/>
  </si>
  <si>
    <t>SAMPLE 진행 사항(23일)</t>
    <phoneticPr fontId="2" type="noConversion"/>
  </si>
  <si>
    <t>SAM</t>
    <phoneticPr fontId="2" type="noConversion"/>
  </si>
  <si>
    <t>AM0610B-J</t>
    <phoneticPr fontId="2" type="noConversion"/>
  </si>
  <si>
    <t>증작</t>
    <phoneticPr fontId="2" type="noConversion"/>
  </si>
  <si>
    <t>2C</t>
    <phoneticPr fontId="2" type="noConversion"/>
  </si>
  <si>
    <t>SAM</t>
    <phoneticPr fontId="2" type="noConversion"/>
  </si>
  <si>
    <t>SF2255 I/V</t>
    <phoneticPr fontId="2" type="noConversion"/>
  </si>
  <si>
    <t>BODY</t>
    <phoneticPr fontId="2" type="noConversion"/>
  </si>
  <si>
    <t>AMB0102B-JAA-R2</t>
    <phoneticPr fontId="2" type="noConversion"/>
  </si>
  <si>
    <t>SF2255</t>
    <phoneticPr fontId="2" type="noConversion"/>
  </si>
  <si>
    <t>수정</t>
    <phoneticPr fontId="2" type="noConversion"/>
  </si>
  <si>
    <t>AMB0114H-JAA-R1</t>
    <phoneticPr fontId="2" type="noConversion"/>
  </si>
  <si>
    <t>SF2255/SGF2030/SGF2033</t>
    <phoneticPr fontId="2" type="noConversion"/>
  </si>
  <si>
    <t>신작</t>
    <phoneticPr fontId="2" type="noConversion"/>
  </si>
  <si>
    <t>각50EA</t>
    <phoneticPr fontId="2" type="noConversion"/>
  </si>
  <si>
    <t>내부검토</t>
    <phoneticPr fontId="2" type="noConversion"/>
  </si>
  <si>
    <t>금형 수리 내역(23일)</t>
    <phoneticPr fontId="2" type="noConversion"/>
  </si>
  <si>
    <t>설비 점검 내역(23일)</t>
    <phoneticPr fontId="2" type="noConversion"/>
  </si>
  <si>
    <r>
      <t>2017년 11월 24일 일일생산현황</t>
    </r>
    <r>
      <rPr>
        <b/>
        <sz val="14"/>
        <color indexed="8"/>
        <rFont val="굴림체"/>
        <family val="3"/>
        <charset val="129"/>
      </rPr>
      <t>(25일(토) 09시 현재)</t>
    </r>
    <phoneticPr fontId="2" type="noConversion"/>
  </si>
  <si>
    <t>MCS</t>
    <phoneticPr fontId="2" type="noConversion"/>
  </si>
  <si>
    <t>AM0143A-K</t>
    <phoneticPr fontId="2" type="noConversion"/>
  </si>
  <si>
    <t>AMB0114E-JAA-R3</t>
    <phoneticPr fontId="2" type="noConversion"/>
  </si>
  <si>
    <t>SF2255</t>
    <phoneticPr fontId="2" type="noConversion"/>
  </si>
  <si>
    <t>AMM0821A-KAA-R3</t>
    <phoneticPr fontId="2" type="noConversion"/>
  </si>
  <si>
    <t>7301</t>
    <phoneticPr fontId="2" type="noConversion"/>
  </si>
  <si>
    <t>전일 ISSUE 사항(24일)</t>
    <phoneticPr fontId="2" type="noConversion"/>
  </si>
  <si>
    <t>BURR수리후양산</t>
    <phoneticPr fontId="2" type="noConversion"/>
  </si>
  <si>
    <t>HICON</t>
    <phoneticPr fontId="2" type="noConversion"/>
  </si>
  <si>
    <t>HSB05-M004B1</t>
    <phoneticPr fontId="2" type="noConversion"/>
  </si>
  <si>
    <t>수리후양산-&gt;미성형정지</t>
    <phoneticPr fontId="2" type="noConversion"/>
  </si>
  <si>
    <t>MCS</t>
    <phoneticPr fontId="2" type="noConversion"/>
  </si>
  <si>
    <t>6</t>
    <phoneticPr fontId="2" type="noConversion"/>
  </si>
  <si>
    <t>7</t>
    <phoneticPr fontId="2" type="noConversion"/>
  </si>
  <si>
    <t>발주분양산-&gt;치수수정후양산</t>
    <phoneticPr fontId="2" type="noConversion"/>
  </si>
  <si>
    <t>발주분양산-&gt;뜯김정지</t>
    <phoneticPr fontId="2" type="noConversion"/>
  </si>
  <si>
    <t>수리후양산</t>
    <phoneticPr fontId="2" type="noConversion"/>
  </si>
  <si>
    <t>5</t>
    <phoneticPr fontId="2" type="noConversion"/>
  </si>
  <si>
    <t>SLIDER</t>
    <phoneticPr fontId="2" type="noConversion"/>
  </si>
  <si>
    <t>HSB05-M002B1-15BI</t>
    <phoneticPr fontId="2" type="noConversion"/>
  </si>
  <si>
    <t>세척후양산</t>
    <phoneticPr fontId="2" type="noConversion"/>
  </si>
  <si>
    <t>당일 진행 사항(25일)</t>
    <phoneticPr fontId="2" type="noConversion"/>
  </si>
  <si>
    <t>MCS</t>
    <phoneticPr fontId="2" type="noConversion"/>
  </si>
  <si>
    <t>STOPPER</t>
    <phoneticPr fontId="2" type="noConversion"/>
  </si>
  <si>
    <t>AMB0201A-JAA-R3</t>
    <phoneticPr fontId="2" type="noConversion"/>
  </si>
  <si>
    <t>SST</t>
    <phoneticPr fontId="2" type="noConversion"/>
  </si>
  <si>
    <t>4</t>
    <phoneticPr fontId="2" type="noConversion"/>
  </si>
  <si>
    <t>SLIDER</t>
    <phoneticPr fontId="2" type="noConversion"/>
  </si>
  <si>
    <t>KR6197EA293YA</t>
    <phoneticPr fontId="2" type="noConversion"/>
  </si>
  <si>
    <t>발주분양산</t>
    <phoneticPr fontId="2" type="noConversion"/>
  </si>
  <si>
    <t>11</t>
    <phoneticPr fontId="2" type="noConversion"/>
  </si>
  <si>
    <t>STOPPER</t>
    <phoneticPr fontId="2" type="noConversion"/>
  </si>
  <si>
    <t>HSB05-M003B1</t>
    <phoneticPr fontId="2" type="noConversion"/>
  </si>
  <si>
    <t>SAMPLE 진행 사항(24일)</t>
    <phoneticPr fontId="2" type="noConversion"/>
  </si>
  <si>
    <t>SGF2030 N/P</t>
    <phoneticPr fontId="2" type="noConversion"/>
  </si>
  <si>
    <t>원재료</t>
    <phoneticPr fontId="2" type="noConversion"/>
  </si>
  <si>
    <t>금형 수리 내역(24일)</t>
    <phoneticPr fontId="2" type="noConversion"/>
  </si>
  <si>
    <t>설비 점검 내역(24일)</t>
    <phoneticPr fontId="2" type="noConversion"/>
  </si>
  <si>
    <r>
      <t>2017년 11월 25일 일일생산현황</t>
    </r>
    <r>
      <rPr>
        <b/>
        <sz val="14"/>
        <color indexed="8"/>
        <rFont val="굴림체"/>
        <family val="3"/>
        <charset val="129"/>
      </rPr>
      <t>(26일(일) 09시 현재)</t>
    </r>
    <phoneticPr fontId="2" type="noConversion"/>
  </si>
  <si>
    <t>HICON</t>
    <phoneticPr fontId="2" type="noConversion"/>
  </si>
  <si>
    <t>LEAD GUIDE</t>
    <phoneticPr fontId="2" type="noConversion"/>
  </si>
  <si>
    <t>HSB05-M005B1</t>
    <phoneticPr fontId="2" type="noConversion"/>
  </si>
  <si>
    <t>SLIDER</t>
    <phoneticPr fontId="2" type="noConversion"/>
  </si>
  <si>
    <t>KR6197EA293YA</t>
    <phoneticPr fontId="2" type="noConversion"/>
  </si>
  <si>
    <t>SGF2050</t>
    <phoneticPr fontId="2" type="noConversion"/>
  </si>
  <si>
    <t>STOPPER</t>
    <phoneticPr fontId="2" type="noConversion"/>
  </si>
  <si>
    <t>AMB0201A-JAA-R3</t>
    <phoneticPr fontId="2" type="noConversion"/>
  </si>
  <si>
    <t>전일 ISSUE 사항(25일)</t>
    <phoneticPr fontId="2" type="noConversion"/>
  </si>
  <si>
    <t>HICON</t>
    <phoneticPr fontId="2" type="noConversion"/>
  </si>
  <si>
    <t>2</t>
    <phoneticPr fontId="2" type="noConversion"/>
  </si>
  <si>
    <t>LEAD GUIDE</t>
    <phoneticPr fontId="2" type="noConversion"/>
  </si>
  <si>
    <t>수리후양산</t>
    <phoneticPr fontId="2" type="noConversion"/>
  </si>
  <si>
    <t>SST</t>
    <phoneticPr fontId="2" type="noConversion"/>
  </si>
  <si>
    <t>세척후양산</t>
    <phoneticPr fontId="2" type="noConversion"/>
  </si>
  <si>
    <t>4</t>
    <phoneticPr fontId="2" type="noConversion"/>
  </si>
  <si>
    <t>BURR수리후양산</t>
    <phoneticPr fontId="2" type="noConversion"/>
  </si>
  <si>
    <t>5</t>
    <phoneticPr fontId="2" type="noConversion"/>
  </si>
  <si>
    <t>발주분양산</t>
    <phoneticPr fontId="2" type="noConversion"/>
  </si>
  <si>
    <t>14</t>
    <phoneticPr fontId="2" type="noConversion"/>
  </si>
  <si>
    <t>BASE</t>
    <phoneticPr fontId="2" type="noConversion"/>
  </si>
  <si>
    <t>KR6182-B624CB</t>
    <phoneticPr fontId="2" type="noConversion"/>
  </si>
  <si>
    <t>밀핀파손정지</t>
    <phoneticPr fontId="2" type="noConversion"/>
  </si>
  <si>
    <t>8</t>
    <phoneticPr fontId="2" type="noConversion"/>
  </si>
  <si>
    <t>HSB75-M01A4</t>
    <phoneticPr fontId="2" type="noConversion"/>
  </si>
  <si>
    <t>당일 진행 사항(26일)</t>
    <phoneticPr fontId="2" type="noConversion"/>
  </si>
  <si>
    <t>1</t>
    <phoneticPr fontId="2" type="noConversion"/>
  </si>
  <si>
    <t>KR6197-D841PB</t>
    <phoneticPr fontId="2" type="noConversion"/>
  </si>
  <si>
    <t>BASE</t>
    <phoneticPr fontId="2" type="noConversion"/>
  </si>
  <si>
    <t>수리후양산</t>
    <phoneticPr fontId="2" type="noConversion"/>
  </si>
  <si>
    <t>SAMPLE 진행 사항(25일)</t>
    <phoneticPr fontId="2" type="noConversion"/>
  </si>
  <si>
    <t>IC GUIDE</t>
    <phoneticPr fontId="2" type="noConversion"/>
  </si>
  <si>
    <t>AMB0784A-KAA-R2</t>
    <phoneticPr fontId="2" type="noConversion"/>
  </si>
  <si>
    <t>SF2255 I/V</t>
    <phoneticPr fontId="2" type="noConversion"/>
  </si>
  <si>
    <t>수정</t>
    <phoneticPr fontId="2" type="noConversion"/>
  </si>
  <si>
    <t>MCS</t>
    <phoneticPr fontId="2" type="noConversion"/>
  </si>
  <si>
    <t>BODY</t>
    <phoneticPr fontId="2" type="noConversion"/>
  </si>
  <si>
    <t>AMB0152A-KAA-R1</t>
    <phoneticPr fontId="2" type="noConversion"/>
  </si>
  <si>
    <t>SGF2030</t>
    <phoneticPr fontId="2" type="noConversion"/>
  </si>
  <si>
    <t>뜯김</t>
    <phoneticPr fontId="2" type="noConversion"/>
  </si>
  <si>
    <t>금형 수리 내역(25일)</t>
    <phoneticPr fontId="2" type="noConversion"/>
  </si>
  <si>
    <t>설비 점검 내역(25일)</t>
    <phoneticPr fontId="2" type="noConversion"/>
  </si>
  <si>
    <t>STOPPER</t>
    <phoneticPr fontId="2" type="noConversion"/>
  </si>
  <si>
    <t>KR6197-D841PB</t>
    <phoneticPr fontId="2" type="noConversion"/>
  </si>
  <si>
    <t>SF2255</t>
    <phoneticPr fontId="2" type="noConversion"/>
  </si>
  <si>
    <t>전일 ISSUE 사항(26일)</t>
    <phoneticPr fontId="2" type="noConversion"/>
  </si>
  <si>
    <t>SST</t>
    <phoneticPr fontId="2" type="noConversion"/>
  </si>
  <si>
    <t>1</t>
    <phoneticPr fontId="2" type="noConversion"/>
  </si>
  <si>
    <t>STOPPER</t>
    <phoneticPr fontId="2" type="noConversion"/>
  </si>
  <si>
    <t>발주분양산</t>
    <phoneticPr fontId="2" type="noConversion"/>
  </si>
  <si>
    <t>코아파손정지</t>
    <phoneticPr fontId="2" type="noConversion"/>
  </si>
  <si>
    <t>제품눌림(사고)</t>
    <phoneticPr fontId="2" type="noConversion"/>
  </si>
  <si>
    <t>수리후양산</t>
    <phoneticPr fontId="2" type="noConversion"/>
  </si>
  <si>
    <t>당일 진행 사항(27일)</t>
    <phoneticPr fontId="2" type="noConversion"/>
  </si>
  <si>
    <t>HICON</t>
    <phoneticPr fontId="2" type="noConversion"/>
  </si>
  <si>
    <t>6</t>
    <phoneticPr fontId="2" type="noConversion"/>
  </si>
  <si>
    <t>SLIDER</t>
    <phoneticPr fontId="2" type="noConversion"/>
  </si>
  <si>
    <t>HSB05-M002B1-15BI</t>
    <phoneticPr fontId="2" type="noConversion"/>
  </si>
  <si>
    <t>세척후양산</t>
    <phoneticPr fontId="2" type="noConversion"/>
  </si>
  <si>
    <t>8</t>
    <phoneticPr fontId="2" type="noConversion"/>
  </si>
  <si>
    <t>KR6197AB841CA</t>
    <phoneticPr fontId="2" type="noConversion"/>
  </si>
  <si>
    <t>MCS</t>
    <phoneticPr fontId="2" type="noConversion"/>
  </si>
  <si>
    <t>13</t>
    <phoneticPr fontId="2" type="noConversion"/>
  </si>
  <si>
    <t>ACTUATOR</t>
    <phoneticPr fontId="2" type="noConversion"/>
  </si>
  <si>
    <t>AMB1901D-JAA-R2</t>
    <phoneticPr fontId="2" type="noConversion"/>
  </si>
  <si>
    <t>STOPPER</t>
    <phoneticPr fontId="2" type="noConversion"/>
  </si>
  <si>
    <t>HSB05-M004B1</t>
    <phoneticPr fontId="2" type="noConversion"/>
  </si>
  <si>
    <t>수리후양산</t>
    <phoneticPr fontId="2" type="noConversion"/>
  </si>
  <si>
    <t>SAMPLE 진행 사항(26일)</t>
    <phoneticPr fontId="2" type="noConversion"/>
  </si>
  <si>
    <t>금형 수리 내역(26일)</t>
    <phoneticPr fontId="2" type="noConversion"/>
  </si>
  <si>
    <t>설비 점검 내역(26일)</t>
    <phoneticPr fontId="2" type="noConversion"/>
  </si>
  <si>
    <r>
      <t>2017년 11월 27일 일일생산현황</t>
    </r>
    <r>
      <rPr>
        <b/>
        <sz val="14"/>
        <color indexed="8"/>
        <rFont val="굴림체"/>
        <family val="3"/>
        <charset val="129"/>
      </rPr>
      <t>(28일(화) 09시 현재)</t>
    </r>
    <phoneticPr fontId="2" type="noConversion"/>
  </si>
  <si>
    <r>
      <t>2017년 11월 26일(주간) 일일생산현황</t>
    </r>
    <r>
      <rPr>
        <b/>
        <sz val="14"/>
        <color indexed="8"/>
        <rFont val="굴림체"/>
        <family val="3"/>
        <charset val="129"/>
      </rPr>
      <t>(27일(월) 09시 현재)</t>
    </r>
    <phoneticPr fontId="2" type="noConversion"/>
  </si>
  <si>
    <t>BASE</t>
    <phoneticPr fontId="2" type="noConversion"/>
  </si>
  <si>
    <t>KR6197AB841CA</t>
    <phoneticPr fontId="2" type="noConversion"/>
  </si>
  <si>
    <t>SGF2033</t>
    <phoneticPr fontId="2" type="noConversion"/>
  </si>
  <si>
    <t>ACTUATOR</t>
    <phoneticPr fontId="2" type="noConversion"/>
  </si>
  <si>
    <t>AMB1901D-JAA-R2</t>
    <phoneticPr fontId="2" type="noConversion"/>
  </si>
  <si>
    <t>전일 ISSUE 사항(27일)</t>
    <phoneticPr fontId="2" type="noConversion"/>
  </si>
  <si>
    <t>당일 진행 사항(28일)</t>
    <phoneticPr fontId="2" type="noConversion"/>
  </si>
  <si>
    <t>HICON</t>
    <phoneticPr fontId="2" type="noConversion"/>
  </si>
  <si>
    <t>LEAD GUIDE</t>
    <phoneticPr fontId="2" type="noConversion"/>
  </si>
  <si>
    <t>HSB05-M005B1</t>
    <phoneticPr fontId="2" type="noConversion"/>
  </si>
  <si>
    <t>BURR정지</t>
    <phoneticPr fontId="2" type="noConversion"/>
  </si>
  <si>
    <t>SST</t>
    <phoneticPr fontId="2" type="noConversion"/>
  </si>
  <si>
    <t>KR6182-D624PA</t>
    <phoneticPr fontId="2" type="noConversion"/>
  </si>
  <si>
    <t>KR6182-A308WA</t>
    <phoneticPr fontId="2" type="noConversion"/>
  </si>
  <si>
    <t>코아파손정지</t>
    <phoneticPr fontId="2" type="noConversion"/>
  </si>
  <si>
    <t>8</t>
    <phoneticPr fontId="2" type="noConversion"/>
  </si>
  <si>
    <t>발주분양산</t>
    <phoneticPr fontId="2" type="noConversion"/>
  </si>
  <si>
    <t>MCS</t>
    <phoneticPr fontId="2" type="noConversion"/>
  </si>
  <si>
    <t>13</t>
    <phoneticPr fontId="2" type="noConversion"/>
  </si>
  <si>
    <t>ACTUATOR</t>
    <phoneticPr fontId="2" type="noConversion"/>
  </si>
  <si>
    <t>발주분양산-&gt;BURR수리후양산</t>
    <phoneticPr fontId="2" type="noConversion"/>
  </si>
  <si>
    <t>SLIDER</t>
    <phoneticPr fontId="2" type="noConversion"/>
  </si>
  <si>
    <t>HSB05-M002B1-15BI</t>
    <phoneticPr fontId="2" type="noConversion"/>
  </si>
  <si>
    <t>세척후양산</t>
    <phoneticPr fontId="2" type="noConversion"/>
  </si>
  <si>
    <t>AMB0114E-JAA-R3</t>
    <phoneticPr fontId="2" type="noConversion"/>
  </si>
  <si>
    <t>BURR정지</t>
    <phoneticPr fontId="2" type="noConversion"/>
  </si>
  <si>
    <t>LEAD GUIDE</t>
    <phoneticPr fontId="2" type="noConversion"/>
  </si>
  <si>
    <t>HSB05-M005B1</t>
    <phoneticPr fontId="2" type="noConversion"/>
  </si>
  <si>
    <t>수리후양산</t>
    <phoneticPr fontId="2" type="noConversion"/>
  </si>
  <si>
    <t>STOPPER</t>
    <phoneticPr fontId="2" type="noConversion"/>
  </si>
  <si>
    <t>HSB05-M004B1</t>
    <phoneticPr fontId="2" type="noConversion"/>
  </si>
  <si>
    <t>SST</t>
    <phoneticPr fontId="2" type="noConversion"/>
  </si>
  <si>
    <t>SLIDER</t>
    <phoneticPr fontId="2" type="noConversion"/>
  </si>
  <si>
    <t>KR6197EA293YA</t>
    <phoneticPr fontId="2" type="noConversion"/>
  </si>
  <si>
    <t>KR6182-D624PA</t>
    <phoneticPr fontId="2" type="noConversion"/>
  </si>
  <si>
    <t>BODY</t>
    <phoneticPr fontId="2" type="noConversion"/>
  </si>
  <si>
    <t>SAMPLE 진행 사항(27일)</t>
    <phoneticPr fontId="2" type="noConversion"/>
  </si>
  <si>
    <t>ADAPTER</t>
    <phoneticPr fontId="2" type="noConversion"/>
  </si>
  <si>
    <t>AM0211B-K</t>
    <phoneticPr fontId="2" type="noConversion"/>
  </si>
  <si>
    <t>휨검토용</t>
    <phoneticPr fontId="2" type="noConversion"/>
  </si>
  <si>
    <t>금형 수리 내역(27일)</t>
    <phoneticPr fontId="2" type="noConversion"/>
  </si>
  <si>
    <t>설비 점검 내역(27일)</t>
    <phoneticPr fontId="2" type="noConversion"/>
  </si>
  <si>
    <r>
      <t>2017년 11월 28일 일일생산현황</t>
    </r>
    <r>
      <rPr>
        <b/>
        <sz val="14"/>
        <color indexed="8"/>
        <rFont val="굴림체"/>
        <family val="3"/>
        <charset val="129"/>
      </rPr>
      <t>(29일(수) 09시 현재)</t>
    </r>
    <phoneticPr fontId="2" type="noConversion"/>
  </si>
  <si>
    <t>AM0149A-K</t>
    <phoneticPr fontId="2" type="noConversion"/>
  </si>
  <si>
    <t>SGF2030</t>
    <phoneticPr fontId="2" type="noConversion"/>
  </si>
  <si>
    <t>AYE</t>
    <phoneticPr fontId="2" type="noConversion"/>
  </si>
  <si>
    <t>NP504-295-091#SP</t>
    <phoneticPr fontId="2" type="noConversion"/>
  </si>
  <si>
    <t>SGF2033</t>
    <phoneticPr fontId="2" type="noConversion"/>
  </si>
  <si>
    <t>전일 ISSUE 사항(28일)</t>
    <phoneticPr fontId="2" type="noConversion"/>
  </si>
  <si>
    <t>수리후양산</t>
    <phoneticPr fontId="2" type="noConversion"/>
  </si>
  <si>
    <t>KR6197EA293YA</t>
    <phoneticPr fontId="2" type="noConversion"/>
  </si>
  <si>
    <t>KR6197EA293YA</t>
    <phoneticPr fontId="2" type="noConversion"/>
  </si>
  <si>
    <t>SST</t>
    <phoneticPr fontId="2" type="noConversion"/>
  </si>
  <si>
    <t>4</t>
    <phoneticPr fontId="2" type="noConversion"/>
  </si>
  <si>
    <t>SLIDER</t>
    <phoneticPr fontId="2" type="noConversion"/>
  </si>
  <si>
    <t>MCS</t>
    <phoneticPr fontId="2" type="noConversion"/>
  </si>
  <si>
    <t>9</t>
    <phoneticPr fontId="2" type="noConversion"/>
  </si>
  <si>
    <t>BODY</t>
    <phoneticPr fontId="2" type="noConversion"/>
  </si>
  <si>
    <t>AM0149A-K</t>
    <phoneticPr fontId="2" type="noConversion"/>
  </si>
  <si>
    <t>HSB05-M004B1</t>
    <phoneticPr fontId="2" type="noConversion"/>
  </si>
  <si>
    <t>HICON</t>
    <phoneticPr fontId="2" type="noConversion"/>
  </si>
  <si>
    <t>11</t>
    <phoneticPr fontId="2" type="noConversion"/>
  </si>
  <si>
    <t>STOPPER</t>
    <phoneticPr fontId="2" type="noConversion"/>
  </si>
  <si>
    <t>수리후양산-&gt;코아파손수리후양산</t>
    <phoneticPr fontId="2" type="noConversion"/>
  </si>
  <si>
    <t>NP504-295-091#SP</t>
    <phoneticPr fontId="2" type="noConversion"/>
  </si>
  <si>
    <t>AYE</t>
    <phoneticPr fontId="2" type="noConversion"/>
  </si>
  <si>
    <t>15</t>
    <phoneticPr fontId="2" type="noConversion"/>
  </si>
  <si>
    <t>발주분양산</t>
    <phoneticPr fontId="2" type="noConversion"/>
  </si>
  <si>
    <t>BODY</t>
    <phoneticPr fontId="2" type="noConversion"/>
  </si>
  <si>
    <t>AM0149A-K</t>
    <phoneticPr fontId="2" type="noConversion"/>
  </si>
  <si>
    <t>SGF2030</t>
    <phoneticPr fontId="2" type="noConversion"/>
  </si>
  <si>
    <t>발주분양산-&gt;단차정지(형상불량)</t>
    <phoneticPr fontId="2" type="noConversion"/>
  </si>
  <si>
    <t>당일 진행 사항(29일)</t>
    <phoneticPr fontId="2" type="noConversion"/>
  </si>
  <si>
    <t>HSB05-M002B1-15BI</t>
    <phoneticPr fontId="2" type="noConversion"/>
  </si>
  <si>
    <t>6</t>
    <phoneticPr fontId="2" type="noConversion"/>
  </si>
  <si>
    <t>SLIDER</t>
    <phoneticPr fontId="2" type="noConversion"/>
  </si>
  <si>
    <t>세척후양산</t>
    <phoneticPr fontId="2" type="noConversion"/>
  </si>
  <si>
    <t>AM0610B-J</t>
    <phoneticPr fontId="2" type="noConversion"/>
  </si>
  <si>
    <t>12</t>
    <phoneticPr fontId="2" type="noConversion"/>
  </si>
  <si>
    <t>SAM</t>
    <phoneticPr fontId="2" type="noConversion"/>
  </si>
  <si>
    <t>승인후양산</t>
    <phoneticPr fontId="2" type="noConversion"/>
  </si>
  <si>
    <t>MCS</t>
    <phoneticPr fontId="2" type="noConversion"/>
  </si>
  <si>
    <t>9</t>
    <phoneticPr fontId="2" type="noConversion"/>
  </si>
  <si>
    <t>SAMPLE 진행 사항(28일)</t>
    <phoneticPr fontId="2" type="noConversion"/>
  </si>
  <si>
    <t>금형 수리 내역(28일)</t>
    <phoneticPr fontId="2" type="noConversion"/>
  </si>
  <si>
    <t>설비 점검 내역(28일)</t>
    <phoneticPr fontId="2" type="noConversion"/>
  </si>
  <si>
    <r>
      <t>2017년 11월 29일 일일생산현황</t>
    </r>
    <r>
      <rPr>
        <b/>
        <sz val="14"/>
        <color indexed="8"/>
        <rFont val="굴림체"/>
        <family val="3"/>
        <charset val="129"/>
      </rPr>
      <t>(30일(목) 09시 현재)</t>
    </r>
    <phoneticPr fontId="2" type="noConversion"/>
  </si>
  <si>
    <t>AM0610C-K</t>
    <phoneticPr fontId="2" type="noConversion"/>
  </si>
  <si>
    <t>SGF2030 N/P</t>
    <phoneticPr fontId="2" type="noConversion"/>
  </si>
  <si>
    <t>BODY</t>
    <phoneticPr fontId="2" type="noConversion"/>
  </si>
  <si>
    <t>AM0149B-K</t>
    <phoneticPr fontId="2" type="noConversion"/>
  </si>
  <si>
    <t>전일 ISSUE 사항(29일)</t>
    <phoneticPr fontId="2" type="noConversion"/>
  </si>
  <si>
    <t>BURR정지</t>
    <phoneticPr fontId="2" type="noConversion"/>
  </si>
  <si>
    <t>SLIDER</t>
    <phoneticPr fontId="2" type="noConversion"/>
  </si>
  <si>
    <t>KR6197EA293YA</t>
    <phoneticPr fontId="2" type="noConversion"/>
  </si>
  <si>
    <t>MCS</t>
    <phoneticPr fontId="2" type="noConversion"/>
  </si>
  <si>
    <t>12</t>
    <phoneticPr fontId="2" type="noConversion"/>
  </si>
  <si>
    <t>SAM</t>
    <phoneticPr fontId="2" type="noConversion"/>
  </si>
  <si>
    <t>AM0610C-J</t>
    <phoneticPr fontId="2" type="noConversion"/>
  </si>
  <si>
    <t>승인후양산</t>
    <phoneticPr fontId="2" type="noConversion"/>
  </si>
  <si>
    <t>13</t>
    <phoneticPr fontId="2" type="noConversion"/>
  </si>
  <si>
    <t>AM0149B-K</t>
    <phoneticPr fontId="2" type="noConversion"/>
  </si>
  <si>
    <t>뜯김정지</t>
    <phoneticPr fontId="2" type="noConversion"/>
  </si>
  <si>
    <t>코아파손수리후양산</t>
    <phoneticPr fontId="2" type="noConversion"/>
  </si>
  <si>
    <t>당일 진행 사항(30일)</t>
    <phoneticPr fontId="2" type="noConversion"/>
  </si>
  <si>
    <t>HSB05-M002B1-15BI</t>
    <phoneticPr fontId="2" type="noConversion"/>
  </si>
  <si>
    <t>세척후양산</t>
    <phoneticPr fontId="2" type="noConversion"/>
  </si>
  <si>
    <t>NEXT</t>
    <phoneticPr fontId="2" type="noConversion"/>
  </si>
  <si>
    <t>발주분양산</t>
    <phoneticPr fontId="2" type="noConversion"/>
  </si>
  <si>
    <t>NP504-295-091#LB</t>
    <phoneticPr fontId="2" type="noConversion"/>
  </si>
  <si>
    <t>AYE</t>
    <phoneticPr fontId="2" type="noConversion"/>
  </si>
  <si>
    <t>10</t>
    <phoneticPr fontId="2" type="noConversion"/>
  </si>
  <si>
    <t>HICON</t>
    <phoneticPr fontId="2" type="noConversion"/>
  </si>
  <si>
    <t>LEAD GUIDE</t>
    <phoneticPr fontId="2" type="noConversion"/>
  </si>
  <si>
    <t>수리후양산</t>
    <phoneticPr fontId="2" type="noConversion"/>
  </si>
  <si>
    <t>SAMPLE 진행 사항(29일)</t>
    <phoneticPr fontId="2" type="noConversion"/>
  </si>
  <si>
    <t>AM0149B-K</t>
    <phoneticPr fontId="2" type="noConversion"/>
  </si>
  <si>
    <t>AMB0114H-JAA-R1</t>
    <phoneticPr fontId="2" type="noConversion"/>
  </si>
  <si>
    <t>SGF2033</t>
    <phoneticPr fontId="2" type="noConversion"/>
  </si>
  <si>
    <t>수정</t>
    <phoneticPr fontId="2" type="noConversion"/>
  </si>
  <si>
    <t>금형 수리 내역(29일)</t>
    <phoneticPr fontId="2" type="noConversion"/>
  </si>
  <si>
    <t>설비 점검 내역(29일)</t>
    <phoneticPr fontId="2" type="noConversion"/>
  </si>
  <si>
    <r>
      <t>2017년 11월 30일 일일생산현황</t>
    </r>
    <r>
      <rPr>
        <b/>
        <sz val="14"/>
        <color indexed="8"/>
        <rFont val="굴림체"/>
        <family val="3"/>
        <charset val="129"/>
      </rPr>
      <t>(01일(금) 09시 현재)</t>
    </r>
    <phoneticPr fontId="2" type="noConversion"/>
  </si>
  <si>
    <t>NEXT</t>
    <phoneticPr fontId="2" type="noConversion"/>
  </si>
  <si>
    <t>MIDDLE PLATE</t>
    <phoneticPr fontId="2" type="noConversion"/>
  </si>
  <si>
    <t>7301</t>
    <phoneticPr fontId="2" type="noConversion"/>
  </si>
  <si>
    <t>NP504-295-091#LB</t>
    <phoneticPr fontId="2" type="noConversion"/>
  </si>
  <si>
    <t>SGP2030R N/P</t>
    <phoneticPr fontId="2" type="noConversion"/>
  </si>
  <si>
    <t>전일 ISSUE 사항(30일)</t>
    <phoneticPr fontId="2" type="noConversion"/>
  </si>
  <si>
    <t>수리후양산</t>
    <phoneticPr fontId="2" type="noConversion"/>
  </si>
  <si>
    <t>STOPPER</t>
    <phoneticPr fontId="2" type="noConversion"/>
  </si>
  <si>
    <t>KR6197-D841PB</t>
    <phoneticPr fontId="2" type="noConversion"/>
  </si>
  <si>
    <t>코아파손정지</t>
    <phoneticPr fontId="2" type="noConversion"/>
  </si>
  <si>
    <t>수리후양산-&gt;2회진행</t>
    <phoneticPr fontId="2" type="noConversion"/>
  </si>
  <si>
    <t>MCS</t>
    <phoneticPr fontId="2" type="noConversion"/>
  </si>
  <si>
    <t>38P</t>
    <phoneticPr fontId="2" type="noConversion"/>
  </si>
  <si>
    <t>AM0164A-A</t>
    <phoneticPr fontId="2" type="noConversion"/>
  </si>
  <si>
    <t>발주분양산-&gt;코아파손정지</t>
    <phoneticPr fontId="2" type="noConversion"/>
  </si>
  <si>
    <t>당일 진행 사항(01일)</t>
    <phoneticPr fontId="2" type="noConversion"/>
  </si>
  <si>
    <t>9</t>
    <phoneticPr fontId="2" type="noConversion"/>
  </si>
  <si>
    <t>MIDDLE PLATE</t>
    <phoneticPr fontId="2" type="noConversion"/>
  </si>
  <si>
    <t>발주분양산</t>
    <phoneticPr fontId="2" type="noConversion"/>
  </si>
  <si>
    <t>KR6197-D841PB</t>
    <phoneticPr fontId="2" type="noConversion"/>
  </si>
  <si>
    <t>NP504-295-091#LB</t>
    <phoneticPr fontId="2" type="noConversion"/>
  </si>
  <si>
    <t>SLIDER</t>
    <phoneticPr fontId="2" type="noConversion"/>
  </si>
  <si>
    <t>KR6197EA293YA</t>
    <phoneticPr fontId="2" type="noConversion"/>
  </si>
  <si>
    <t>SLIDER</t>
    <phoneticPr fontId="2" type="noConversion"/>
  </si>
  <si>
    <t>SAMPLE 진행 사항(30일)</t>
    <phoneticPr fontId="2" type="noConversion"/>
  </si>
  <si>
    <t>금형 수리 내역(30일)</t>
    <phoneticPr fontId="2" type="noConversion"/>
  </si>
  <si>
    <t>설비 점검 내역(30일)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</si>
</sst>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#,##0_ "/>
    <numFmt numFmtId="178" formatCode="_-* #,##0.0_-;\-* #,##0.0_-;_-* &quot;-&quot;_-;_-@_-"/>
    <numFmt numFmtId="179" formatCode="m&quot;/&quot;d;@"/>
    <numFmt numFmtId="180" formatCode="\$#.00"/>
    <numFmt numFmtId="181" formatCode="m\o\n\th\ d\,\ yyyy"/>
    <numFmt numFmtId="182" formatCode="#.00"/>
    <numFmt numFmtId="183" formatCode="#."/>
    <numFmt numFmtId="184" formatCode="%#.00"/>
    <numFmt numFmtId="185" formatCode="_ * #,##0_ ;_ * \-#,##0_ ;_ * &quot;-&quot;_ ;_ @_ "/>
    <numFmt numFmtId="186" formatCode="_ * #,##0.00_ ;_ * \-#,##0.00_ ;_ * &quot;-&quot;??_ ;_ @_ "/>
    <numFmt numFmtId="187" formatCode="_ &quot;₩&quot;* #,##0_ ;_ &quot;₩&quot;* &quot;₩&quot;&quot;₩&quot;\-#,##0_ ;_ &quot;₩&quot;* &quot;-&quot;_ ;_ @_ "/>
    <numFmt numFmtId="188" formatCode="_ * #,##0_ ;_ * &quot;₩&quot;&quot;₩&quot;\-#,##0_ ;_ * &quot;-&quot;_ ;_ @_ "/>
    <numFmt numFmtId="189" formatCode="_ &quot;₩&quot;* #,##0.00_ ;_ &quot;₩&quot;* &quot;₩&quot;&quot;₩&quot;\-#,##0.00_ ;_ &quot;₩&quot;* &quot;-&quot;??_ ;_ @_ "/>
    <numFmt numFmtId="190" formatCode="_ * #,##0.00_ ;_ * &quot;₩&quot;&quot;₩&quot;\-#,##0.00_ ;_ * &quot;-&quot;??_ ;_ @_ 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4"/>
      <color indexed="8"/>
      <name val="굴림체"/>
      <family val="3"/>
      <charset val="129"/>
    </font>
    <font>
      <b/>
      <sz val="14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  <font>
      <sz val="14"/>
      <color theme="1"/>
      <name val="굴림체"/>
      <family val="3"/>
      <charset val="129"/>
    </font>
    <font>
      <b/>
      <sz val="16"/>
      <color theme="1"/>
      <name val="굴림체"/>
      <family val="3"/>
      <charset val="129"/>
    </font>
    <font>
      <sz val="16"/>
      <color theme="1"/>
      <name val="굴림체"/>
      <family val="3"/>
      <charset val="129"/>
    </font>
    <font>
      <b/>
      <sz val="28"/>
      <color theme="1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20"/>
      <color theme="1"/>
      <name val="굴림체"/>
      <family val="3"/>
      <charset val="129"/>
    </font>
    <font>
      <b/>
      <sz val="22"/>
      <color theme="1"/>
      <name val="굴림체"/>
      <family val="3"/>
      <charset val="129"/>
    </font>
    <font>
      <b/>
      <sz val="24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color indexed="8"/>
      <name val="새굴림"/>
      <family val="1"/>
      <charset val="129"/>
    </font>
    <font>
      <sz val="1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8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0"/>
    <xf numFmtId="4" fontId="29" fillId="0" borderId="0">
      <protection locked="0"/>
    </xf>
    <xf numFmtId="180" fontId="29" fillId="0" borderId="0">
      <protection locked="0"/>
    </xf>
    <xf numFmtId="181" fontId="29" fillId="0" borderId="0">
      <protection locked="0"/>
    </xf>
    <xf numFmtId="182" fontId="29" fillId="0" borderId="0">
      <protection locked="0"/>
    </xf>
    <xf numFmtId="38" fontId="30" fillId="19" borderId="0" applyNumberFormat="0" applyBorder="0" applyAlignment="0" applyProtection="0"/>
    <xf numFmtId="0" fontId="31" fillId="0" borderId="0">
      <alignment horizontal="left"/>
    </xf>
    <xf numFmtId="0" fontId="32" fillId="0" borderId="16" applyNumberFormat="0" applyAlignment="0" applyProtection="0">
      <alignment horizontal="left" vertical="center"/>
    </xf>
    <xf numFmtId="0" fontId="32" fillId="0" borderId="26">
      <alignment horizontal="left" vertical="center"/>
    </xf>
    <xf numFmtId="183" fontId="33" fillId="0" borderId="0">
      <protection locked="0"/>
    </xf>
    <xf numFmtId="183" fontId="33" fillId="0" borderId="0">
      <protection locked="0"/>
    </xf>
    <xf numFmtId="10" fontId="30" fillId="19" borderId="9" applyNumberFormat="0" applyBorder="0" applyAlignment="0" applyProtection="0"/>
    <xf numFmtId="0" fontId="34" fillId="0" borderId="27"/>
    <xf numFmtId="0" fontId="35" fillId="0" borderId="0"/>
    <xf numFmtId="184" fontId="29" fillId="0" borderId="0">
      <protection locked="0"/>
    </xf>
    <xf numFmtId="10" fontId="36" fillId="0" borderId="0" applyFont="0" applyFill="0" applyBorder="0" applyAlignment="0" applyProtection="0"/>
    <xf numFmtId="0" fontId="34" fillId="0" borderId="0"/>
    <xf numFmtId="183" fontId="29" fillId="0" borderId="39">
      <protection locked="0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4" borderId="40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4" fillId="25" borderId="41" applyNumberFormat="0" applyFon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7" borderId="42" applyNumberFormat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3" fillId="0" borderId="0"/>
    <xf numFmtId="0" fontId="44" fillId="0" borderId="43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10" borderId="40" applyNumberFormat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48" fillId="0" borderId="46" applyNumberFormat="0" applyFill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48" applyNumberFormat="0" applyAlignment="0" applyProtection="0">
      <alignment vertical="center"/>
    </xf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38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3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0" fontId="35" fillId="0" borderId="0" applyFont="0" applyFill="0" applyProtection="0"/>
    <xf numFmtId="19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55" fillId="0" borderId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3" fillId="0" borderId="0"/>
    <xf numFmtId="0" fontId="36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61">
    <xf numFmtId="0" fontId="0" fillId="0" borderId="0" xfId="0">
      <alignment vertical="center"/>
    </xf>
    <xf numFmtId="9" fontId="7" fillId="0" borderId="0" xfId="3" applyFont="1">
      <alignment vertical="center"/>
    </xf>
    <xf numFmtId="0" fontId="9" fillId="0" borderId="0" xfId="2" applyFont="1">
      <alignment vertical="center"/>
    </xf>
    <xf numFmtId="178" fontId="9" fillId="0" borderId="0" xfId="4" applyNumberFormat="1" applyFont="1">
      <alignment vertical="center"/>
    </xf>
    <xf numFmtId="9" fontId="9" fillId="3" borderId="2" xfId="3" applyFont="1" applyFill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3" xfId="4" applyFont="1" applyFill="1" applyBorder="1" applyAlignment="1">
      <alignment horizontal="center" vertical="center"/>
    </xf>
    <xf numFmtId="41" fontId="8" fillId="0" borderId="6" xfId="4" applyFont="1" applyFill="1" applyBorder="1" applyAlignment="1">
      <alignment horizontal="center" vertical="center"/>
    </xf>
    <xf numFmtId="9" fontId="8" fillId="0" borderId="6" xfId="3" applyFont="1" applyBorder="1" applyAlignment="1">
      <alignment horizontal="center" vertical="center"/>
    </xf>
    <xf numFmtId="9" fontId="8" fillId="0" borderId="7" xfId="3" applyFont="1" applyFill="1" applyBorder="1" applyAlignment="1">
      <alignment horizontal="center" vertical="center"/>
    </xf>
    <xf numFmtId="9" fontId="9" fillId="0" borderId="7" xfId="3" applyFont="1" applyFill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178" fontId="8" fillId="0" borderId="10" xfId="4" applyNumberFormat="1" applyFont="1" applyFill="1" applyBorder="1" applyAlignment="1">
      <alignment horizontal="center" vertical="center"/>
    </xf>
    <xf numFmtId="41" fontId="8" fillId="0" borderId="11" xfId="4" applyFont="1" applyBorder="1" applyAlignment="1">
      <alignment horizontal="center" vertical="center"/>
    </xf>
    <xf numFmtId="41" fontId="8" fillId="0" borderId="9" xfId="4" applyFont="1" applyBorder="1" applyAlignment="1">
      <alignment horizontal="center" vertical="center"/>
    </xf>
    <xf numFmtId="41" fontId="8" fillId="0" borderId="9" xfId="4" applyFont="1" applyFill="1" applyBorder="1" applyAlignment="1">
      <alignment horizontal="center" vertical="center"/>
    </xf>
    <xf numFmtId="41" fontId="8" fillId="0" borderId="3" xfId="4" applyFont="1" applyFill="1" applyBorder="1" applyAlignment="1">
      <alignment horizontal="center" vertical="center" wrapText="1"/>
    </xf>
    <xf numFmtId="41" fontId="4" fillId="0" borderId="7" xfId="4" applyFont="1" applyFill="1" applyBorder="1" applyAlignment="1">
      <alignment horizontal="center" vertical="center" wrapText="1"/>
    </xf>
    <xf numFmtId="41" fontId="8" fillId="0" borderId="4" xfId="4" applyFont="1" applyFill="1" applyBorder="1" applyAlignment="1">
      <alignment horizontal="center" vertical="center"/>
    </xf>
    <xf numFmtId="41" fontId="8" fillId="0" borderId="3" xfId="4" applyFont="1" applyBorder="1" applyAlignment="1">
      <alignment horizontal="center" vertical="center" wrapText="1"/>
    </xf>
    <xf numFmtId="41" fontId="8" fillId="0" borderId="5" xfId="4" applyFont="1" applyBorder="1" applyAlignment="1">
      <alignment horizontal="center" vertical="center"/>
    </xf>
    <xf numFmtId="41" fontId="9" fillId="3" borderId="13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right" vertical="center"/>
    </xf>
    <xf numFmtId="41" fontId="9" fillId="3" borderId="1" xfId="4" applyFont="1" applyFill="1" applyBorder="1" applyAlignment="1">
      <alignment horizontal="center" vertical="center"/>
    </xf>
    <xf numFmtId="41" fontId="6" fillId="3" borderId="1" xfId="4" applyFont="1" applyFill="1" applyBorder="1" applyAlignment="1">
      <alignment horizontal="right" vertical="center"/>
    </xf>
    <xf numFmtId="41" fontId="6" fillId="3" borderId="14" xfId="4" applyFont="1" applyFill="1" applyBorder="1" applyAlignment="1">
      <alignment horizontal="right" vertical="center"/>
    </xf>
    <xf numFmtId="41" fontId="6" fillId="3" borderId="2" xfId="4" applyFont="1" applyFill="1" applyBorder="1" applyAlignment="1">
      <alignment horizontal="right" vertical="center"/>
    </xf>
    <xf numFmtId="41" fontId="6" fillId="3" borderId="16" xfId="4" applyFont="1" applyFill="1" applyBorder="1" applyAlignment="1">
      <alignment horizontal="right" vertical="center"/>
    </xf>
    <xf numFmtId="41" fontId="6" fillId="3" borderId="15" xfId="4" applyFont="1" applyFill="1" applyBorder="1" applyAlignment="1">
      <alignment horizontal="right" vertical="center"/>
    </xf>
    <xf numFmtId="9" fontId="9" fillId="3" borderId="1" xfId="3" applyFont="1" applyFill="1" applyBorder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49" fontId="8" fillId="0" borderId="3" xfId="2" applyNumberFormat="1" applyFont="1" applyFill="1" applyBorder="1" applyAlignment="1">
      <alignment horizontal="center" vertical="center" wrapText="1"/>
    </xf>
    <xf numFmtId="41" fontId="8" fillId="0" borderId="8" xfId="4" applyFont="1" applyFill="1" applyBorder="1" applyAlignment="1">
      <alignment horizontal="center" vertical="center"/>
    </xf>
    <xf numFmtId="0" fontId="12" fillId="0" borderId="9" xfId="2" applyFont="1" applyBorder="1" applyAlignment="1">
      <alignment horizontal="center" vertical="center" shrinkToFi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178" fontId="8" fillId="0" borderId="7" xfId="4" applyNumberFormat="1" applyFont="1" applyFill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11" fillId="0" borderId="0" xfId="2" applyFont="1">
      <alignment vertical="center"/>
    </xf>
    <xf numFmtId="178" fontId="11" fillId="0" borderId="0" xfId="4" applyNumberFormat="1" applyFont="1">
      <alignment vertical="center"/>
    </xf>
    <xf numFmtId="41" fontId="8" fillId="0" borderId="6" xfId="1" applyFont="1" applyFill="1" applyBorder="1" applyAlignment="1">
      <alignment horizontal="center" vertical="center"/>
    </xf>
    <xf numFmtId="41" fontId="8" fillId="0" borderId="10" xfId="1" applyFont="1" applyBorder="1" applyAlignment="1">
      <alignment horizontal="center" vertical="center"/>
    </xf>
    <xf numFmtId="41" fontId="9" fillId="3" borderId="15" xfId="1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41" fontId="9" fillId="3" borderId="2" xfId="1" applyFont="1" applyFill="1" applyBorder="1" applyAlignment="1">
      <alignment horizontal="center" vertical="center"/>
    </xf>
    <xf numFmtId="177" fontId="19" fillId="2" borderId="1" xfId="2" applyNumberFormat="1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7" fillId="0" borderId="0" xfId="2" applyFont="1">
      <alignment vertical="center"/>
    </xf>
    <xf numFmtId="0" fontId="7" fillId="0" borderId="0" xfId="0" applyFont="1">
      <alignment vertical="center"/>
    </xf>
    <xf numFmtId="0" fontId="13" fillId="0" borderId="3" xfId="2" applyFont="1" applyBorder="1" applyAlignment="1">
      <alignment horizontal="center" vertical="center" shrinkToFit="1"/>
    </xf>
    <xf numFmtId="0" fontId="8" fillId="0" borderId="3" xfId="2" applyFont="1" applyFill="1" applyBorder="1" applyAlignment="1">
      <alignment horizontal="center" vertical="center" shrinkToFit="1"/>
    </xf>
    <xf numFmtId="0" fontId="8" fillId="0" borderId="9" xfId="2" applyFont="1" applyFill="1" applyBorder="1" applyAlignment="1">
      <alignment horizontal="center" vertical="center" shrinkToFit="1"/>
    </xf>
    <xf numFmtId="0" fontId="8" fillId="0" borderId="9" xfId="2" applyFont="1" applyBorder="1" applyAlignment="1">
      <alignment horizontal="center" vertical="center" shrinkToFit="1"/>
    </xf>
    <xf numFmtId="0" fontId="19" fillId="0" borderId="0" xfId="2" applyFont="1" applyAlignment="1">
      <alignment horizontal="center" vertical="center"/>
    </xf>
    <xf numFmtId="178" fontId="20" fillId="4" borderId="17" xfId="4" applyNumberFormat="1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0" fontId="20" fillId="4" borderId="19" xfId="2" applyFont="1" applyFill="1" applyBorder="1" applyAlignment="1">
      <alignment horizontal="center" vertical="center" wrapText="1"/>
    </xf>
    <xf numFmtId="9" fontId="8" fillId="0" borderId="12" xfId="8" applyFont="1" applyBorder="1" applyAlignment="1">
      <alignment horizontal="center" vertical="center"/>
    </xf>
    <xf numFmtId="0" fontId="17" fillId="0" borderId="0" xfId="2" applyFont="1" applyBorder="1" applyAlignment="1">
      <alignment vertical="center"/>
    </xf>
    <xf numFmtId="0" fontId="11" fillId="0" borderId="0" xfId="2" applyFont="1" applyBorder="1">
      <alignment vertical="center"/>
    </xf>
    <xf numFmtId="178" fontId="11" fillId="0" borderId="0" xfId="4" applyNumberFormat="1" applyFont="1" applyBorder="1">
      <alignment vertical="center"/>
    </xf>
    <xf numFmtId="0" fontId="13" fillId="0" borderId="0" xfId="2" applyFont="1" applyBorder="1" applyAlignment="1">
      <alignment vertical="center"/>
    </xf>
    <xf numFmtId="0" fontId="13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 shrinkToFit="1"/>
    </xf>
    <xf numFmtId="41" fontId="13" fillId="0" borderId="0" xfId="4" applyFont="1" applyBorder="1" applyAlignment="1">
      <alignment vertical="center"/>
    </xf>
    <xf numFmtId="49" fontId="13" fillId="0" borderId="0" xfId="2" applyNumberFormat="1" applyFont="1" applyBorder="1" applyAlignment="1">
      <alignment vertical="center" shrinkToFit="1"/>
    </xf>
    <xf numFmtId="0" fontId="12" fillId="0" borderId="24" xfId="2" applyFont="1" applyBorder="1" applyAlignment="1">
      <alignment horizontal="center" vertical="center" shrinkToFit="1"/>
    </xf>
    <xf numFmtId="0" fontId="8" fillId="0" borderId="0" xfId="2" applyFont="1">
      <alignment vertical="center"/>
    </xf>
    <xf numFmtId="49" fontId="13" fillId="0" borderId="2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9" fontId="7" fillId="0" borderId="49" xfId="8" applyFont="1" applyBorder="1" applyAlignment="1">
      <alignment horizontal="center" vertical="center"/>
    </xf>
    <xf numFmtId="9" fontId="7" fillId="0" borderId="20" xfId="8" applyFont="1" applyBorder="1" applyAlignment="1">
      <alignment horizontal="center" vertical="center"/>
    </xf>
    <xf numFmtId="9" fontId="7" fillId="0" borderId="54" xfId="8" applyFont="1" applyBorder="1" applyAlignment="1">
      <alignment horizontal="center" vertical="center"/>
    </xf>
    <xf numFmtId="9" fontId="7" fillId="0" borderId="52" xfId="8" applyFont="1" applyBorder="1" applyAlignment="1">
      <alignment horizontal="center" vertical="center"/>
    </xf>
    <xf numFmtId="9" fontId="7" fillId="3" borderId="9" xfId="8" applyFont="1" applyFill="1" applyBorder="1" applyAlignment="1">
      <alignment horizontal="center" vertical="center"/>
    </xf>
    <xf numFmtId="9" fontId="7" fillId="3" borderId="12" xfId="8" applyFont="1" applyFill="1" applyBorder="1" applyAlignment="1">
      <alignment horizontal="center" vertical="center"/>
    </xf>
    <xf numFmtId="9" fontId="7" fillId="3" borderId="51" xfId="8" applyFont="1" applyFill="1" applyBorder="1" applyAlignment="1">
      <alignment horizontal="center" vertical="center"/>
    </xf>
    <xf numFmtId="9" fontId="7" fillId="28" borderId="9" xfId="8" applyFont="1" applyFill="1" applyBorder="1" applyAlignment="1">
      <alignment horizontal="center" vertical="center"/>
    </xf>
    <xf numFmtId="9" fontId="7" fillId="28" borderId="12" xfId="8" applyFont="1" applyFill="1" applyBorder="1" applyAlignment="1">
      <alignment horizontal="center" vertical="center"/>
    </xf>
    <xf numFmtId="9" fontId="7" fillId="28" borderId="51" xfId="8" applyFont="1" applyFill="1" applyBorder="1" applyAlignment="1">
      <alignment horizontal="center" vertical="center"/>
    </xf>
    <xf numFmtId="9" fontId="7" fillId="29" borderId="9" xfId="8" applyFont="1" applyFill="1" applyBorder="1" applyAlignment="1">
      <alignment horizontal="center" vertical="center"/>
    </xf>
    <xf numFmtId="9" fontId="7" fillId="29" borderId="12" xfId="8" applyFont="1" applyFill="1" applyBorder="1" applyAlignment="1">
      <alignment horizontal="center" vertical="center"/>
    </xf>
    <xf numFmtId="9" fontId="7" fillId="29" borderId="51" xfId="8" applyFont="1" applyFill="1" applyBorder="1" applyAlignment="1">
      <alignment horizontal="center" vertical="center"/>
    </xf>
    <xf numFmtId="9" fontId="7" fillId="29" borderId="20" xfId="8" applyFont="1" applyFill="1" applyBorder="1" applyAlignment="1">
      <alignment horizontal="center" vertical="center"/>
    </xf>
    <xf numFmtId="9" fontId="7" fillId="29" borderId="54" xfId="8" applyFont="1" applyFill="1" applyBorder="1" applyAlignment="1">
      <alignment horizontal="center" vertical="center"/>
    </xf>
    <xf numFmtId="9" fontId="7" fillId="29" borderId="52" xfId="8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3" fontId="8" fillId="0" borderId="0" xfId="0" applyNumberFormat="1" applyFont="1">
      <alignment vertical="center"/>
    </xf>
    <xf numFmtId="0" fontId="7" fillId="0" borderId="55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9" fontId="19" fillId="0" borderId="4" xfId="8" applyFont="1" applyBorder="1" applyAlignment="1">
      <alignment horizontal="center" vertical="center"/>
    </xf>
    <xf numFmtId="9" fontId="19" fillId="0" borderId="3" xfId="8" applyFont="1" applyBorder="1" applyAlignment="1">
      <alignment horizontal="center" vertical="center"/>
    </xf>
    <xf numFmtId="9" fontId="19" fillId="0" borderId="5" xfId="8" applyFont="1" applyBorder="1" applyAlignment="1">
      <alignment horizontal="center" vertical="center"/>
    </xf>
    <xf numFmtId="9" fontId="7" fillId="3" borderId="24" xfId="8" applyFont="1" applyFill="1" applyBorder="1" applyAlignment="1">
      <alignment horizontal="center" vertical="center"/>
    </xf>
    <xf numFmtId="9" fontId="7" fillId="3" borderId="31" xfId="8" applyFont="1" applyFill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9" fontId="7" fillId="3" borderId="53" xfId="8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8" fillId="28" borderId="8" xfId="2" applyFont="1" applyFill="1" applyBorder="1" applyAlignment="1">
      <alignment horizontal="center" vertical="center"/>
    </xf>
    <xf numFmtId="0" fontId="8" fillId="29" borderId="6" xfId="2" applyFont="1" applyFill="1" applyBorder="1" applyAlignment="1">
      <alignment horizontal="center" vertical="center"/>
    </xf>
    <xf numFmtId="9" fontId="7" fillId="3" borderId="38" xfId="8" applyFont="1" applyFill="1" applyBorder="1" applyAlignment="1">
      <alignment horizontal="center" vertical="center"/>
    </xf>
    <xf numFmtId="9" fontId="7" fillId="3" borderId="11" xfId="8" applyFont="1" applyFill="1" applyBorder="1" applyAlignment="1">
      <alignment horizontal="center" vertical="center"/>
    </xf>
    <xf numFmtId="9" fontId="7" fillId="28" borderId="11" xfId="8" applyFont="1" applyFill="1" applyBorder="1" applyAlignment="1">
      <alignment horizontal="center" vertical="center"/>
    </xf>
    <xf numFmtId="9" fontId="7" fillId="29" borderId="11" xfId="8" applyFont="1" applyFill="1" applyBorder="1" applyAlignment="1">
      <alignment horizontal="center" vertical="center"/>
    </xf>
    <xf numFmtId="9" fontId="7" fillId="29" borderId="49" xfId="8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0" fontId="7" fillId="28" borderId="51" xfId="0" applyFont="1" applyFill="1" applyBorder="1" applyAlignment="1">
      <alignment horizontal="center" vertical="center"/>
    </xf>
    <xf numFmtId="0" fontId="7" fillId="29" borderId="51" xfId="0" applyFont="1" applyFill="1" applyBorder="1" applyAlignment="1">
      <alignment horizontal="center" vertical="center"/>
    </xf>
    <xf numFmtId="0" fontId="7" fillId="29" borderId="52" xfId="0" applyFont="1" applyFill="1" applyBorder="1" applyAlignment="1">
      <alignment horizontal="center" vertical="center"/>
    </xf>
    <xf numFmtId="49" fontId="13" fillId="0" borderId="22" xfId="2" applyNumberFormat="1" applyFont="1" applyBorder="1" applyAlignment="1">
      <alignment horizontal="center" vertical="center"/>
    </xf>
    <xf numFmtId="9" fontId="7" fillId="3" borderId="33" xfId="8" applyFont="1" applyFill="1" applyBorder="1" applyAlignment="1">
      <alignment horizontal="center" vertical="center"/>
    </xf>
    <xf numFmtId="9" fontId="7" fillId="28" borderId="3" xfId="8" applyFont="1" applyFill="1" applyBorder="1" applyAlignment="1">
      <alignment horizontal="center" vertical="center"/>
    </xf>
    <xf numFmtId="0" fontId="13" fillId="0" borderId="9" xfId="2" applyFont="1" applyBorder="1" applyAlignment="1">
      <alignment horizontal="center" vertical="center" shrinkToFi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0" fontId="20" fillId="4" borderId="23" xfId="2" applyFont="1" applyFill="1" applyBorder="1" applyAlignment="1">
      <alignment horizontal="center" vertical="center" wrapText="1"/>
    </xf>
    <xf numFmtId="0" fontId="20" fillId="4" borderId="21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4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 wrapText="1"/>
    </xf>
    <xf numFmtId="178" fontId="20" fillId="4" borderId="32" xfId="4" applyNumberFormat="1" applyFont="1" applyFill="1" applyBorder="1" applyAlignment="1">
      <alignment horizontal="center" vertical="center" wrapText="1"/>
    </xf>
    <xf numFmtId="178" fontId="20" fillId="4" borderId="30" xfId="4" applyNumberFormat="1" applyFont="1" applyFill="1" applyBorder="1" applyAlignment="1">
      <alignment horizontal="center" vertical="center"/>
    </xf>
    <xf numFmtId="0" fontId="19" fillId="2" borderId="32" xfId="2" applyFont="1" applyFill="1" applyBorder="1" applyAlignment="1">
      <alignment horizontal="center" vertical="center" wrapText="1"/>
    </xf>
    <xf numFmtId="0" fontId="19" fillId="2" borderId="30" xfId="2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28" xfId="2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6" fillId="0" borderId="34" xfId="2" applyFont="1" applyBorder="1" applyAlignment="1">
      <alignment horizontal="center" vertical="center"/>
    </xf>
    <xf numFmtId="0" fontId="16" fillId="0" borderId="35" xfId="2" applyFont="1" applyBorder="1" applyAlignment="1">
      <alignment horizontal="center" vertical="center"/>
    </xf>
    <xf numFmtId="0" fontId="16" fillId="0" borderId="36" xfId="2" applyFont="1" applyBorder="1" applyAlignment="1">
      <alignment horizontal="center" vertical="center"/>
    </xf>
    <xf numFmtId="49" fontId="13" fillId="0" borderId="23" xfId="2" applyNumberFormat="1" applyFont="1" applyBorder="1" applyAlignment="1">
      <alignment horizontal="center" vertical="center"/>
    </xf>
    <xf numFmtId="49" fontId="13" fillId="0" borderId="24" xfId="2" applyNumberFormat="1" applyFont="1" applyBorder="1" applyAlignment="1">
      <alignment horizontal="center" vertical="center"/>
    </xf>
    <xf numFmtId="49" fontId="13" fillId="0" borderId="32" xfId="2" applyNumberFormat="1" applyFont="1" applyBorder="1" applyAlignment="1">
      <alignment horizontal="center" vertical="center"/>
    </xf>
    <xf numFmtId="49" fontId="13" fillId="0" borderId="31" xfId="2" applyNumberFormat="1" applyFont="1" applyBorder="1" applyAlignment="1">
      <alignment horizontal="center" vertical="center"/>
    </xf>
    <xf numFmtId="49" fontId="13" fillId="0" borderId="38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49" fontId="13" fillId="0" borderId="59" xfId="2" applyNumberFormat="1" applyFont="1" applyBorder="1" applyAlignment="1">
      <alignment horizontal="center" vertical="center"/>
    </xf>
    <xf numFmtId="0" fontId="20" fillId="4" borderId="29" xfId="2" applyFont="1" applyFill="1" applyBorder="1" applyAlignment="1">
      <alignment horizontal="center" vertical="center" wrapText="1"/>
    </xf>
    <xf numFmtId="0" fontId="20" fillId="4" borderId="16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177" fontId="19" fillId="2" borderId="29" xfId="2" applyNumberFormat="1" applyFont="1" applyFill="1" applyBorder="1" applyAlignment="1">
      <alignment horizontal="center" vertical="center" wrapText="1"/>
    </xf>
    <xf numFmtId="177" fontId="19" fillId="2" borderId="28" xfId="2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9" fillId="2" borderId="28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center" vertical="center"/>
    </xf>
    <xf numFmtId="49" fontId="13" fillId="0" borderId="6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left" vertical="center" shrinkToFit="1"/>
    </xf>
    <xf numFmtId="49" fontId="13" fillId="0" borderId="10" xfId="2" applyNumberFormat="1" applyFont="1" applyBorder="1" applyAlignment="1">
      <alignment horizontal="left" vertical="center" shrinkToFit="1"/>
    </xf>
    <xf numFmtId="49" fontId="13" fillId="0" borderId="12" xfId="2" applyNumberFormat="1" applyFont="1" applyBorder="1" applyAlignment="1">
      <alignment horizontal="center" vertical="center" shrinkToFit="1"/>
    </xf>
    <xf numFmtId="49" fontId="13" fillId="0" borderId="11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left" vertical="center" shrinkToFit="1"/>
    </xf>
    <xf numFmtId="49" fontId="13" fillId="0" borderId="58" xfId="2" applyNumberFormat="1" applyFont="1" applyBorder="1" applyAlignment="1">
      <alignment horizontal="left" vertical="center" shrinkToFit="1"/>
    </xf>
    <xf numFmtId="0" fontId="17" fillId="0" borderId="0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0" fontId="13" fillId="0" borderId="16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3" fillId="0" borderId="2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/>
    </xf>
    <xf numFmtId="41" fontId="13" fillId="0" borderId="9" xfId="4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4" fillId="0" borderId="27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shrinkToFit="1"/>
    </xf>
    <xf numFmtId="0" fontId="10" fillId="0" borderId="14" xfId="2" applyFont="1" applyBorder="1" applyAlignment="1">
      <alignment horizontal="center" vertical="center" shrinkToFit="1"/>
    </xf>
    <xf numFmtId="0" fontId="10" fillId="0" borderId="15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 shrinkToFit="1"/>
    </xf>
    <xf numFmtId="0" fontId="10" fillId="0" borderId="13" xfId="2" applyFont="1" applyBorder="1" applyAlignment="1">
      <alignment horizontal="center" vertical="center" shrinkToFit="1"/>
    </xf>
    <xf numFmtId="0" fontId="10" fillId="0" borderId="28" xfId="2" applyFont="1" applyBorder="1" applyAlignment="1">
      <alignment horizontal="center" vertical="center" shrinkToFit="1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12" xfId="2" applyFont="1" applyBorder="1" applyAlignment="1">
      <alignment horizontal="left" vertical="center"/>
    </xf>
    <xf numFmtId="0" fontId="12" fillId="0" borderId="26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179" fontId="12" fillId="0" borderId="9" xfId="2" applyNumberFormat="1" applyFont="1" applyBorder="1" applyAlignment="1">
      <alignment horizontal="center" vertical="center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31" xfId="2" applyFont="1" applyBorder="1" applyAlignment="1">
      <alignment horizontal="center" vertic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2" fillId="0" borderId="31" xfId="2" applyFont="1" applyBorder="1" applyAlignment="1">
      <alignment horizontal="left" vertical="center"/>
    </xf>
    <xf numFmtId="0" fontId="12" fillId="0" borderId="37" xfId="2" applyFont="1" applyBorder="1" applyAlignment="1">
      <alignment horizontal="left" vertical="center"/>
    </xf>
    <xf numFmtId="0" fontId="12" fillId="0" borderId="38" xfId="2" applyFont="1" applyBorder="1" applyAlignment="1">
      <alignment horizontal="left" vertical="center"/>
    </xf>
    <xf numFmtId="179" fontId="12" fillId="0" borderId="31" xfId="2" applyNumberFormat="1" applyFont="1" applyBorder="1" applyAlignment="1">
      <alignment horizontal="center" vertical="center"/>
    </xf>
    <xf numFmtId="179" fontId="12" fillId="0" borderId="38" xfId="2" applyNumberFormat="1" applyFont="1" applyBorder="1" applyAlignment="1">
      <alignment horizontal="center" vertical="center"/>
    </xf>
    <xf numFmtId="179" fontId="12" fillId="0" borderId="24" xfId="2" applyNumberFormat="1" applyFont="1" applyBorder="1" applyAlignment="1">
      <alignment horizontal="center" vertical="center"/>
    </xf>
    <xf numFmtId="49" fontId="12" fillId="0" borderId="24" xfId="2" applyNumberFormat="1" applyFont="1" applyBorder="1" applyAlignment="1">
      <alignment horizontal="left" vertical="center"/>
    </xf>
    <xf numFmtId="49" fontId="12" fillId="0" borderId="32" xfId="2" applyNumberFormat="1" applyFont="1" applyBorder="1" applyAlignment="1">
      <alignment horizontal="left" vertical="center"/>
    </xf>
    <xf numFmtId="0" fontId="10" fillId="0" borderId="14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42" fontId="15" fillId="0" borderId="33" xfId="7" applyFont="1" applyBorder="1" applyAlignment="1">
      <alignment horizontal="center" vertical="center"/>
    </xf>
    <xf numFmtId="0" fontId="15" fillId="0" borderId="24" xfId="2" applyFont="1" applyBorder="1" applyAlignment="1">
      <alignment horizontal="left" vertical="center"/>
    </xf>
    <xf numFmtId="0" fontId="15" fillId="0" borderId="32" xfId="2" applyFont="1" applyBorder="1" applyAlignment="1">
      <alignment horizontal="left" vertical="center"/>
    </xf>
    <xf numFmtId="0" fontId="15" fillId="0" borderId="9" xfId="2" applyFont="1" applyBorder="1" applyAlignment="1">
      <alignment horizontal="left" vertical="center"/>
    </xf>
    <xf numFmtId="0" fontId="15" fillId="0" borderId="10" xfId="2" applyFont="1" applyBorder="1" applyAlignment="1">
      <alignment horizontal="left" vertical="center"/>
    </xf>
    <xf numFmtId="0" fontId="12" fillId="0" borderId="21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5" fillId="0" borderId="22" xfId="2" applyFont="1" applyBorder="1" applyAlignment="1">
      <alignment horizontal="left" vertical="center"/>
    </xf>
    <xf numFmtId="0" fontId="15" fillId="0" borderId="58" xfId="2" applyFont="1" applyBorder="1" applyAlignment="1">
      <alignment horizontal="left" vertical="center"/>
    </xf>
    <xf numFmtId="0" fontId="15" fillId="0" borderId="3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42" fontId="15" fillId="0" borderId="9" xfId="7" applyFont="1" applyBorder="1" applyAlignment="1">
      <alignment horizontal="center" vertical="center"/>
    </xf>
  </cellXfs>
  <cellStyles count="3845">
    <cellStyle name="_x0002_._x0011__x0002_._x001b__x0002_ _x0015_%_x0018__x0001_" xfId="3128"/>
    <cellStyle name="?" xfId="3129"/>
    <cellStyle name="20% - 강조색1 2" xfId="10"/>
    <cellStyle name="20% - 강조색1 2 10" xfId="11"/>
    <cellStyle name="20% - 강조색1 2 10 2" xfId="12"/>
    <cellStyle name="20% - 강조색1 2 10 3" xfId="13"/>
    <cellStyle name="20% - 강조색1 2 10 4" xfId="14"/>
    <cellStyle name="20% - 강조색1 2 10 5" xfId="15"/>
    <cellStyle name="20% - 강조색1 2 10 6" xfId="16"/>
    <cellStyle name="20% - 강조색1 2 11" xfId="17"/>
    <cellStyle name="20% - 강조색1 2 11 2" xfId="18"/>
    <cellStyle name="20% - 강조색1 2 11 3" xfId="19"/>
    <cellStyle name="20% - 강조색1 2 11 4" xfId="20"/>
    <cellStyle name="20% - 강조색1 2 11 5" xfId="21"/>
    <cellStyle name="20% - 강조색1 2 11 6" xfId="22"/>
    <cellStyle name="20% - 강조색1 2 12" xfId="23"/>
    <cellStyle name="20% - 강조색1 2 12 2" xfId="24"/>
    <cellStyle name="20% - 강조색1 2 12 3" xfId="25"/>
    <cellStyle name="20% - 강조색1 2 12 4" xfId="26"/>
    <cellStyle name="20% - 강조색1 2 12 5" xfId="27"/>
    <cellStyle name="20% - 강조색1 2 12 6" xfId="28"/>
    <cellStyle name="20% - 강조색1 2 13" xfId="29"/>
    <cellStyle name="20% - 강조색1 2 13 2" xfId="30"/>
    <cellStyle name="20% - 강조색1 2 13 3" xfId="31"/>
    <cellStyle name="20% - 강조색1 2 13 4" xfId="32"/>
    <cellStyle name="20% - 강조색1 2 13 5" xfId="33"/>
    <cellStyle name="20% - 강조색1 2 13 6" xfId="34"/>
    <cellStyle name="20% - 강조색1 2 14" xfId="35"/>
    <cellStyle name="20% - 강조색1 2 14 2" xfId="36"/>
    <cellStyle name="20% - 강조색1 2 14 3" xfId="37"/>
    <cellStyle name="20% - 강조색1 2 14 4" xfId="38"/>
    <cellStyle name="20% - 강조색1 2 14 5" xfId="39"/>
    <cellStyle name="20% - 강조색1 2 14 6" xfId="40"/>
    <cellStyle name="20% - 강조색1 2 15" xfId="41"/>
    <cellStyle name="20% - 강조색1 2 16" xfId="42"/>
    <cellStyle name="20% - 강조색1 2 17" xfId="43"/>
    <cellStyle name="20% - 강조색1 2 18" xfId="44"/>
    <cellStyle name="20% - 강조색1 2 19" xfId="45"/>
    <cellStyle name="20% - 강조색1 2 2" xfId="46"/>
    <cellStyle name="20% - 강조색1 2 2 2" xfId="47"/>
    <cellStyle name="20% - 강조색1 2 2 3" xfId="48"/>
    <cellStyle name="20% - 강조색1 2 2 4" xfId="49"/>
    <cellStyle name="20% - 강조색1 2 2 5" xfId="50"/>
    <cellStyle name="20% - 강조색1 2 2 6" xfId="51"/>
    <cellStyle name="20% - 강조색1 2 3" xfId="52"/>
    <cellStyle name="20% - 강조색1 2 3 2" xfId="53"/>
    <cellStyle name="20% - 강조색1 2 3 3" xfId="54"/>
    <cellStyle name="20% - 강조색1 2 3 4" xfId="55"/>
    <cellStyle name="20% - 강조색1 2 3 5" xfId="56"/>
    <cellStyle name="20% - 강조색1 2 3 6" xfId="57"/>
    <cellStyle name="20% - 강조색1 2 4" xfId="58"/>
    <cellStyle name="20% - 강조색1 2 4 2" xfId="59"/>
    <cellStyle name="20% - 강조색1 2 4 3" xfId="60"/>
    <cellStyle name="20% - 강조색1 2 4 4" xfId="61"/>
    <cellStyle name="20% - 강조색1 2 4 5" xfId="62"/>
    <cellStyle name="20% - 강조색1 2 4 6" xfId="63"/>
    <cellStyle name="20% - 강조색1 2 5" xfId="64"/>
    <cellStyle name="20% - 강조색1 2 5 2" xfId="65"/>
    <cellStyle name="20% - 강조색1 2 5 3" xfId="66"/>
    <cellStyle name="20% - 강조색1 2 5 4" xfId="67"/>
    <cellStyle name="20% - 강조색1 2 5 5" xfId="68"/>
    <cellStyle name="20% - 강조색1 2 5 6" xfId="69"/>
    <cellStyle name="20% - 강조색1 2 6" xfId="70"/>
    <cellStyle name="20% - 강조색1 2 6 2" xfId="71"/>
    <cellStyle name="20% - 강조색1 2 6 3" xfId="72"/>
    <cellStyle name="20% - 강조색1 2 6 4" xfId="73"/>
    <cellStyle name="20% - 강조색1 2 6 5" xfId="74"/>
    <cellStyle name="20% - 강조색1 2 6 6" xfId="75"/>
    <cellStyle name="20% - 강조색1 2 7" xfId="76"/>
    <cellStyle name="20% - 강조색1 2 7 2" xfId="77"/>
    <cellStyle name="20% - 강조색1 2 7 3" xfId="78"/>
    <cellStyle name="20% - 강조색1 2 7 4" xfId="79"/>
    <cellStyle name="20% - 강조색1 2 7 5" xfId="80"/>
    <cellStyle name="20% - 강조색1 2 7 6" xfId="81"/>
    <cellStyle name="20% - 강조색1 2 8" xfId="82"/>
    <cellStyle name="20% - 강조색1 2 8 2" xfId="83"/>
    <cellStyle name="20% - 강조색1 2 8 3" xfId="84"/>
    <cellStyle name="20% - 강조색1 2 8 4" xfId="85"/>
    <cellStyle name="20% - 강조색1 2 8 5" xfId="86"/>
    <cellStyle name="20% - 강조색1 2 8 6" xfId="87"/>
    <cellStyle name="20% - 강조색1 2 9" xfId="88"/>
    <cellStyle name="20% - 강조색1 2 9 2" xfId="89"/>
    <cellStyle name="20% - 강조색1 2 9 3" xfId="90"/>
    <cellStyle name="20% - 강조색1 2 9 4" xfId="91"/>
    <cellStyle name="20% - 강조색1 2 9 5" xfId="92"/>
    <cellStyle name="20% - 강조색1 2 9 6" xfId="93"/>
    <cellStyle name="20% - 강조색2 2" xfId="94"/>
    <cellStyle name="20% - 강조색2 2 10" xfId="95"/>
    <cellStyle name="20% - 강조색2 2 10 2" xfId="96"/>
    <cellStyle name="20% - 강조색2 2 10 3" xfId="97"/>
    <cellStyle name="20% - 강조색2 2 10 4" xfId="98"/>
    <cellStyle name="20% - 강조색2 2 10 5" xfId="99"/>
    <cellStyle name="20% - 강조색2 2 10 6" xfId="100"/>
    <cellStyle name="20% - 강조색2 2 11" xfId="101"/>
    <cellStyle name="20% - 강조색2 2 11 2" xfId="102"/>
    <cellStyle name="20% - 강조색2 2 11 3" xfId="103"/>
    <cellStyle name="20% - 강조색2 2 11 4" xfId="104"/>
    <cellStyle name="20% - 강조색2 2 11 5" xfId="105"/>
    <cellStyle name="20% - 강조색2 2 11 6" xfId="106"/>
    <cellStyle name="20% - 강조색2 2 12" xfId="107"/>
    <cellStyle name="20% - 강조색2 2 12 2" xfId="108"/>
    <cellStyle name="20% - 강조색2 2 12 3" xfId="109"/>
    <cellStyle name="20% - 강조색2 2 12 4" xfId="110"/>
    <cellStyle name="20% - 강조색2 2 12 5" xfId="111"/>
    <cellStyle name="20% - 강조색2 2 12 6" xfId="112"/>
    <cellStyle name="20% - 강조색2 2 13" xfId="113"/>
    <cellStyle name="20% - 강조색2 2 13 2" xfId="114"/>
    <cellStyle name="20% - 강조색2 2 13 3" xfId="115"/>
    <cellStyle name="20% - 강조색2 2 13 4" xfId="116"/>
    <cellStyle name="20% - 강조색2 2 13 5" xfId="117"/>
    <cellStyle name="20% - 강조색2 2 13 6" xfId="118"/>
    <cellStyle name="20% - 강조색2 2 14" xfId="119"/>
    <cellStyle name="20% - 강조색2 2 14 2" xfId="120"/>
    <cellStyle name="20% - 강조색2 2 14 3" xfId="121"/>
    <cellStyle name="20% - 강조색2 2 14 4" xfId="122"/>
    <cellStyle name="20% - 강조색2 2 14 5" xfId="123"/>
    <cellStyle name="20% - 강조색2 2 14 6" xfId="124"/>
    <cellStyle name="20% - 강조색2 2 15" xfId="125"/>
    <cellStyle name="20% - 강조색2 2 16" xfId="126"/>
    <cellStyle name="20% - 강조색2 2 17" xfId="127"/>
    <cellStyle name="20% - 강조색2 2 18" xfId="128"/>
    <cellStyle name="20% - 강조색2 2 19" xfId="129"/>
    <cellStyle name="20% - 강조색2 2 2" xfId="130"/>
    <cellStyle name="20% - 강조색2 2 2 2" xfId="131"/>
    <cellStyle name="20% - 강조색2 2 2 3" xfId="132"/>
    <cellStyle name="20% - 강조색2 2 2 4" xfId="133"/>
    <cellStyle name="20% - 강조색2 2 2 5" xfId="134"/>
    <cellStyle name="20% - 강조색2 2 2 6" xfId="135"/>
    <cellStyle name="20% - 강조색2 2 3" xfId="136"/>
    <cellStyle name="20% - 강조색2 2 3 2" xfId="137"/>
    <cellStyle name="20% - 강조색2 2 3 3" xfId="138"/>
    <cellStyle name="20% - 강조색2 2 3 4" xfId="139"/>
    <cellStyle name="20% - 강조색2 2 3 5" xfId="140"/>
    <cellStyle name="20% - 강조색2 2 3 6" xfId="141"/>
    <cellStyle name="20% - 강조색2 2 4" xfId="142"/>
    <cellStyle name="20% - 강조색2 2 4 2" xfId="143"/>
    <cellStyle name="20% - 강조색2 2 4 3" xfId="144"/>
    <cellStyle name="20% - 강조색2 2 4 4" xfId="145"/>
    <cellStyle name="20% - 강조색2 2 4 5" xfId="146"/>
    <cellStyle name="20% - 강조색2 2 4 6" xfId="147"/>
    <cellStyle name="20% - 강조색2 2 5" xfId="148"/>
    <cellStyle name="20% - 강조색2 2 5 2" xfId="149"/>
    <cellStyle name="20% - 강조색2 2 5 3" xfId="150"/>
    <cellStyle name="20% - 강조색2 2 5 4" xfId="151"/>
    <cellStyle name="20% - 강조색2 2 5 5" xfId="152"/>
    <cellStyle name="20% - 강조색2 2 5 6" xfId="153"/>
    <cellStyle name="20% - 강조색2 2 6" xfId="154"/>
    <cellStyle name="20% - 강조색2 2 6 2" xfId="155"/>
    <cellStyle name="20% - 강조색2 2 6 3" xfId="156"/>
    <cellStyle name="20% - 강조색2 2 6 4" xfId="157"/>
    <cellStyle name="20% - 강조색2 2 6 5" xfId="158"/>
    <cellStyle name="20% - 강조색2 2 6 6" xfId="159"/>
    <cellStyle name="20% - 강조색2 2 7" xfId="160"/>
    <cellStyle name="20% - 강조색2 2 7 2" xfId="161"/>
    <cellStyle name="20% - 강조색2 2 7 3" xfId="162"/>
    <cellStyle name="20% - 강조색2 2 7 4" xfId="163"/>
    <cellStyle name="20% - 강조색2 2 7 5" xfId="164"/>
    <cellStyle name="20% - 강조색2 2 7 6" xfId="165"/>
    <cellStyle name="20% - 강조색2 2 8" xfId="166"/>
    <cellStyle name="20% - 강조색2 2 8 2" xfId="167"/>
    <cellStyle name="20% - 강조색2 2 8 3" xfId="168"/>
    <cellStyle name="20% - 강조색2 2 8 4" xfId="169"/>
    <cellStyle name="20% - 강조색2 2 8 5" xfId="170"/>
    <cellStyle name="20% - 강조색2 2 8 6" xfId="171"/>
    <cellStyle name="20% - 강조색2 2 9" xfId="172"/>
    <cellStyle name="20% - 강조색2 2 9 2" xfId="173"/>
    <cellStyle name="20% - 강조색2 2 9 3" xfId="174"/>
    <cellStyle name="20% - 강조색2 2 9 4" xfId="175"/>
    <cellStyle name="20% - 강조색2 2 9 5" xfId="176"/>
    <cellStyle name="20% - 강조색2 2 9 6" xfId="177"/>
    <cellStyle name="20% - 강조색3 2" xfId="178"/>
    <cellStyle name="20% - 강조색3 2 10" xfId="179"/>
    <cellStyle name="20% - 강조색3 2 10 2" xfId="180"/>
    <cellStyle name="20% - 강조색3 2 10 3" xfId="181"/>
    <cellStyle name="20% - 강조색3 2 10 4" xfId="182"/>
    <cellStyle name="20% - 강조색3 2 10 5" xfId="183"/>
    <cellStyle name="20% - 강조색3 2 10 6" xfId="184"/>
    <cellStyle name="20% - 강조색3 2 11" xfId="185"/>
    <cellStyle name="20% - 강조색3 2 11 2" xfId="186"/>
    <cellStyle name="20% - 강조색3 2 11 3" xfId="187"/>
    <cellStyle name="20% - 강조색3 2 11 4" xfId="188"/>
    <cellStyle name="20% - 강조색3 2 11 5" xfId="189"/>
    <cellStyle name="20% - 강조색3 2 11 6" xfId="190"/>
    <cellStyle name="20% - 강조색3 2 12" xfId="191"/>
    <cellStyle name="20% - 강조색3 2 12 2" xfId="192"/>
    <cellStyle name="20% - 강조색3 2 12 3" xfId="193"/>
    <cellStyle name="20% - 강조색3 2 12 4" xfId="194"/>
    <cellStyle name="20% - 강조색3 2 12 5" xfId="195"/>
    <cellStyle name="20% - 강조색3 2 12 6" xfId="196"/>
    <cellStyle name="20% - 강조색3 2 13" xfId="197"/>
    <cellStyle name="20% - 강조색3 2 13 2" xfId="198"/>
    <cellStyle name="20% - 강조색3 2 13 3" xfId="199"/>
    <cellStyle name="20% - 강조색3 2 13 4" xfId="200"/>
    <cellStyle name="20% - 강조색3 2 13 5" xfId="201"/>
    <cellStyle name="20% - 강조색3 2 13 6" xfId="202"/>
    <cellStyle name="20% - 강조색3 2 14" xfId="203"/>
    <cellStyle name="20% - 강조색3 2 14 2" xfId="204"/>
    <cellStyle name="20% - 강조색3 2 14 3" xfId="205"/>
    <cellStyle name="20% - 강조색3 2 14 4" xfId="206"/>
    <cellStyle name="20% - 강조색3 2 14 5" xfId="207"/>
    <cellStyle name="20% - 강조색3 2 14 6" xfId="208"/>
    <cellStyle name="20% - 강조색3 2 15" xfId="209"/>
    <cellStyle name="20% - 강조색3 2 16" xfId="210"/>
    <cellStyle name="20% - 강조색3 2 17" xfId="211"/>
    <cellStyle name="20% - 강조색3 2 18" xfId="212"/>
    <cellStyle name="20% - 강조색3 2 19" xfId="213"/>
    <cellStyle name="20% - 강조색3 2 2" xfId="214"/>
    <cellStyle name="20% - 강조색3 2 2 2" xfId="215"/>
    <cellStyle name="20% - 강조색3 2 2 3" xfId="216"/>
    <cellStyle name="20% - 강조색3 2 2 4" xfId="217"/>
    <cellStyle name="20% - 강조색3 2 2 5" xfId="218"/>
    <cellStyle name="20% - 강조색3 2 2 6" xfId="219"/>
    <cellStyle name="20% - 강조색3 2 3" xfId="220"/>
    <cellStyle name="20% - 강조색3 2 3 2" xfId="221"/>
    <cellStyle name="20% - 강조색3 2 3 3" xfId="222"/>
    <cellStyle name="20% - 강조색3 2 3 4" xfId="223"/>
    <cellStyle name="20% - 강조색3 2 3 5" xfId="224"/>
    <cellStyle name="20% - 강조색3 2 3 6" xfId="225"/>
    <cellStyle name="20% - 강조색3 2 4" xfId="226"/>
    <cellStyle name="20% - 강조색3 2 4 2" xfId="227"/>
    <cellStyle name="20% - 강조색3 2 4 3" xfId="228"/>
    <cellStyle name="20% - 강조색3 2 4 4" xfId="229"/>
    <cellStyle name="20% - 강조색3 2 4 5" xfId="230"/>
    <cellStyle name="20% - 강조색3 2 4 6" xfId="231"/>
    <cellStyle name="20% - 강조색3 2 5" xfId="232"/>
    <cellStyle name="20% - 강조색3 2 5 2" xfId="233"/>
    <cellStyle name="20% - 강조색3 2 5 3" xfId="234"/>
    <cellStyle name="20% - 강조색3 2 5 4" xfId="235"/>
    <cellStyle name="20% - 강조색3 2 5 5" xfId="236"/>
    <cellStyle name="20% - 강조색3 2 5 6" xfId="237"/>
    <cellStyle name="20% - 강조색3 2 6" xfId="238"/>
    <cellStyle name="20% - 강조색3 2 6 2" xfId="239"/>
    <cellStyle name="20% - 강조색3 2 6 3" xfId="240"/>
    <cellStyle name="20% - 강조색3 2 6 4" xfId="241"/>
    <cellStyle name="20% - 강조색3 2 6 5" xfId="242"/>
    <cellStyle name="20% - 강조색3 2 6 6" xfId="243"/>
    <cellStyle name="20% - 강조색3 2 7" xfId="244"/>
    <cellStyle name="20% - 강조색3 2 7 2" xfId="245"/>
    <cellStyle name="20% - 강조색3 2 7 3" xfId="246"/>
    <cellStyle name="20% - 강조색3 2 7 4" xfId="247"/>
    <cellStyle name="20% - 강조색3 2 7 5" xfId="248"/>
    <cellStyle name="20% - 강조색3 2 7 6" xfId="249"/>
    <cellStyle name="20% - 강조색3 2 8" xfId="250"/>
    <cellStyle name="20% - 강조색3 2 8 2" xfId="251"/>
    <cellStyle name="20% - 강조색3 2 8 3" xfId="252"/>
    <cellStyle name="20% - 강조색3 2 8 4" xfId="253"/>
    <cellStyle name="20% - 강조색3 2 8 5" xfId="254"/>
    <cellStyle name="20% - 강조색3 2 8 6" xfId="255"/>
    <cellStyle name="20% - 강조색3 2 9" xfId="256"/>
    <cellStyle name="20% - 강조색3 2 9 2" xfId="257"/>
    <cellStyle name="20% - 강조색3 2 9 3" xfId="258"/>
    <cellStyle name="20% - 강조색3 2 9 4" xfId="259"/>
    <cellStyle name="20% - 강조색3 2 9 5" xfId="260"/>
    <cellStyle name="20% - 강조색3 2 9 6" xfId="261"/>
    <cellStyle name="20% - 강조색4 2" xfId="262"/>
    <cellStyle name="20% - 강조색4 2 10" xfId="263"/>
    <cellStyle name="20% - 강조색4 2 10 2" xfId="264"/>
    <cellStyle name="20% - 강조색4 2 10 3" xfId="265"/>
    <cellStyle name="20% - 강조색4 2 10 4" xfId="266"/>
    <cellStyle name="20% - 강조색4 2 10 5" xfId="267"/>
    <cellStyle name="20% - 강조색4 2 10 6" xfId="268"/>
    <cellStyle name="20% - 강조색4 2 11" xfId="269"/>
    <cellStyle name="20% - 강조색4 2 11 2" xfId="270"/>
    <cellStyle name="20% - 강조색4 2 11 3" xfId="271"/>
    <cellStyle name="20% - 강조색4 2 11 4" xfId="272"/>
    <cellStyle name="20% - 강조색4 2 11 5" xfId="273"/>
    <cellStyle name="20% - 강조색4 2 11 6" xfId="274"/>
    <cellStyle name="20% - 강조색4 2 12" xfId="275"/>
    <cellStyle name="20% - 강조색4 2 12 2" xfId="276"/>
    <cellStyle name="20% - 강조색4 2 12 3" xfId="277"/>
    <cellStyle name="20% - 강조색4 2 12 4" xfId="278"/>
    <cellStyle name="20% - 강조색4 2 12 5" xfId="279"/>
    <cellStyle name="20% - 강조색4 2 12 6" xfId="280"/>
    <cellStyle name="20% - 강조색4 2 13" xfId="281"/>
    <cellStyle name="20% - 강조색4 2 13 2" xfId="282"/>
    <cellStyle name="20% - 강조색4 2 13 3" xfId="283"/>
    <cellStyle name="20% - 강조색4 2 13 4" xfId="284"/>
    <cellStyle name="20% - 강조색4 2 13 5" xfId="285"/>
    <cellStyle name="20% - 강조색4 2 13 6" xfId="286"/>
    <cellStyle name="20% - 강조색4 2 14" xfId="287"/>
    <cellStyle name="20% - 강조색4 2 14 2" xfId="288"/>
    <cellStyle name="20% - 강조색4 2 14 3" xfId="289"/>
    <cellStyle name="20% - 강조색4 2 14 4" xfId="290"/>
    <cellStyle name="20% - 강조색4 2 14 5" xfId="291"/>
    <cellStyle name="20% - 강조색4 2 14 6" xfId="292"/>
    <cellStyle name="20% - 강조색4 2 15" xfId="293"/>
    <cellStyle name="20% - 강조색4 2 16" xfId="294"/>
    <cellStyle name="20% - 강조색4 2 17" xfId="295"/>
    <cellStyle name="20% - 강조색4 2 18" xfId="296"/>
    <cellStyle name="20% - 강조색4 2 19" xfId="297"/>
    <cellStyle name="20% - 강조색4 2 2" xfId="298"/>
    <cellStyle name="20% - 강조색4 2 2 2" xfId="299"/>
    <cellStyle name="20% - 강조색4 2 2 3" xfId="300"/>
    <cellStyle name="20% - 강조색4 2 2 4" xfId="301"/>
    <cellStyle name="20% - 강조색4 2 2 5" xfId="302"/>
    <cellStyle name="20% - 강조색4 2 2 6" xfId="303"/>
    <cellStyle name="20% - 강조색4 2 3" xfId="304"/>
    <cellStyle name="20% - 강조색4 2 3 2" xfId="305"/>
    <cellStyle name="20% - 강조색4 2 3 3" xfId="306"/>
    <cellStyle name="20% - 강조색4 2 3 4" xfId="307"/>
    <cellStyle name="20% - 강조색4 2 3 5" xfId="308"/>
    <cellStyle name="20% - 강조색4 2 3 6" xfId="309"/>
    <cellStyle name="20% - 강조색4 2 4" xfId="310"/>
    <cellStyle name="20% - 강조색4 2 4 2" xfId="311"/>
    <cellStyle name="20% - 강조색4 2 4 3" xfId="312"/>
    <cellStyle name="20% - 강조색4 2 4 4" xfId="313"/>
    <cellStyle name="20% - 강조색4 2 4 5" xfId="314"/>
    <cellStyle name="20% - 강조색4 2 4 6" xfId="315"/>
    <cellStyle name="20% - 강조색4 2 5" xfId="316"/>
    <cellStyle name="20% - 강조색4 2 5 2" xfId="317"/>
    <cellStyle name="20% - 강조색4 2 5 3" xfId="318"/>
    <cellStyle name="20% - 강조색4 2 5 4" xfId="319"/>
    <cellStyle name="20% - 강조색4 2 5 5" xfId="320"/>
    <cellStyle name="20% - 강조색4 2 5 6" xfId="321"/>
    <cellStyle name="20% - 강조색4 2 6" xfId="322"/>
    <cellStyle name="20% - 강조색4 2 6 2" xfId="323"/>
    <cellStyle name="20% - 강조색4 2 6 3" xfId="324"/>
    <cellStyle name="20% - 강조색4 2 6 4" xfId="325"/>
    <cellStyle name="20% - 강조색4 2 6 5" xfId="326"/>
    <cellStyle name="20% - 강조색4 2 6 6" xfId="327"/>
    <cellStyle name="20% - 강조색4 2 7" xfId="328"/>
    <cellStyle name="20% - 강조색4 2 7 2" xfId="329"/>
    <cellStyle name="20% - 강조색4 2 7 3" xfId="330"/>
    <cellStyle name="20% - 강조색4 2 7 4" xfId="331"/>
    <cellStyle name="20% - 강조색4 2 7 5" xfId="332"/>
    <cellStyle name="20% - 강조색4 2 7 6" xfId="333"/>
    <cellStyle name="20% - 강조색4 2 8" xfId="334"/>
    <cellStyle name="20% - 강조색4 2 8 2" xfId="335"/>
    <cellStyle name="20% - 강조색4 2 8 3" xfId="336"/>
    <cellStyle name="20% - 강조색4 2 8 4" xfId="337"/>
    <cellStyle name="20% - 강조색4 2 8 5" xfId="338"/>
    <cellStyle name="20% - 강조색4 2 8 6" xfId="339"/>
    <cellStyle name="20% - 강조색4 2 9" xfId="340"/>
    <cellStyle name="20% - 강조색4 2 9 2" xfId="341"/>
    <cellStyle name="20% - 강조색4 2 9 3" xfId="342"/>
    <cellStyle name="20% - 강조색4 2 9 4" xfId="343"/>
    <cellStyle name="20% - 강조색4 2 9 5" xfId="344"/>
    <cellStyle name="20% - 강조색4 2 9 6" xfId="345"/>
    <cellStyle name="20% - 강조색5 2" xfId="346"/>
    <cellStyle name="20% - 강조색5 2 10" xfId="347"/>
    <cellStyle name="20% - 강조색5 2 10 2" xfId="348"/>
    <cellStyle name="20% - 강조색5 2 10 3" xfId="349"/>
    <cellStyle name="20% - 강조색5 2 10 4" xfId="350"/>
    <cellStyle name="20% - 강조색5 2 10 5" xfId="351"/>
    <cellStyle name="20% - 강조색5 2 10 6" xfId="352"/>
    <cellStyle name="20% - 강조색5 2 11" xfId="353"/>
    <cellStyle name="20% - 강조색5 2 11 2" xfId="354"/>
    <cellStyle name="20% - 강조색5 2 11 3" xfId="355"/>
    <cellStyle name="20% - 강조색5 2 11 4" xfId="356"/>
    <cellStyle name="20% - 강조색5 2 11 5" xfId="357"/>
    <cellStyle name="20% - 강조색5 2 11 6" xfId="358"/>
    <cellStyle name="20% - 강조색5 2 12" xfId="359"/>
    <cellStyle name="20% - 강조색5 2 12 2" xfId="360"/>
    <cellStyle name="20% - 강조색5 2 12 3" xfId="361"/>
    <cellStyle name="20% - 강조색5 2 12 4" xfId="362"/>
    <cellStyle name="20% - 강조색5 2 12 5" xfId="363"/>
    <cellStyle name="20% - 강조색5 2 12 6" xfId="364"/>
    <cellStyle name="20% - 강조색5 2 13" xfId="365"/>
    <cellStyle name="20% - 강조색5 2 13 2" xfId="366"/>
    <cellStyle name="20% - 강조색5 2 13 3" xfId="367"/>
    <cellStyle name="20% - 강조색5 2 13 4" xfId="368"/>
    <cellStyle name="20% - 강조색5 2 13 5" xfId="369"/>
    <cellStyle name="20% - 강조색5 2 13 6" xfId="370"/>
    <cellStyle name="20% - 강조색5 2 14" xfId="371"/>
    <cellStyle name="20% - 강조색5 2 14 2" xfId="372"/>
    <cellStyle name="20% - 강조색5 2 14 3" xfId="373"/>
    <cellStyle name="20% - 강조색5 2 14 4" xfId="374"/>
    <cellStyle name="20% - 강조색5 2 14 5" xfId="375"/>
    <cellStyle name="20% - 강조색5 2 14 6" xfId="376"/>
    <cellStyle name="20% - 강조색5 2 15" xfId="377"/>
    <cellStyle name="20% - 강조색5 2 16" xfId="378"/>
    <cellStyle name="20% - 강조색5 2 17" xfId="379"/>
    <cellStyle name="20% - 강조색5 2 18" xfId="380"/>
    <cellStyle name="20% - 강조색5 2 19" xfId="381"/>
    <cellStyle name="20% - 강조색5 2 2" xfId="382"/>
    <cellStyle name="20% - 강조색5 2 2 2" xfId="383"/>
    <cellStyle name="20% - 강조색5 2 2 3" xfId="384"/>
    <cellStyle name="20% - 강조색5 2 2 4" xfId="385"/>
    <cellStyle name="20% - 강조색5 2 2 5" xfId="386"/>
    <cellStyle name="20% - 강조색5 2 2 6" xfId="387"/>
    <cellStyle name="20% - 강조색5 2 3" xfId="388"/>
    <cellStyle name="20% - 강조색5 2 3 2" xfId="389"/>
    <cellStyle name="20% - 강조색5 2 3 3" xfId="390"/>
    <cellStyle name="20% - 강조색5 2 3 4" xfId="391"/>
    <cellStyle name="20% - 강조색5 2 3 5" xfId="392"/>
    <cellStyle name="20% - 강조색5 2 3 6" xfId="393"/>
    <cellStyle name="20% - 강조색5 2 4" xfId="394"/>
    <cellStyle name="20% - 강조색5 2 4 2" xfId="395"/>
    <cellStyle name="20% - 강조색5 2 4 3" xfId="396"/>
    <cellStyle name="20% - 강조색5 2 4 4" xfId="397"/>
    <cellStyle name="20% - 강조색5 2 4 5" xfId="398"/>
    <cellStyle name="20% - 강조색5 2 4 6" xfId="399"/>
    <cellStyle name="20% - 강조색5 2 5" xfId="400"/>
    <cellStyle name="20% - 강조색5 2 5 2" xfId="401"/>
    <cellStyle name="20% - 강조색5 2 5 3" xfId="402"/>
    <cellStyle name="20% - 강조색5 2 5 4" xfId="403"/>
    <cellStyle name="20% - 강조색5 2 5 5" xfId="404"/>
    <cellStyle name="20% - 강조색5 2 5 6" xfId="405"/>
    <cellStyle name="20% - 강조색5 2 6" xfId="406"/>
    <cellStyle name="20% - 강조색5 2 6 2" xfId="407"/>
    <cellStyle name="20% - 강조색5 2 6 3" xfId="408"/>
    <cellStyle name="20% - 강조색5 2 6 4" xfId="409"/>
    <cellStyle name="20% - 강조색5 2 6 5" xfId="410"/>
    <cellStyle name="20% - 강조색5 2 6 6" xfId="411"/>
    <cellStyle name="20% - 강조색5 2 7" xfId="412"/>
    <cellStyle name="20% - 강조색5 2 7 2" xfId="413"/>
    <cellStyle name="20% - 강조색5 2 7 3" xfId="414"/>
    <cellStyle name="20% - 강조색5 2 7 4" xfId="415"/>
    <cellStyle name="20% - 강조색5 2 7 5" xfId="416"/>
    <cellStyle name="20% - 강조색5 2 7 6" xfId="417"/>
    <cellStyle name="20% - 강조색5 2 8" xfId="418"/>
    <cellStyle name="20% - 강조색5 2 8 2" xfId="419"/>
    <cellStyle name="20% - 강조색5 2 8 3" xfId="420"/>
    <cellStyle name="20% - 강조색5 2 8 4" xfId="421"/>
    <cellStyle name="20% - 강조색5 2 8 5" xfId="422"/>
    <cellStyle name="20% - 강조색5 2 8 6" xfId="423"/>
    <cellStyle name="20% - 강조색5 2 9" xfId="424"/>
    <cellStyle name="20% - 강조색5 2 9 2" xfId="425"/>
    <cellStyle name="20% - 강조색5 2 9 3" xfId="426"/>
    <cellStyle name="20% - 강조색5 2 9 4" xfId="427"/>
    <cellStyle name="20% - 강조색5 2 9 5" xfId="428"/>
    <cellStyle name="20% - 강조색5 2 9 6" xfId="429"/>
    <cellStyle name="20% - 강조색6 2" xfId="430"/>
    <cellStyle name="20% - 강조색6 2 10" xfId="431"/>
    <cellStyle name="20% - 강조색6 2 10 2" xfId="432"/>
    <cellStyle name="20% - 강조색6 2 10 3" xfId="433"/>
    <cellStyle name="20% - 강조색6 2 10 4" xfId="434"/>
    <cellStyle name="20% - 강조색6 2 10 5" xfId="435"/>
    <cellStyle name="20% - 강조색6 2 10 6" xfId="436"/>
    <cellStyle name="20% - 강조색6 2 11" xfId="437"/>
    <cellStyle name="20% - 강조색6 2 11 2" xfId="438"/>
    <cellStyle name="20% - 강조색6 2 11 3" xfId="439"/>
    <cellStyle name="20% - 강조색6 2 11 4" xfId="440"/>
    <cellStyle name="20% - 강조색6 2 11 5" xfId="441"/>
    <cellStyle name="20% - 강조색6 2 11 6" xfId="442"/>
    <cellStyle name="20% - 강조색6 2 12" xfId="443"/>
    <cellStyle name="20% - 강조색6 2 12 2" xfId="444"/>
    <cellStyle name="20% - 강조색6 2 12 3" xfId="445"/>
    <cellStyle name="20% - 강조색6 2 12 4" xfId="446"/>
    <cellStyle name="20% - 강조색6 2 12 5" xfId="447"/>
    <cellStyle name="20% - 강조색6 2 12 6" xfId="448"/>
    <cellStyle name="20% - 강조색6 2 13" xfId="449"/>
    <cellStyle name="20% - 강조색6 2 13 2" xfId="450"/>
    <cellStyle name="20% - 강조색6 2 13 3" xfId="451"/>
    <cellStyle name="20% - 강조색6 2 13 4" xfId="452"/>
    <cellStyle name="20% - 강조색6 2 13 5" xfId="453"/>
    <cellStyle name="20% - 강조색6 2 13 6" xfId="454"/>
    <cellStyle name="20% - 강조색6 2 14" xfId="455"/>
    <cellStyle name="20% - 강조색6 2 14 2" xfId="456"/>
    <cellStyle name="20% - 강조색6 2 14 3" xfId="457"/>
    <cellStyle name="20% - 강조색6 2 14 4" xfId="458"/>
    <cellStyle name="20% - 강조색6 2 14 5" xfId="459"/>
    <cellStyle name="20% - 강조색6 2 14 6" xfId="460"/>
    <cellStyle name="20% - 강조색6 2 15" xfId="461"/>
    <cellStyle name="20% - 강조색6 2 16" xfId="462"/>
    <cellStyle name="20% - 강조색6 2 17" xfId="463"/>
    <cellStyle name="20% - 강조색6 2 18" xfId="464"/>
    <cellStyle name="20% - 강조색6 2 19" xfId="465"/>
    <cellStyle name="20% - 강조색6 2 2" xfId="466"/>
    <cellStyle name="20% - 강조색6 2 2 2" xfId="467"/>
    <cellStyle name="20% - 강조색6 2 2 3" xfId="468"/>
    <cellStyle name="20% - 강조색6 2 2 4" xfId="469"/>
    <cellStyle name="20% - 강조색6 2 2 5" xfId="470"/>
    <cellStyle name="20% - 강조색6 2 2 6" xfId="471"/>
    <cellStyle name="20% - 강조색6 2 3" xfId="472"/>
    <cellStyle name="20% - 강조색6 2 3 2" xfId="473"/>
    <cellStyle name="20% - 강조색6 2 3 3" xfId="474"/>
    <cellStyle name="20% - 강조색6 2 3 4" xfId="475"/>
    <cellStyle name="20% - 강조색6 2 3 5" xfId="476"/>
    <cellStyle name="20% - 강조색6 2 3 6" xfId="477"/>
    <cellStyle name="20% - 강조색6 2 4" xfId="478"/>
    <cellStyle name="20% - 강조색6 2 4 2" xfId="479"/>
    <cellStyle name="20% - 강조색6 2 4 3" xfId="480"/>
    <cellStyle name="20% - 강조색6 2 4 4" xfId="481"/>
    <cellStyle name="20% - 강조색6 2 4 5" xfId="482"/>
    <cellStyle name="20% - 강조색6 2 4 6" xfId="483"/>
    <cellStyle name="20% - 강조색6 2 5" xfId="484"/>
    <cellStyle name="20% - 강조색6 2 5 2" xfId="485"/>
    <cellStyle name="20% - 강조색6 2 5 3" xfId="486"/>
    <cellStyle name="20% - 강조색6 2 5 4" xfId="487"/>
    <cellStyle name="20% - 강조색6 2 5 5" xfId="488"/>
    <cellStyle name="20% - 강조색6 2 5 6" xfId="489"/>
    <cellStyle name="20% - 강조색6 2 6" xfId="490"/>
    <cellStyle name="20% - 강조색6 2 6 2" xfId="491"/>
    <cellStyle name="20% - 강조색6 2 6 3" xfId="492"/>
    <cellStyle name="20% - 강조색6 2 6 4" xfId="493"/>
    <cellStyle name="20% - 강조색6 2 6 5" xfId="494"/>
    <cellStyle name="20% - 강조색6 2 6 6" xfId="495"/>
    <cellStyle name="20% - 강조색6 2 7" xfId="496"/>
    <cellStyle name="20% - 강조색6 2 7 2" xfId="497"/>
    <cellStyle name="20% - 강조색6 2 7 3" xfId="498"/>
    <cellStyle name="20% - 강조색6 2 7 4" xfId="499"/>
    <cellStyle name="20% - 강조색6 2 7 5" xfId="500"/>
    <cellStyle name="20% - 강조색6 2 7 6" xfId="501"/>
    <cellStyle name="20% - 강조색6 2 8" xfId="502"/>
    <cellStyle name="20% - 강조색6 2 8 2" xfId="503"/>
    <cellStyle name="20% - 강조색6 2 8 3" xfId="504"/>
    <cellStyle name="20% - 강조색6 2 8 4" xfId="505"/>
    <cellStyle name="20% - 강조색6 2 8 5" xfId="506"/>
    <cellStyle name="20% - 강조색6 2 8 6" xfId="507"/>
    <cellStyle name="20% - 강조색6 2 9" xfId="508"/>
    <cellStyle name="20% - 강조색6 2 9 2" xfId="509"/>
    <cellStyle name="20% - 강조색6 2 9 3" xfId="510"/>
    <cellStyle name="20% - 강조색6 2 9 4" xfId="511"/>
    <cellStyle name="20% - 강조색6 2 9 5" xfId="512"/>
    <cellStyle name="20% - 강조색6 2 9 6" xfId="513"/>
    <cellStyle name="40% - 강조색1 2" xfId="514"/>
    <cellStyle name="40% - 강조색1 2 10" xfId="515"/>
    <cellStyle name="40% - 강조색1 2 10 2" xfId="516"/>
    <cellStyle name="40% - 강조색1 2 10 3" xfId="517"/>
    <cellStyle name="40% - 강조색1 2 10 4" xfId="518"/>
    <cellStyle name="40% - 강조색1 2 10 5" xfId="519"/>
    <cellStyle name="40% - 강조색1 2 10 6" xfId="520"/>
    <cellStyle name="40% - 강조색1 2 11" xfId="521"/>
    <cellStyle name="40% - 강조색1 2 11 2" xfId="522"/>
    <cellStyle name="40% - 강조색1 2 11 3" xfId="523"/>
    <cellStyle name="40% - 강조색1 2 11 4" xfId="524"/>
    <cellStyle name="40% - 강조색1 2 11 5" xfId="525"/>
    <cellStyle name="40% - 강조색1 2 11 6" xfId="526"/>
    <cellStyle name="40% - 강조색1 2 12" xfId="527"/>
    <cellStyle name="40% - 강조색1 2 12 2" xfId="528"/>
    <cellStyle name="40% - 강조색1 2 12 3" xfId="529"/>
    <cellStyle name="40% - 강조색1 2 12 4" xfId="530"/>
    <cellStyle name="40% - 강조색1 2 12 5" xfId="531"/>
    <cellStyle name="40% - 강조색1 2 12 6" xfId="532"/>
    <cellStyle name="40% - 강조색1 2 13" xfId="533"/>
    <cellStyle name="40% - 강조색1 2 13 2" xfId="534"/>
    <cellStyle name="40% - 강조색1 2 13 3" xfId="535"/>
    <cellStyle name="40% - 강조색1 2 13 4" xfId="536"/>
    <cellStyle name="40% - 강조색1 2 13 5" xfId="537"/>
    <cellStyle name="40% - 강조색1 2 13 6" xfId="538"/>
    <cellStyle name="40% - 강조색1 2 14" xfId="539"/>
    <cellStyle name="40% - 강조색1 2 14 2" xfId="540"/>
    <cellStyle name="40% - 강조색1 2 14 3" xfId="541"/>
    <cellStyle name="40% - 강조색1 2 14 4" xfId="542"/>
    <cellStyle name="40% - 강조색1 2 14 5" xfId="543"/>
    <cellStyle name="40% - 강조색1 2 14 6" xfId="544"/>
    <cellStyle name="40% - 강조색1 2 15" xfId="545"/>
    <cellStyle name="40% - 강조색1 2 16" xfId="546"/>
    <cellStyle name="40% - 강조색1 2 17" xfId="547"/>
    <cellStyle name="40% - 강조색1 2 18" xfId="548"/>
    <cellStyle name="40% - 강조색1 2 19" xfId="549"/>
    <cellStyle name="40% - 강조색1 2 2" xfId="550"/>
    <cellStyle name="40% - 강조색1 2 2 2" xfId="551"/>
    <cellStyle name="40% - 강조색1 2 2 3" xfId="552"/>
    <cellStyle name="40% - 강조색1 2 2 4" xfId="553"/>
    <cellStyle name="40% - 강조색1 2 2 5" xfId="554"/>
    <cellStyle name="40% - 강조색1 2 2 6" xfId="555"/>
    <cellStyle name="40% - 강조색1 2 3" xfId="556"/>
    <cellStyle name="40% - 강조색1 2 3 2" xfId="557"/>
    <cellStyle name="40% - 강조색1 2 3 3" xfId="558"/>
    <cellStyle name="40% - 강조색1 2 3 4" xfId="559"/>
    <cellStyle name="40% - 강조색1 2 3 5" xfId="560"/>
    <cellStyle name="40% - 강조색1 2 3 6" xfId="561"/>
    <cellStyle name="40% - 강조색1 2 4" xfId="562"/>
    <cellStyle name="40% - 강조색1 2 4 2" xfId="563"/>
    <cellStyle name="40% - 강조색1 2 4 3" xfId="564"/>
    <cellStyle name="40% - 강조색1 2 4 4" xfId="565"/>
    <cellStyle name="40% - 강조색1 2 4 5" xfId="566"/>
    <cellStyle name="40% - 강조색1 2 4 6" xfId="567"/>
    <cellStyle name="40% - 강조색1 2 5" xfId="568"/>
    <cellStyle name="40% - 강조색1 2 5 2" xfId="569"/>
    <cellStyle name="40% - 강조색1 2 5 3" xfId="570"/>
    <cellStyle name="40% - 강조색1 2 5 4" xfId="571"/>
    <cellStyle name="40% - 강조색1 2 5 5" xfId="572"/>
    <cellStyle name="40% - 강조색1 2 5 6" xfId="573"/>
    <cellStyle name="40% - 강조색1 2 6" xfId="574"/>
    <cellStyle name="40% - 강조색1 2 6 2" xfId="575"/>
    <cellStyle name="40% - 강조색1 2 6 3" xfId="576"/>
    <cellStyle name="40% - 강조색1 2 6 4" xfId="577"/>
    <cellStyle name="40% - 강조색1 2 6 5" xfId="578"/>
    <cellStyle name="40% - 강조색1 2 6 6" xfId="579"/>
    <cellStyle name="40% - 강조색1 2 7" xfId="580"/>
    <cellStyle name="40% - 강조색1 2 7 2" xfId="581"/>
    <cellStyle name="40% - 강조색1 2 7 3" xfId="582"/>
    <cellStyle name="40% - 강조색1 2 7 4" xfId="583"/>
    <cellStyle name="40% - 강조색1 2 7 5" xfId="584"/>
    <cellStyle name="40% - 강조색1 2 7 6" xfId="585"/>
    <cellStyle name="40% - 강조색1 2 8" xfId="586"/>
    <cellStyle name="40% - 강조색1 2 8 2" xfId="587"/>
    <cellStyle name="40% - 강조색1 2 8 3" xfId="588"/>
    <cellStyle name="40% - 강조색1 2 8 4" xfId="589"/>
    <cellStyle name="40% - 강조색1 2 8 5" xfId="590"/>
    <cellStyle name="40% - 강조색1 2 8 6" xfId="591"/>
    <cellStyle name="40% - 강조색1 2 9" xfId="592"/>
    <cellStyle name="40% - 강조색1 2 9 2" xfId="593"/>
    <cellStyle name="40% - 강조색1 2 9 3" xfId="594"/>
    <cellStyle name="40% - 강조색1 2 9 4" xfId="595"/>
    <cellStyle name="40% - 강조색1 2 9 5" xfId="596"/>
    <cellStyle name="40% - 강조색1 2 9 6" xfId="597"/>
    <cellStyle name="40% - 강조색2 2" xfId="598"/>
    <cellStyle name="40% - 강조색2 2 10" xfId="599"/>
    <cellStyle name="40% - 강조색2 2 10 2" xfId="600"/>
    <cellStyle name="40% - 강조색2 2 10 3" xfId="601"/>
    <cellStyle name="40% - 강조색2 2 10 4" xfId="602"/>
    <cellStyle name="40% - 강조색2 2 10 5" xfId="603"/>
    <cellStyle name="40% - 강조색2 2 10 6" xfId="604"/>
    <cellStyle name="40% - 강조색2 2 11" xfId="605"/>
    <cellStyle name="40% - 강조색2 2 11 2" xfId="606"/>
    <cellStyle name="40% - 강조색2 2 11 3" xfId="607"/>
    <cellStyle name="40% - 강조색2 2 11 4" xfId="608"/>
    <cellStyle name="40% - 강조색2 2 11 5" xfId="609"/>
    <cellStyle name="40% - 강조색2 2 11 6" xfId="610"/>
    <cellStyle name="40% - 강조색2 2 12" xfId="611"/>
    <cellStyle name="40% - 강조색2 2 12 2" xfId="612"/>
    <cellStyle name="40% - 강조색2 2 12 3" xfId="613"/>
    <cellStyle name="40% - 강조색2 2 12 4" xfId="614"/>
    <cellStyle name="40% - 강조색2 2 12 5" xfId="615"/>
    <cellStyle name="40% - 강조색2 2 12 6" xfId="616"/>
    <cellStyle name="40% - 강조색2 2 13" xfId="617"/>
    <cellStyle name="40% - 강조색2 2 13 2" xfId="618"/>
    <cellStyle name="40% - 강조색2 2 13 3" xfId="619"/>
    <cellStyle name="40% - 강조색2 2 13 4" xfId="620"/>
    <cellStyle name="40% - 강조색2 2 13 5" xfId="621"/>
    <cellStyle name="40% - 강조색2 2 13 6" xfId="622"/>
    <cellStyle name="40% - 강조색2 2 14" xfId="623"/>
    <cellStyle name="40% - 강조색2 2 14 2" xfId="624"/>
    <cellStyle name="40% - 강조색2 2 14 3" xfId="625"/>
    <cellStyle name="40% - 강조색2 2 14 4" xfId="626"/>
    <cellStyle name="40% - 강조색2 2 14 5" xfId="627"/>
    <cellStyle name="40% - 강조색2 2 14 6" xfId="628"/>
    <cellStyle name="40% - 강조색2 2 15" xfId="629"/>
    <cellStyle name="40% - 강조색2 2 16" xfId="630"/>
    <cellStyle name="40% - 강조색2 2 17" xfId="631"/>
    <cellStyle name="40% - 강조색2 2 18" xfId="632"/>
    <cellStyle name="40% - 강조색2 2 19" xfId="633"/>
    <cellStyle name="40% - 강조색2 2 2" xfId="634"/>
    <cellStyle name="40% - 강조색2 2 2 2" xfId="635"/>
    <cellStyle name="40% - 강조색2 2 2 3" xfId="636"/>
    <cellStyle name="40% - 강조색2 2 2 4" xfId="637"/>
    <cellStyle name="40% - 강조색2 2 2 5" xfId="638"/>
    <cellStyle name="40% - 강조색2 2 2 6" xfId="639"/>
    <cellStyle name="40% - 강조색2 2 3" xfId="640"/>
    <cellStyle name="40% - 강조색2 2 3 2" xfId="641"/>
    <cellStyle name="40% - 강조색2 2 3 3" xfId="642"/>
    <cellStyle name="40% - 강조색2 2 3 4" xfId="643"/>
    <cellStyle name="40% - 강조색2 2 3 5" xfId="644"/>
    <cellStyle name="40% - 강조색2 2 3 6" xfId="645"/>
    <cellStyle name="40% - 강조색2 2 4" xfId="646"/>
    <cellStyle name="40% - 강조색2 2 4 2" xfId="647"/>
    <cellStyle name="40% - 강조색2 2 4 3" xfId="648"/>
    <cellStyle name="40% - 강조색2 2 4 4" xfId="649"/>
    <cellStyle name="40% - 강조색2 2 4 5" xfId="650"/>
    <cellStyle name="40% - 강조색2 2 4 6" xfId="651"/>
    <cellStyle name="40% - 강조색2 2 5" xfId="652"/>
    <cellStyle name="40% - 강조색2 2 5 2" xfId="653"/>
    <cellStyle name="40% - 강조색2 2 5 3" xfId="654"/>
    <cellStyle name="40% - 강조색2 2 5 4" xfId="655"/>
    <cellStyle name="40% - 강조색2 2 5 5" xfId="656"/>
    <cellStyle name="40% - 강조색2 2 5 6" xfId="657"/>
    <cellStyle name="40% - 강조색2 2 6" xfId="658"/>
    <cellStyle name="40% - 강조색2 2 6 2" xfId="659"/>
    <cellStyle name="40% - 강조색2 2 6 3" xfId="660"/>
    <cellStyle name="40% - 강조색2 2 6 4" xfId="661"/>
    <cellStyle name="40% - 강조색2 2 6 5" xfId="662"/>
    <cellStyle name="40% - 강조색2 2 6 6" xfId="663"/>
    <cellStyle name="40% - 강조색2 2 7" xfId="664"/>
    <cellStyle name="40% - 강조색2 2 7 2" xfId="665"/>
    <cellStyle name="40% - 강조색2 2 7 3" xfId="666"/>
    <cellStyle name="40% - 강조색2 2 7 4" xfId="667"/>
    <cellStyle name="40% - 강조색2 2 7 5" xfId="668"/>
    <cellStyle name="40% - 강조색2 2 7 6" xfId="669"/>
    <cellStyle name="40% - 강조색2 2 8" xfId="670"/>
    <cellStyle name="40% - 강조색2 2 8 2" xfId="671"/>
    <cellStyle name="40% - 강조색2 2 8 3" xfId="672"/>
    <cellStyle name="40% - 강조색2 2 8 4" xfId="673"/>
    <cellStyle name="40% - 강조색2 2 8 5" xfId="674"/>
    <cellStyle name="40% - 강조색2 2 8 6" xfId="675"/>
    <cellStyle name="40% - 강조색2 2 9" xfId="676"/>
    <cellStyle name="40% - 강조색2 2 9 2" xfId="677"/>
    <cellStyle name="40% - 강조색2 2 9 3" xfId="678"/>
    <cellStyle name="40% - 강조색2 2 9 4" xfId="679"/>
    <cellStyle name="40% - 강조색2 2 9 5" xfId="680"/>
    <cellStyle name="40% - 강조색2 2 9 6" xfId="681"/>
    <cellStyle name="40% - 강조색3 2" xfId="682"/>
    <cellStyle name="40% - 강조색3 2 10" xfId="683"/>
    <cellStyle name="40% - 강조색3 2 10 2" xfId="684"/>
    <cellStyle name="40% - 강조색3 2 10 3" xfId="685"/>
    <cellStyle name="40% - 강조색3 2 10 4" xfId="686"/>
    <cellStyle name="40% - 강조색3 2 10 5" xfId="687"/>
    <cellStyle name="40% - 강조색3 2 10 6" xfId="688"/>
    <cellStyle name="40% - 강조색3 2 11" xfId="689"/>
    <cellStyle name="40% - 강조색3 2 11 2" xfId="690"/>
    <cellStyle name="40% - 강조색3 2 11 3" xfId="691"/>
    <cellStyle name="40% - 강조색3 2 11 4" xfId="692"/>
    <cellStyle name="40% - 강조색3 2 11 5" xfId="693"/>
    <cellStyle name="40% - 강조색3 2 11 6" xfId="694"/>
    <cellStyle name="40% - 강조색3 2 12" xfId="695"/>
    <cellStyle name="40% - 강조색3 2 12 2" xfId="696"/>
    <cellStyle name="40% - 강조색3 2 12 3" xfId="697"/>
    <cellStyle name="40% - 강조색3 2 12 4" xfId="698"/>
    <cellStyle name="40% - 강조색3 2 12 5" xfId="699"/>
    <cellStyle name="40% - 강조색3 2 12 6" xfId="700"/>
    <cellStyle name="40% - 강조색3 2 13" xfId="701"/>
    <cellStyle name="40% - 강조색3 2 13 2" xfId="702"/>
    <cellStyle name="40% - 강조색3 2 13 3" xfId="703"/>
    <cellStyle name="40% - 강조색3 2 13 4" xfId="704"/>
    <cellStyle name="40% - 강조색3 2 13 5" xfId="705"/>
    <cellStyle name="40% - 강조색3 2 13 6" xfId="706"/>
    <cellStyle name="40% - 강조색3 2 14" xfId="707"/>
    <cellStyle name="40% - 강조색3 2 14 2" xfId="708"/>
    <cellStyle name="40% - 강조색3 2 14 3" xfId="709"/>
    <cellStyle name="40% - 강조색3 2 14 4" xfId="710"/>
    <cellStyle name="40% - 강조색3 2 14 5" xfId="711"/>
    <cellStyle name="40% - 강조색3 2 14 6" xfId="712"/>
    <cellStyle name="40% - 강조색3 2 15" xfId="713"/>
    <cellStyle name="40% - 강조색3 2 16" xfId="714"/>
    <cellStyle name="40% - 강조색3 2 17" xfId="715"/>
    <cellStyle name="40% - 강조색3 2 18" xfId="716"/>
    <cellStyle name="40% - 강조색3 2 19" xfId="717"/>
    <cellStyle name="40% - 강조색3 2 2" xfId="718"/>
    <cellStyle name="40% - 강조색3 2 2 2" xfId="719"/>
    <cellStyle name="40% - 강조색3 2 2 3" xfId="720"/>
    <cellStyle name="40% - 강조색3 2 2 4" xfId="721"/>
    <cellStyle name="40% - 강조색3 2 2 5" xfId="722"/>
    <cellStyle name="40% - 강조색3 2 2 6" xfId="723"/>
    <cellStyle name="40% - 강조색3 2 3" xfId="724"/>
    <cellStyle name="40% - 강조색3 2 3 2" xfId="725"/>
    <cellStyle name="40% - 강조색3 2 3 3" xfId="726"/>
    <cellStyle name="40% - 강조색3 2 3 4" xfId="727"/>
    <cellStyle name="40% - 강조색3 2 3 5" xfId="728"/>
    <cellStyle name="40% - 강조색3 2 3 6" xfId="729"/>
    <cellStyle name="40% - 강조색3 2 4" xfId="730"/>
    <cellStyle name="40% - 강조색3 2 4 2" xfId="731"/>
    <cellStyle name="40% - 강조색3 2 4 3" xfId="732"/>
    <cellStyle name="40% - 강조색3 2 4 4" xfId="733"/>
    <cellStyle name="40% - 강조색3 2 4 5" xfId="734"/>
    <cellStyle name="40% - 강조색3 2 4 6" xfId="735"/>
    <cellStyle name="40% - 강조색3 2 5" xfId="736"/>
    <cellStyle name="40% - 강조색3 2 5 2" xfId="737"/>
    <cellStyle name="40% - 강조색3 2 5 3" xfId="738"/>
    <cellStyle name="40% - 강조색3 2 5 4" xfId="739"/>
    <cellStyle name="40% - 강조색3 2 5 5" xfId="740"/>
    <cellStyle name="40% - 강조색3 2 5 6" xfId="741"/>
    <cellStyle name="40% - 강조색3 2 6" xfId="742"/>
    <cellStyle name="40% - 강조색3 2 6 2" xfId="743"/>
    <cellStyle name="40% - 강조색3 2 6 3" xfId="744"/>
    <cellStyle name="40% - 강조색3 2 6 4" xfId="745"/>
    <cellStyle name="40% - 강조색3 2 6 5" xfId="746"/>
    <cellStyle name="40% - 강조색3 2 6 6" xfId="747"/>
    <cellStyle name="40% - 강조색3 2 7" xfId="748"/>
    <cellStyle name="40% - 강조색3 2 7 2" xfId="749"/>
    <cellStyle name="40% - 강조색3 2 7 3" xfId="750"/>
    <cellStyle name="40% - 강조색3 2 7 4" xfId="751"/>
    <cellStyle name="40% - 강조색3 2 7 5" xfId="752"/>
    <cellStyle name="40% - 강조색3 2 7 6" xfId="753"/>
    <cellStyle name="40% - 강조색3 2 8" xfId="754"/>
    <cellStyle name="40% - 강조색3 2 8 2" xfId="755"/>
    <cellStyle name="40% - 강조색3 2 8 3" xfId="756"/>
    <cellStyle name="40% - 강조색3 2 8 4" xfId="757"/>
    <cellStyle name="40% - 강조색3 2 8 5" xfId="758"/>
    <cellStyle name="40% - 강조색3 2 8 6" xfId="759"/>
    <cellStyle name="40% - 강조색3 2 9" xfId="760"/>
    <cellStyle name="40% - 강조색3 2 9 2" xfId="761"/>
    <cellStyle name="40% - 강조색3 2 9 3" xfId="762"/>
    <cellStyle name="40% - 강조색3 2 9 4" xfId="763"/>
    <cellStyle name="40% - 강조색3 2 9 5" xfId="764"/>
    <cellStyle name="40% - 강조색3 2 9 6" xfId="765"/>
    <cellStyle name="40% - 강조색4 2" xfId="766"/>
    <cellStyle name="40% - 강조색4 2 10" xfId="767"/>
    <cellStyle name="40% - 강조색4 2 10 2" xfId="768"/>
    <cellStyle name="40% - 강조색4 2 10 3" xfId="769"/>
    <cellStyle name="40% - 강조색4 2 10 4" xfId="770"/>
    <cellStyle name="40% - 강조색4 2 10 5" xfId="771"/>
    <cellStyle name="40% - 강조색4 2 10 6" xfId="772"/>
    <cellStyle name="40% - 강조색4 2 11" xfId="773"/>
    <cellStyle name="40% - 강조색4 2 11 2" xfId="774"/>
    <cellStyle name="40% - 강조색4 2 11 3" xfId="775"/>
    <cellStyle name="40% - 강조색4 2 11 4" xfId="776"/>
    <cellStyle name="40% - 강조색4 2 11 5" xfId="777"/>
    <cellStyle name="40% - 강조색4 2 11 6" xfId="778"/>
    <cellStyle name="40% - 강조색4 2 12" xfId="779"/>
    <cellStyle name="40% - 강조색4 2 12 2" xfId="780"/>
    <cellStyle name="40% - 강조색4 2 12 3" xfId="781"/>
    <cellStyle name="40% - 강조색4 2 12 4" xfId="782"/>
    <cellStyle name="40% - 강조색4 2 12 5" xfId="783"/>
    <cellStyle name="40% - 강조색4 2 12 6" xfId="784"/>
    <cellStyle name="40% - 강조색4 2 13" xfId="785"/>
    <cellStyle name="40% - 강조색4 2 13 2" xfId="786"/>
    <cellStyle name="40% - 강조색4 2 13 3" xfId="787"/>
    <cellStyle name="40% - 강조색4 2 13 4" xfId="788"/>
    <cellStyle name="40% - 강조색4 2 13 5" xfId="789"/>
    <cellStyle name="40% - 강조색4 2 13 6" xfId="790"/>
    <cellStyle name="40% - 강조색4 2 14" xfId="791"/>
    <cellStyle name="40% - 강조색4 2 14 2" xfId="792"/>
    <cellStyle name="40% - 강조색4 2 14 3" xfId="793"/>
    <cellStyle name="40% - 강조색4 2 14 4" xfId="794"/>
    <cellStyle name="40% - 강조색4 2 14 5" xfId="795"/>
    <cellStyle name="40% - 강조색4 2 14 6" xfId="796"/>
    <cellStyle name="40% - 강조색4 2 15" xfId="797"/>
    <cellStyle name="40% - 강조색4 2 16" xfId="798"/>
    <cellStyle name="40% - 강조색4 2 17" xfId="799"/>
    <cellStyle name="40% - 강조색4 2 18" xfId="800"/>
    <cellStyle name="40% - 강조색4 2 19" xfId="801"/>
    <cellStyle name="40% - 강조색4 2 2" xfId="802"/>
    <cellStyle name="40% - 강조색4 2 2 2" xfId="803"/>
    <cellStyle name="40% - 강조색4 2 2 3" xfId="804"/>
    <cellStyle name="40% - 강조색4 2 2 4" xfId="805"/>
    <cellStyle name="40% - 강조색4 2 2 5" xfId="806"/>
    <cellStyle name="40% - 강조색4 2 2 6" xfId="807"/>
    <cellStyle name="40% - 강조색4 2 3" xfId="808"/>
    <cellStyle name="40% - 강조색4 2 3 2" xfId="809"/>
    <cellStyle name="40% - 강조색4 2 3 3" xfId="810"/>
    <cellStyle name="40% - 강조색4 2 3 4" xfId="811"/>
    <cellStyle name="40% - 강조색4 2 3 5" xfId="812"/>
    <cellStyle name="40% - 강조색4 2 3 6" xfId="813"/>
    <cellStyle name="40% - 강조색4 2 4" xfId="814"/>
    <cellStyle name="40% - 강조색4 2 4 2" xfId="815"/>
    <cellStyle name="40% - 강조색4 2 4 3" xfId="816"/>
    <cellStyle name="40% - 강조색4 2 4 4" xfId="817"/>
    <cellStyle name="40% - 강조색4 2 4 5" xfId="818"/>
    <cellStyle name="40% - 강조색4 2 4 6" xfId="819"/>
    <cellStyle name="40% - 강조색4 2 5" xfId="820"/>
    <cellStyle name="40% - 강조색4 2 5 2" xfId="821"/>
    <cellStyle name="40% - 강조색4 2 5 3" xfId="822"/>
    <cellStyle name="40% - 강조색4 2 5 4" xfId="823"/>
    <cellStyle name="40% - 강조색4 2 5 5" xfId="824"/>
    <cellStyle name="40% - 강조색4 2 5 6" xfId="825"/>
    <cellStyle name="40% - 강조색4 2 6" xfId="826"/>
    <cellStyle name="40% - 강조색4 2 6 2" xfId="827"/>
    <cellStyle name="40% - 강조색4 2 6 3" xfId="828"/>
    <cellStyle name="40% - 강조색4 2 6 4" xfId="829"/>
    <cellStyle name="40% - 강조색4 2 6 5" xfId="830"/>
    <cellStyle name="40% - 강조색4 2 6 6" xfId="831"/>
    <cellStyle name="40% - 강조색4 2 7" xfId="832"/>
    <cellStyle name="40% - 강조색4 2 7 2" xfId="833"/>
    <cellStyle name="40% - 강조색4 2 7 3" xfId="834"/>
    <cellStyle name="40% - 강조색4 2 7 4" xfId="835"/>
    <cellStyle name="40% - 강조색4 2 7 5" xfId="836"/>
    <cellStyle name="40% - 강조색4 2 7 6" xfId="837"/>
    <cellStyle name="40% - 강조색4 2 8" xfId="838"/>
    <cellStyle name="40% - 강조색4 2 8 2" xfId="839"/>
    <cellStyle name="40% - 강조색4 2 8 3" xfId="840"/>
    <cellStyle name="40% - 강조색4 2 8 4" xfId="841"/>
    <cellStyle name="40% - 강조색4 2 8 5" xfId="842"/>
    <cellStyle name="40% - 강조색4 2 8 6" xfId="843"/>
    <cellStyle name="40% - 강조색4 2 9" xfId="844"/>
    <cellStyle name="40% - 강조색4 2 9 2" xfId="845"/>
    <cellStyle name="40% - 강조색4 2 9 3" xfId="846"/>
    <cellStyle name="40% - 강조색4 2 9 4" xfId="847"/>
    <cellStyle name="40% - 강조색4 2 9 5" xfId="848"/>
    <cellStyle name="40% - 강조색4 2 9 6" xfId="849"/>
    <cellStyle name="40% - 강조색5 2" xfId="850"/>
    <cellStyle name="40% - 강조색5 2 10" xfId="851"/>
    <cellStyle name="40% - 강조색5 2 10 2" xfId="852"/>
    <cellStyle name="40% - 강조색5 2 10 3" xfId="853"/>
    <cellStyle name="40% - 강조색5 2 10 4" xfId="854"/>
    <cellStyle name="40% - 강조색5 2 10 5" xfId="855"/>
    <cellStyle name="40% - 강조색5 2 10 6" xfId="856"/>
    <cellStyle name="40% - 강조색5 2 11" xfId="857"/>
    <cellStyle name="40% - 강조색5 2 11 2" xfId="858"/>
    <cellStyle name="40% - 강조색5 2 11 3" xfId="859"/>
    <cellStyle name="40% - 강조색5 2 11 4" xfId="860"/>
    <cellStyle name="40% - 강조색5 2 11 5" xfId="861"/>
    <cellStyle name="40% - 강조색5 2 11 6" xfId="862"/>
    <cellStyle name="40% - 강조색5 2 12" xfId="863"/>
    <cellStyle name="40% - 강조색5 2 12 2" xfId="864"/>
    <cellStyle name="40% - 강조색5 2 12 3" xfId="865"/>
    <cellStyle name="40% - 강조색5 2 12 4" xfId="866"/>
    <cellStyle name="40% - 강조색5 2 12 5" xfId="867"/>
    <cellStyle name="40% - 강조색5 2 12 6" xfId="868"/>
    <cellStyle name="40% - 강조색5 2 13" xfId="869"/>
    <cellStyle name="40% - 강조색5 2 13 2" xfId="870"/>
    <cellStyle name="40% - 강조색5 2 13 3" xfId="871"/>
    <cellStyle name="40% - 강조색5 2 13 4" xfId="872"/>
    <cellStyle name="40% - 강조색5 2 13 5" xfId="873"/>
    <cellStyle name="40% - 강조색5 2 13 6" xfId="874"/>
    <cellStyle name="40% - 강조색5 2 14" xfId="875"/>
    <cellStyle name="40% - 강조색5 2 14 2" xfId="876"/>
    <cellStyle name="40% - 강조색5 2 14 3" xfId="877"/>
    <cellStyle name="40% - 강조색5 2 14 4" xfId="878"/>
    <cellStyle name="40% - 강조색5 2 14 5" xfId="879"/>
    <cellStyle name="40% - 강조색5 2 14 6" xfId="880"/>
    <cellStyle name="40% - 강조색5 2 15" xfId="881"/>
    <cellStyle name="40% - 강조색5 2 16" xfId="882"/>
    <cellStyle name="40% - 강조색5 2 17" xfId="883"/>
    <cellStyle name="40% - 강조색5 2 18" xfId="884"/>
    <cellStyle name="40% - 강조색5 2 19" xfId="885"/>
    <cellStyle name="40% - 강조색5 2 2" xfId="886"/>
    <cellStyle name="40% - 강조색5 2 2 2" xfId="887"/>
    <cellStyle name="40% - 강조색5 2 2 3" xfId="888"/>
    <cellStyle name="40% - 강조색5 2 2 4" xfId="889"/>
    <cellStyle name="40% - 강조색5 2 2 5" xfId="890"/>
    <cellStyle name="40% - 강조색5 2 2 6" xfId="891"/>
    <cellStyle name="40% - 강조색5 2 3" xfId="892"/>
    <cellStyle name="40% - 강조색5 2 3 2" xfId="893"/>
    <cellStyle name="40% - 강조색5 2 3 3" xfId="894"/>
    <cellStyle name="40% - 강조색5 2 3 4" xfId="895"/>
    <cellStyle name="40% - 강조색5 2 3 5" xfId="896"/>
    <cellStyle name="40% - 강조색5 2 3 6" xfId="897"/>
    <cellStyle name="40% - 강조색5 2 4" xfId="898"/>
    <cellStyle name="40% - 강조색5 2 4 2" xfId="899"/>
    <cellStyle name="40% - 강조색5 2 4 3" xfId="900"/>
    <cellStyle name="40% - 강조색5 2 4 4" xfId="901"/>
    <cellStyle name="40% - 강조색5 2 4 5" xfId="902"/>
    <cellStyle name="40% - 강조색5 2 4 6" xfId="903"/>
    <cellStyle name="40% - 강조색5 2 5" xfId="904"/>
    <cellStyle name="40% - 강조색5 2 5 2" xfId="905"/>
    <cellStyle name="40% - 강조색5 2 5 3" xfId="906"/>
    <cellStyle name="40% - 강조색5 2 5 4" xfId="907"/>
    <cellStyle name="40% - 강조색5 2 5 5" xfId="908"/>
    <cellStyle name="40% - 강조색5 2 5 6" xfId="909"/>
    <cellStyle name="40% - 강조색5 2 6" xfId="910"/>
    <cellStyle name="40% - 강조색5 2 6 2" xfId="911"/>
    <cellStyle name="40% - 강조색5 2 6 3" xfId="912"/>
    <cellStyle name="40% - 강조색5 2 6 4" xfId="913"/>
    <cellStyle name="40% - 강조색5 2 6 5" xfId="914"/>
    <cellStyle name="40% - 강조색5 2 6 6" xfId="915"/>
    <cellStyle name="40% - 강조색5 2 7" xfId="916"/>
    <cellStyle name="40% - 강조색5 2 7 2" xfId="917"/>
    <cellStyle name="40% - 강조색5 2 7 3" xfId="918"/>
    <cellStyle name="40% - 강조색5 2 7 4" xfId="919"/>
    <cellStyle name="40% - 강조색5 2 7 5" xfId="920"/>
    <cellStyle name="40% - 강조색5 2 7 6" xfId="921"/>
    <cellStyle name="40% - 강조색5 2 8" xfId="922"/>
    <cellStyle name="40% - 강조색5 2 8 2" xfId="923"/>
    <cellStyle name="40% - 강조색5 2 8 3" xfId="924"/>
    <cellStyle name="40% - 강조색5 2 8 4" xfId="925"/>
    <cellStyle name="40% - 강조색5 2 8 5" xfId="926"/>
    <cellStyle name="40% - 강조색5 2 8 6" xfId="927"/>
    <cellStyle name="40% - 강조색5 2 9" xfId="928"/>
    <cellStyle name="40% - 강조색5 2 9 2" xfId="929"/>
    <cellStyle name="40% - 강조색5 2 9 3" xfId="930"/>
    <cellStyle name="40% - 강조색5 2 9 4" xfId="931"/>
    <cellStyle name="40% - 강조색5 2 9 5" xfId="932"/>
    <cellStyle name="40% - 강조색5 2 9 6" xfId="933"/>
    <cellStyle name="40% - 강조색6 2" xfId="934"/>
    <cellStyle name="40% - 강조색6 2 10" xfId="935"/>
    <cellStyle name="40% - 강조색6 2 10 2" xfId="936"/>
    <cellStyle name="40% - 강조색6 2 10 3" xfId="937"/>
    <cellStyle name="40% - 강조색6 2 10 4" xfId="938"/>
    <cellStyle name="40% - 강조색6 2 10 5" xfId="939"/>
    <cellStyle name="40% - 강조색6 2 10 6" xfId="940"/>
    <cellStyle name="40% - 강조색6 2 11" xfId="941"/>
    <cellStyle name="40% - 강조색6 2 11 2" xfId="942"/>
    <cellStyle name="40% - 강조색6 2 11 3" xfId="943"/>
    <cellStyle name="40% - 강조색6 2 11 4" xfId="944"/>
    <cellStyle name="40% - 강조색6 2 11 5" xfId="945"/>
    <cellStyle name="40% - 강조색6 2 11 6" xfId="946"/>
    <cellStyle name="40% - 강조색6 2 12" xfId="947"/>
    <cellStyle name="40% - 강조색6 2 12 2" xfId="948"/>
    <cellStyle name="40% - 강조색6 2 12 3" xfId="949"/>
    <cellStyle name="40% - 강조색6 2 12 4" xfId="950"/>
    <cellStyle name="40% - 강조색6 2 12 5" xfId="951"/>
    <cellStyle name="40% - 강조색6 2 12 6" xfId="952"/>
    <cellStyle name="40% - 강조색6 2 13" xfId="953"/>
    <cellStyle name="40% - 강조색6 2 13 2" xfId="954"/>
    <cellStyle name="40% - 강조색6 2 13 3" xfId="955"/>
    <cellStyle name="40% - 강조색6 2 13 4" xfId="956"/>
    <cellStyle name="40% - 강조색6 2 13 5" xfId="957"/>
    <cellStyle name="40% - 강조색6 2 13 6" xfId="958"/>
    <cellStyle name="40% - 강조색6 2 14" xfId="959"/>
    <cellStyle name="40% - 강조색6 2 14 2" xfId="960"/>
    <cellStyle name="40% - 강조색6 2 14 3" xfId="961"/>
    <cellStyle name="40% - 강조색6 2 14 4" xfId="962"/>
    <cellStyle name="40% - 강조색6 2 14 5" xfId="963"/>
    <cellStyle name="40% - 강조색6 2 14 6" xfId="964"/>
    <cellStyle name="40% - 강조색6 2 15" xfId="965"/>
    <cellStyle name="40% - 강조색6 2 16" xfId="966"/>
    <cellStyle name="40% - 강조색6 2 17" xfId="967"/>
    <cellStyle name="40% - 강조색6 2 18" xfId="968"/>
    <cellStyle name="40% - 강조색6 2 19" xfId="969"/>
    <cellStyle name="40% - 강조색6 2 2" xfId="970"/>
    <cellStyle name="40% - 강조색6 2 2 2" xfId="971"/>
    <cellStyle name="40% - 강조색6 2 2 3" xfId="972"/>
    <cellStyle name="40% - 강조색6 2 2 4" xfId="973"/>
    <cellStyle name="40% - 강조색6 2 2 5" xfId="974"/>
    <cellStyle name="40% - 강조색6 2 2 6" xfId="975"/>
    <cellStyle name="40% - 강조색6 2 3" xfId="976"/>
    <cellStyle name="40% - 강조색6 2 3 2" xfId="977"/>
    <cellStyle name="40% - 강조색6 2 3 3" xfId="978"/>
    <cellStyle name="40% - 강조색6 2 3 4" xfId="979"/>
    <cellStyle name="40% - 강조색6 2 3 5" xfId="980"/>
    <cellStyle name="40% - 강조색6 2 3 6" xfId="981"/>
    <cellStyle name="40% - 강조색6 2 4" xfId="982"/>
    <cellStyle name="40% - 강조색6 2 4 2" xfId="983"/>
    <cellStyle name="40% - 강조색6 2 4 3" xfId="984"/>
    <cellStyle name="40% - 강조색6 2 4 4" xfId="985"/>
    <cellStyle name="40% - 강조색6 2 4 5" xfId="986"/>
    <cellStyle name="40% - 강조색6 2 4 6" xfId="987"/>
    <cellStyle name="40% - 강조색6 2 5" xfId="988"/>
    <cellStyle name="40% - 강조색6 2 5 2" xfId="989"/>
    <cellStyle name="40% - 강조색6 2 5 3" xfId="990"/>
    <cellStyle name="40% - 강조색6 2 5 4" xfId="991"/>
    <cellStyle name="40% - 강조색6 2 5 5" xfId="992"/>
    <cellStyle name="40% - 강조색6 2 5 6" xfId="993"/>
    <cellStyle name="40% - 강조색6 2 6" xfId="994"/>
    <cellStyle name="40% - 강조색6 2 6 2" xfId="995"/>
    <cellStyle name="40% - 강조색6 2 6 3" xfId="996"/>
    <cellStyle name="40% - 강조색6 2 6 4" xfId="997"/>
    <cellStyle name="40% - 강조색6 2 6 5" xfId="998"/>
    <cellStyle name="40% - 강조색6 2 6 6" xfId="999"/>
    <cellStyle name="40% - 강조색6 2 7" xfId="1000"/>
    <cellStyle name="40% - 강조색6 2 7 2" xfId="1001"/>
    <cellStyle name="40% - 강조색6 2 7 3" xfId="1002"/>
    <cellStyle name="40% - 강조색6 2 7 4" xfId="1003"/>
    <cellStyle name="40% - 강조색6 2 7 5" xfId="1004"/>
    <cellStyle name="40% - 강조색6 2 7 6" xfId="1005"/>
    <cellStyle name="40% - 강조색6 2 8" xfId="1006"/>
    <cellStyle name="40% - 강조색6 2 8 2" xfId="1007"/>
    <cellStyle name="40% - 강조색6 2 8 3" xfId="1008"/>
    <cellStyle name="40% - 강조색6 2 8 4" xfId="1009"/>
    <cellStyle name="40% - 강조색6 2 8 5" xfId="1010"/>
    <cellStyle name="40% - 강조색6 2 8 6" xfId="1011"/>
    <cellStyle name="40% - 강조색6 2 9" xfId="1012"/>
    <cellStyle name="40% - 강조색6 2 9 2" xfId="1013"/>
    <cellStyle name="40% - 강조색6 2 9 3" xfId="1014"/>
    <cellStyle name="40% - 강조색6 2 9 4" xfId="1015"/>
    <cellStyle name="40% - 강조색6 2 9 5" xfId="1016"/>
    <cellStyle name="40% - 강조색6 2 9 6" xfId="1017"/>
    <cellStyle name="60% - 강조색1 2" xfId="1018"/>
    <cellStyle name="60% - 강조색2 2" xfId="1019"/>
    <cellStyle name="60% - 강조색3 2" xfId="1020"/>
    <cellStyle name="60% - 강조색4 2" xfId="1021"/>
    <cellStyle name="60% - 강조색5 2" xfId="1022"/>
    <cellStyle name="60% - 강조색6 2" xfId="1023"/>
    <cellStyle name="aryInformation" xfId="3130"/>
    <cellStyle name="category" xfId="1024"/>
    <cellStyle name="Comma" xfId="1025"/>
    <cellStyle name="Comma [0]_판매계획 (2)" xfId="3131"/>
    <cellStyle name="Comma [0]Ctls" xfId="3132"/>
    <cellStyle name="Comma_판매계획 (2)" xfId="3133"/>
    <cellStyle name="CRevision Log" xfId="3134"/>
    <cellStyle name="Currency" xfId="1026"/>
    <cellStyle name="Currency [0]_판매계획 (2)" xfId="3135"/>
    <cellStyle name="Currency_판매계획 (2)" xfId="3136"/>
    <cellStyle name="Date" xfId="1027"/>
    <cellStyle name="Fixed" xfId="1028"/>
    <cellStyle name="Grey" xfId="1029"/>
    <cellStyle name="HEADER" xfId="1030"/>
    <cellStyle name="Header1" xfId="1031"/>
    <cellStyle name="Header2" xfId="1032"/>
    <cellStyle name="Heading1" xfId="1033"/>
    <cellStyle name="Heading2" xfId="1034"/>
    <cellStyle name="Input [yellow]" xfId="1035"/>
    <cellStyle name="kbook" xfId="3137"/>
    <cellStyle name="Model" xfId="1036"/>
    <cellStyle name="Normal - Style1" xfId="1037"/>
    <cellStyle name="Normal_Certs Q2" xfId="3138"/>
    <cellStyle name="OJECT_CUR" xfId="3139"/>
    <cellStyle name="on" xfId="3140"/>
    <cellStyle name="Percent" xfId="1038"/>
    <cellStyle name="Percent [2]" xfId="1039"/>
    <cellStyle name="subhead" xfId="1040"/>
    <cellStyle name="Total" xfId="1041"/>
    <cellStyle name="yInformation" xfId="3141"/>
    <cellStyle name="ㄱ" xfId="3142"/>
    <cellStyle name="강조색1 2" xfId="1042"/>
    <cellStyle name="강조색2 2" xfId="1043"/>
    <cellStyle name="강조색3 2" xfId="1044"/>
    <cellStyle name="강조색4 2" xfId="1045"/>
    <cellStyle name="강조색5 2" xfId="1046"/>
    <cellStyle name="강조색6 2" xfId="1047"/>
    <cellStyle name="경고문 2" xfId="1048"/>
    <cellStyle name="계산 2" xfId="1049"/>
    <cellStyle name="나쁨 2" xfId="1050"/>
    <cellStyle name="메모 2" xfId="1051"/>
    <cellStyle name="백분율" xfId="8" builtinId="5"/>
    <cellStyle name="백분율 10" xfId="3297"/>
    <cellStyle name="백분율 11" xfId="3518"/>
    <cellStyle name="백분율 12" xfId="1052"/>
    <cellStyle name="백분율 2" xfId="3"/>
    <cellStyle name="백분율 2 10" xfId="1054"/>
    <cellStyle name="백분율 2 10 2" xfId="1055"/>
    <cellStyle name="백분율 2 10 3" xfId="1056"/>
    <cellStyle name="백분율 2 11" xfId="1057"/>
    <cellStyle name="백분율 2 11 2" xfId="1058"/>
    <cellStyle name="백분율 2 11 3" xfId="1059"/>
    <cellStyle name="백분율 2 12" xfId="1060"/>
    <cellStyle name="백분율 2 12 2" xfId="1061"/>
    <cellStyle name="백분율 2 12 3" xfId="1062"/>
    <cellStyle name="백분율 2 13" xfId="1063"/>
    <cellStyle name="백분율 2 14" xfId="1064"/>
    <cellStyle name="백분율 2 15" xfId="1065"/>
    <cellStyle name="백분율 2 16" xfId="1066"/>
    <cellStyle name="백분율 2 17" xfId="1067"/>
    <cellStyle name="백분율 2 18" xfId="1068"/>
    <cellStyle name="백분율 2 19" xfId="1069"/>
    <cellStyle name="백분율 2 2" xfId="1070"/>
    <cellStyle name="백분율 2 2 10" xfId="1071"/>
    <cellStyle name="백분율 2 2 2" xfId="1072"/>
    <cellStyle name="백분율 2 2 2 2" xfId="1073"/>
    <cellStyle name="백분율 2 2 2 2 2" xfId="1074"/>
    <cellStyle name="백분율 2 2 2 2 3" xfId="1075"/>
    <cellStyle name="백분율 2 2 3" xfId="1076"/>
    <cellStyle name="백분율 2 2 4" xfId="1077"/>
    <cellStyle name="백분율 2 2 5" xfId="1078"/>
    <cellStyle name="백분율 2 2 5 2" xfId="1079"/>
    <cellStyle name="백분율 2 2 5 3" xfId="1080"/>
    <cellStyle name="백분율 2 2 5 3 2" xfId="1081"/>
    <cellStyle name="백분율 2 2 5 4" xfId="1082"/>
    <cellStyle name="백분율 2 2 6" xfId="1083"/>
    <cellStyle name="백분율 2 2 6 2" xfId="1084"/>
    <cellStyle name="백분율 2 2 6 2 2" xfId="1085"/>
    <cellStyle name="백분율 2 2 7" xfId="1086"/>
    <cellStyle name="백분율 2 2 8" xfId="1087"/>
    <cellStyle name="백분율 2 2 9" xfId="1088"/>
    <cellStyle name="백분율 2 20" xfId="1089"/>
    <cellStyle name="백분율 2 21" xfId="1090"/>
    <cellStyle name="백분율 2 22" xfId="1091"/>
    <cellStyle name="백분율 2 23" xfId="1092"/>
    <cellStyle name="백분율 2 24" xfId="1093"/>
    <cellStyle name="백분율 2 25" xfId="1094"/>
    <cellStyle name="백분율 2 25 2" xfId="1095"/>
    <cellStyle name="백분율 2 26" xfId="3144"/>
    <cellStyle name="백분율 2 27" xfId="1053"/>
    <cellStyle name="백분율 2 3" xfId="1096"/>
    <cellStyle name="백분율 2 3 2" xfId="1097"/>
    <cellStyle name="백분율 2 3 2 2" xfId="1098"/>
    <cellStyle name="백분율 2 3 2 2 2" xfId="1099"/>
    <cellStyle name="백분율 2 3 2 3" xfId="1100"/>
    <cellStyle name="백분율 2 3 3" xfId="1101"/>
    <cellStyle name="백분율 2 3 4" xfId="1102"/>
    <cellStyle name="백분율 2 3 5" xfId="1103"/>
    <cellStyle name="백분율 2 3 6" xfId="1104"/>
    <cellStyle name="백분율 2 3 7" xfId="1105"/>
    <cellStyle name="백분율 2 4" xfId="1106"/>
    <cellStyle name="백분율 2 4 2" xfId="1107"/>
    <cellStyle name="백분율 2 4 2 2" xfId="1108"/>
    <cellStyle name="백분율 2 4 3" xfId="1109"/>
    <cellStyle name="백분율 2 5" xfId="1110"/>
    <cellStyle name="백분율 2 5 2" xfId="1111"/>
    <cellStyle name="백분율 2 5 3" xfId="1112"/>
    <cellStyle name="백분율 2 6" xfId="1113"/>
    <cellStyle name="백분율 2 6 2" xfId="1114"/>
    <cellStyle name="백분율 2 6 3" xfId="1115"/>
    <cellStyle name="백분율 2 7" xfId="1116"/>
    <cellStyle name="백분율 2 7 2" xfId="1117"/>
    <cellStyle name="백분율 2 7 3" xfId="1118"/>
    <cellStyle name="백분율 2 8" xfId="1119"/>
    <cellStyle name="백분율 2 8 2" xfId="1120"/>
    <cellStyle name="백분율 2 8 3" xfId="1121"/>
    <cellStyle name="백분율 2 9" xfId="1122"/>
    <cellStyle name="백분율 2 9 2" xfId="1123"/>
    <cellStyle name="백분율 2 9 3" xfId="1124"/>
    <cellStyle name="백분율 24" xfId="1125"/>
    <cellStyle name="백분율 24 2" xfId="1126"/>
    <cellStyle name="백분율 3" xfId="3114"/>
    <cellStyle name="백분율 3 2" xfId="1127"/>
    <cellStyle name="백분율 3 3" xfId="1128"/>
    <cellStyle name="백분율 4" xfId="3124"/>
    <cellStyle name="백분율 5" xfId="3143"/>
    <cellStyle name="백분율 6" xfId="3174"/>
    <cellStyle name="백분율 7" xfId="3183"/>
    <cellStyle name="백분율 8" xfId="3196"/>
    <cellStyle name="백분율 9" xfId="3239"/>
    <cellStyle name="보통 2" xfId="1129"/>
    <cellStyle name="설명 텍스트 2" xfId="1130"/>
    <cellStyle name="셀 확인 2" xfId="1131"/>
    <cellStyle name="쉼표 [0]" xfId="1" builtinId="6"/>
    <cellStyle name="쉼표 [0] 10" xfId="1133"/>
    <cellStyle name="쉼표 [0] 10 10" xfId="1134"/>
    <cellStyle name="쉼표 [0] 10 11" xfId="1135"/>
    <cellStyle name="쉼표 [0] 10 12" xfId="1136"/>
    <cellStyle name="쉼표 [0] 10 2" xfId="1137"/>
    <cellStyle name="쉼표 [0] 10 3" xfId="1138"/>
    <cellStyle name="쉼표 [0] 10 4" xfId="1139"/>
    <cellStyle name="쉼표 [0] 10 5" xfId="1140"/>
    <cellStyle name="쉼표 [0] 10 6" xfId="1141"/>
    <cellStyle name="쉼표 [0] 10 7" xfId="1142"/>
    <cellStyle name="쉼표 [0] 10 8" xfId="1143"/>
    <cellStyle name="쉼표 [0] 10 9" xfId="1144"/>
    <cellStyle name="쉼표 [0] 11" xfId="1145"/>
    <cellStyle name="쉼표 [0] 11 10" xfId="1146"/>
    <cellStyle name="쉼표 [0] 11 11" xfId="1147"/>
    <cellStyle name="쉼표 [0] 11 12" xfId="1148"/>
    <cellStyle name="쉼표 [0] 11 2" xfId="1149"/>
    <cellStyle name="쉼표 [0] 11 3" xfId="1150"/>
    <cellStyle name="쉼표 [0] 11 4" xfId="1151"/>
    <cellStyle name="쉼표 [0] 11 5" xfId="1152"/>
    <cellStyle name="쉼표 [0] 11 6" xfId="1153"/>
    <cellStyle name="쉼표 [0] 11 7" xfId="1154"/>
    <cellStyle name="쉼표 [0] 11 8" xfId="1155"/>
    <cellStyle name="쉼표 [0] 11 9" xfId="1156"/>
    <cellStyle name="쉼표 [0] 12" xfId="1157"/>
    <cellStyle name="쉼표 [0] 12 2" xfId="1158"/>
    <cellStyle name="쉼표 [0] 12 2 2" xfId="1159"/>
    <cellStyle name="쉼표 [0] 12 2 2 2" xfId="1160"/>
    <cellStyle name="쉼표 [0] 12 2 2 2 2" xfId="1161"/>
    <cellStyle name="쉼표 [0] 12 2 3" xfId="1162"/>
    <cellStyle name="쉼표 [0] 12 2 4" xfId="1163"/>
    <cellStyle name="쉼표 [0] 12 2 5" xfId="1164"/>
    <cellStyle name="쉼표 [0] 12 2 6" xfId="1165"/>
    <cellStyle name="쉼표 [0] 12 3" xfId="1166"/>
    <cellStyle name="쉼표 [0] 12 3 2" xfId="1167"/>
    <cellStyle name="쉼표 [0] 12 3 2 2" xfId="1168"/>
    <cellStyle name="쉼표 [0] 12 3 2 2 2" xfId="1169"/>
    <cellStyle name="쉼표 [0] 12 3 3" xfId="1170"/>
    <cellStyle name="쉼표 [0] 12 3 4" xfId="1171"/>
    <cellStyle name="쉼표 [0] 12 3 5" xfId="1172"/>
    <cellStyle name="쉼표 [0] 12 3 6" xfId="1173"/>
    <cellStyle name="쉼표 [0] 12 4" xfId="1174"/>
    <cellStyle name="쉼표 [0] 12 4 2" xfId="1175"/>
    <cellStyle name="쉼표 [0] 12 4 2 2" xfId="1176"/>
    <cellStyle name="쉼표 [0] 12 4 2 2 2" xfId="1177"/>
    <cellStyle name="쉼표 [0] 12 4 3" xfId="1178"/>
    <cellStyle name="쉼표 [0] 12 4 4" xfId="1179"/>
    <cellStyle name="쉼표 [0] 12 4 5" xfId="1180"/>
    <cellStyle name="쉼표 [0] 12 4 6" xfId="1181"/>
    <cellStyle name="쉼표 [0] 12 5" xfId="1182"/>
    <cellStyle name="쉼표 [0] 12 5 2" xfId="1183"/>
    <cellStyle name="쉼표 [0] 12 5 2 2" xfId="1184"/>
    <cellStyle name="쉼표 [0] 12 6" xfId="1185"/>
    <cellStyle name="쉼표 [0] 12 7" xfId="1186"/>
    <cellStyle name="쉼표 [0] 12 8" xfId="1187"/>
    <cellStyle name="쉼표 [0] 12 9" xfId="1188"/>
    <cellStyle name="쉼표 [0] 13" xfId="1189"/>
    <cellStyle name="쉼표 [0] 13 10" xfId="1190"/>
    <cellStyle name="쉼표 [0] 13 11" xfId="1191"/>
    <cellStyle name="쉼표 [0] 13 12" xfId="1192"/>
    <cellStyle name="쉼표 [0] 13 2" xfId="1193"/>
    <cellStyle name="쉼표 [0] 13 2 2" xfId="1194"/>
    <cellStyle name="쉼표 [0] 13 2 2 2" xfId="1195"/>
    <cellStyle name="쉼표 [0] 13 2 2 2 2" xfId="1196"/>
    <cellStyle name="쉼표 [0] 13 2 3" xfId="1197"/>
    <cellStyle name="쉼표 [0] 13 2 4" xfId="1198"/>
    <cellStyle name="쉼표 [0] 13 2 5" xfId="1199"/>
    <cellStyle name="쉼표 [0] 13 2 6" xfId="1200"/>
    <cellStyle name="쉼표 [0] 13 3" xfId="1201"/>
    <cellStyle name="쉼표 [0] 13 3 2" xfId="1202"/>
    <cellStyle name="쉼표 [0] 13 3 2 2" xfId="1203"/>
    <cellStyle name="쉼표 [0] 13 3 2 2 2" xfId="1204"/>
    <cellStyle name="쉼표 [0] 13 3 3" xfId="1205"/>
    <cellStyle name="쉼표 [0] 13 3 4" xfId="1206"/>
    <cellStyle name="쉼표 [0] 13 3 5" xfId="1207"/>
    <cellStyle name="쉼표 [0] 13 3 6" xfId="1208"/>
    <cellStyle name="쉼표 [0] 13 4" xfId="1209"/>
    <cellStyle name="쉼표 [0] 13 4 2" xfId="1210"/>
    <cellStyle name="쉼표 [0] 13 4 2 2" xfId="1211"/>
    <cellStyle name="쉼표 [0] 13 4 2 2 2" xfId="1212"/>
    <cellStyle name="쉼표 [0] 13 4 3" xfId="1213"/>
    <cellStyle name="쉼표 [0] 13 4 4" xfId="1214"/>
    <cellStyle name="쉼표 [0] 13 4 5" xfId="1215"/>
    <cellStyle name="쉼표 [0] 13 4 6" xfId="1216"/>
    <cellStyle name="쉼표 [0] 13 5" xfId="1217"/>
    <cellStyle name="쉼표 [0] 13 5 2" xfId="1218"/>
    <cellStyle name="쉼표 [0] 13 5 2 2" xfId="1219"/>
    <cellStyle name="쉼표 [0] 13 5 2 2 2" xfId="1220"/>
    <cellStyle name="쉼표 [0] 13 5 3" xfId="1221"/>
    <cellStyle name="쉼표 [0] 13 5 4" xfId="1222"/>
    <cellStyle name="쉼표 [0] 13 5 5" xfId="1223"/>
    <cellStyle name="쉼표 [0] 13 5 6" xfId="1224"/>
    <cellStyle name="쉼표 [0] 13 6" xfId="1225"/>
    <cellStyle name="쉼표 [0] 13 6 2" xfId="1226"/>
    <cellStyle name="쉼표 [0] 13 6 2 2" xfId="1227"/>
    <cellStyle name="쉼표 [0] 13 6 2 2 2" xfId="1228"/>
    <cellStyle name="쉼표 [0] 13 6 3" xfId="1229"/>
    <cellStyle name="쉼표 [0] 13 6 4" xfId="1230"/>
    <cellStyle name="쉼표 [0] 13 6 5" xfId="1231"/>
    <cellStyle name="쉼표 [0] 13 6 6" xfId="1232"/>
    <cellStyle name="쉼표 [0] 13 7" xfId="1233"/>
    <cellStyle name="쉼표 [0] 13 7 2" xfId="1234"/>
    <cellStyle name="쉼표 [0] 13 7 2 2" xfId="1235"/>
    <cellStyle name="쉼표 [0] 13 7 2 2 2" xfId="1236"/>
    <cellStyle name="쉼표 [0] 13 7 3" xfId="1237"/>
    <cellStyle name="쉼표 [0] 13 7 4" xfId="1238"/>
    <cellStyle name="쉼표 [0] 13 7 5" xfId="1239"/>
    <cellStyle name="쉼표 [0] 13 7 6" xfId="1240"/>
    <cellStyle name="쉼표 [0] 13 8" xfId="1241"/>
    <cellStyle name="쉼표 [0] 13 8 2" xfId="1242"/>
    <cellStyle name="쉼표 [0] 13 8 2 2" xfId="1243"/>
    <cellStyle name="쉼표 [0] 13 9" xfId="1244"/>
    <cellStyle name="쉼표 [0] 14" xfId="3115"/>
    <cellStyle name="쉼표 [0] 14 2" xfId="1245"/>
    <cellStyle name="쉼표 [0] 14 3" xfId="1246"/>
    <cellStyle name="쉼표 [0] 15" xfId="1247"/>
    <cellStyle name="쉼표 [0] 16" xfId="1248"/>
    <cellStyle name="쉼표 [0] 17" xfId="1249"/>
    <cellStyle name="쉼표 [0] 18" xfId="1250"/>
    <cellStyle name="쉼표 [0] 19" xfId="1251"/>
    <cellStyle name="쉼표 [0] 2" xfId="4"/>
    <cellStyle name="쉼표 [0] 2 10" xfId="1253"/>
    <cellStyle name="쉼표 [0] 2 10 2" xfId="1254"/>
    <cellStyle name="쉼표 [0] 2 10 2 2" xfId="1255"/>
    <cellStyle name="쉼표 [0] 2 10 2 2 2" xfId="1256"/>
    <cellStyle name="쉼표 [0] 2 10 2 3" xfId="1257"/>
    <cellStyle name="쉼표 [0] 2 10 3" xfId="1258"/>
    <cellStyle name="쉼표 [0] 2 10 4" xfId="1259"/>
    <cellStyle name="쉼표 [0] 2 10 5" xfId="1260"/>
    <cellStyle name="쉼표 [0] 2 10 6" xfId="1261"/>
    <cellStyle name="쉼표 [0] 2 10 7" xfId="1262"/>
    <cellStyle name="쉼표 [0] 2 11" xfId="1263"/>
    <cellStyle name="쉼표 [0] 2 11 2" xfId="1264"/>
    <cellStyle name="쉼표 [0] 2 11 2 2" xfId="1265"/>
    <cellStyle name="쉼표 [0] 2 11 2 2 2" xfId="1266"/>
    <cellStyle name="쉼표 [0] 2 11 2 3" xfId="1267"/>
    <cellStyle name="쉼표 [0] 2 11 3" xfId="1268"/>
    <cellStyle name="쉼표 [0] 2 11 4" xfId="1269"/>
    <cellStyle name="쉼표 [0] 2 11 5" xfId="1270"/>
    <cellStyle name="쉼표 [0] 2 11 6" xfId="1271"/>
    <cellStyle name="쉼표 [0] 2 11 7" xfId="1272"/>
    <cellStyle name="쉼표 [0] 2 12" xfId="1273"/>
    <cellStyle name="쉼표 [0] 2 12 2" xfId="1274"/>
    <cellStyle name="쉼표 [0] 2 12 2 2" xfId="1275"/>
    <cellStyle name="쉼표 [0] 2 12 2 2 2" xfId="1276"/>
    <cellStyle name="쉼표 [0] 2 12 2 3" xfId="1277"/>
    <cellStyle name="쉼표 [0] 2 12 3" xfId="1278"/>
    <cellStyle name="쉼표 [0] 2 12 4" xfId="1279"/>
    <cellStyle name="쉼표 [0] 2 12 5" xfId="1280"/>
    <cellStyle name="쉼표 [0] 2 12 6" xfId="1281"/>
    <cellStyle name="쉼표 [0] 2 12 7" xfId="1282"/>
    <cellStyle name="쉼표 [0] 2 13" xfId="1283"/>
    <cellStyle name="쉼표 [0] 2 13 2" xfId="1284"/>
    <cellStyle name="쉼표 [0] 2 13 2 2" xfId="1285"/>
    <cellStyle name="쉼표 [0] 2 13 2 2 2" xfId="1286"/>
    <cellStyle name="쉼표 [0] 2 13 2 3" xfId="1287"/>
    <cellStyle name="쉼표 [0] 2 13 3" xfId="1288"/>
    <cellStyle name="쉼표 [0] 2 13 4" xfId="1289"/>
    <cellStyle name="쉼표 [0] 2 13 5" xfId="1290"/>
    <cellStyle name="쉼표 [0] 2 13 6" xfId="1291"/>
    <cellStyle name="쉼표 [0] 2 13 7" xfId="1292"/>
    <cellStyle name="쉼표 [0] 2 14" xfId="1293"/>
    <cellStyle name="쉼표 [0] 2 14 2" xfId="1294"/>
    <cellStyle name="쉼표 [0] 2 14 2 2" xfId="1295"/>
    <cellStyle name="쉼표 [0] 2 14 2 2 2" xfId="1296"/>
    <cellStyle name="쉼표 [0] 2 14 2 3" xfId="1297"/>
    <cellStyle name="쉼표 [0] 2 14 3" xfId="1298"/>
    <cellStyle name="쉼표 [0] 2 14 4" xfId="1299"/>
    <cellStyle name="쉼표 [0] 2 14 5" xfId="1300"/>
    <cellStyle name="쉼표 [0] 2 14 6" xfId="1301"/>
    <cellStyle name="쉼표 [0] 2 14 7" xfId="1302"/>
    <cellStyle name="쉼표 [0] 2 15" xfId="1303"/>
    <cellStyle name="쉼표 [0] 2 15 2" xfId="1304"/>
    <cellStyle name="쉼표 [0] 2 15 2 2" xfId="1305"/>
    <cellStyle name="쉼표 [0] 2 15 2 2 2" xfId="1306"/>
    <cellStyle name="쉼표 [0] 2 15 2 3" xfId="1307"/>
    <cellStyle name="쉼표 [0] 2 15 3" xfId="1308"/>
    <cellStyle name="쉼표 [0] 2 15 4" xfId="1309"/>
    <cellStyle name="쉼표 [0] 2 15 5" xfId="1310"/>
    <cellStyle name="쉼표 [0] 2 15 6" xfId="1311"/>
    <cellStyle name="쉼표 [0] 2 15 7" xfId="1312"/>
    <cellStyle name="쉼표 [0] 2 16" xfId="1313"/>
    <cellStyle name="쉼표 [0] 2 16 2" xfId="1314"/>
    <cellStyle name="쉼표 [0] 2 16 2 2" xfId="1315"/>
    <cellStyle name="쉼표 [0] 2 16 2 2 2" xfId="1316"/>
    <cellStyle name="쉼표 [0] 2 16 2 3" xfId="1317"/>
    <cellStyle name="쉼표 [0] 2 16 3" xfId="1318"/>
    <cellStyle name="쉼표 [0] 2 16 4" xfId="1319"/>
    <cellStyle name="쉼표 [0] 2 16 5" xfId="1320"/>
    <cellStyle name="쉼표 [0] 2 16 6" xfId="1321"/>
    <cellStyle name="쉼표 [0] 2 16 7" xfId="1322"/>
    <cellStyle name="쉼표 [0] 2 17" xfId="1323"/>
    <cellStyle name="쉼표 [0] 2 17 2" xfId="1324"/>
    <cellStyle name="쉼표 [0] 2 17 2 2" xfId="1325"/>
    <cellStyle name="쉼표 [0] 2 17 2 2 2" xfId="1326"/>
    <cellStyle name="쉼표 [0] 2 17 2 3" xfId="1327"/>
    <cellStyle name="쉼표 [0] 2 17 3" xfId="1328"/>
    <cellStyle name="쉼표 [0] 2 17 4" xfId="1329"/>
    <cellStyle name="쉼표 [0] 2 17 5" xfId="1330"/>
    <cellStyle name="쉼표 [0] 2 17 6" xfId="1331"/>
    <cellStyle name="쉼표 [0] 2 17 7" xfId="1332"/>
    <cellStyle name="쉼표 [0] 2 18" xfId="1333"/>
    <cellStyle name="쉼표 [0] 2 18 2" xfId="1334"/>
    <cellStyle name="쉼표 [0] 2 18 2 2" xfId="1335"/>
    <cellStyle name="쉼표 [0] 2 18 2 2 2" xfId="1336"/>
    <cellStyle name="쉼표 [0] 2 18 2 3" xfId="1337"/>
    <cellStyle name="쉼표 [0] 2 18 3" xfId="1338"/>
    <cellStyle name="쉼표 [0] 2 18 4" xfId="1339"/>
    <cellStyle name="쉼표 [0] 2 18 5" xfId="1340"/>
    <cellStyle name="쉼표 [0] 2 18 6" xfId="1341"/>
    <cellStyle name="쉼표 [0] 2 18 7" xfId="1342"/>
    <cellStyle name="쉼표 [0] 2 19" xfId="1343"/>
    <cellStyle name="쉼표 [0] 2 19 10" xfId="1344"/>
    <cellStyle name="쉼표 [0] 2 19 11" xfId="1345"/>
    <cellStyle name="쉼표 [0] 2 19 12" xfId="1346"/>
    <cellStyle name="쉼표 [0] 2 19 2" xfId="1347"/>
    <cellStyle name="쉼표 [0] 2 19 2 10" xfId="1348"/>
    <cellStyle name="쉼표 [0] 2 19 2 10 2" xfId="1349"/>
    <cellStyle name="쉼표 [0] 2 19 2 11" xfId="1350"/>
    <cellStyle name="쉼표 [0] 2 19 2 11 2" xfId="1351"/>
    <cellStyle name="쉼표 [0] 2 19 2 12" xfId="1352"/>
    <cellStyle name="쉼표 [0] 2 19 2 12 2" xfId="1353"/>
    <cellStyle name="쉼표 [0] 2 19 2 13" xfId="1354"/>
    <cellStyle name="쉼표 [0] 2 19 2 14" xfId="1355"/>
    <cellStyle name="쉼표 [0] 2 19 2 15" xfId="1356"/>
    <cellStyle name="쉼표 [0] 2 19 2 16" xfId="1357"/>
    <cellStyle name="쉼표 [0] 2 19 2 17" xfId="1358"/>
    <cellStyle name="쉼표 [0] 2 19 2 2" xfId="1359"/>
    <cellStyle name="쉼표 [0] 2 19 2 2 2" xfId="1360"/>
    <cellStyle name="쉼표 [0] 2 19 2 2 2 2" xfId="1361"/>
    <cellStyle name="쉼표 [0] 2 19 2 2 3" xfId="1362"/>
    <cellStyle name="쉼표 [0] 2 19 2 2 3 2" xfId="1363"/>
    <cellStyle name="쉼표 [0] 2 19 2 3" xfId="1364"/>
    <cellStyle name="쉼표 [0] 2 19 2 3 2" xfId="1365"/>
    <cellStyle name="쉼표 [0] 2 19 2 4" xfId="1366"/>
    <cellStyle name="쉼표 [0] 2 19 2 4 2" xfId="1367"/>
    <cellStyle name="쉼표 [0] 2 19 2 5" xfId="1368"/>
    <cellStyle name="쉼표 [0] 2 19 2 5 2" xfId="1369"/>
    <cellStyle name="쉼표 [0] 2 19 2 6" xfId="1370"/>
    <cellStyle name="쉼표 [0] 2 19 2 6 2" xfId="1371"/>
    <cellStyle name="쉼표 [0] 2 19 2 7" xfId="1372"/>
    <cellStyle name="쉼표 [0] 2 19 2 7 2" xfId="1373"/>
    <cellStyle name="쉼표 [0] 2 19 2 8" xfId="1374"/>
    <cellStyle name="쉼표 [0] 2 19 2 8 2" xfId="1375"/>
    <cellStyle name="쉼표 [0] 2 19 2 9" xfId="1376"/>
    <cellStyle name="쉼표 [0] 2 19 2 9 2" xfId="1377"/>
    <cellStyle name="쉼표 [0] 2 19 3" xfId="1378"/>
    <cellStyle name="쉼표 [0] 2 19 3 2" xfId="1379"/>
    <cellStyle name="쉼표 [0] 2 19 3 3" xfId="1380"/>
    <cellStyle name="쉼표 [0] 2 19 4" xfId="1381"/>
    <cellStyle name="쉼표 [0] 2 19 5" xfId="1382"/>
    <cellStyle name="쉼표 [0] 2 19 6" xfId="1383"/>
    <cellStyle name="쉼표 [0] 2 19 7" xfId="1384"/>
    <cellStyle name="쉼표 [0] 2 19 8" xfId="1385"/>
    <cellStyle name="쉼표 [0] 2 19 9" xfId="1386"/>
    <cellStyle name="쉼표 [0] 2 2" xfId="1387"/>
    <cellStyle name="쉼표 [0] 2 2 2" xfId="1388"/>
    <cellStyle name="쉼표 [0] 2 2 2 2" xfId="1389"/>
    <cellStyle name="쉼표 [0] 2 2 2 2 2" xfId="1390"/>
    <cellStyle name="쉼표 [0] 2 2 2 2 2 2" xfId="1391"/>
    <cellStyle name="쉼표 [0] 2 2 2 3" xfId="1392"/>
    <cellStyle name="쉼표 [0] 2 2 2 3 2" xfId="1393"/>
    <cellStyle name="쉼표 [0] 2 2 2 4" xfId="1394"/>
    <cellStyle name="쉼표 [0] 2 2 3" xfId="1395"/>
    <cellStyle name="쉼표 [0] 2 2 3 2" xfId="3218"/>
    <cellStyle name="쉼표 [0] 2 2 4" xfId="1396"/>
    <cellStyle name="쉼표 [0] 2 2 5" xfId="1397"/>
    <cellStyle name="쉼표 [0] 2 2 6" xfId="1398"/>
    <cellStyle name="쉼표 [0] 2 2 7" xfId="1399"/>
    <cellStyle name="쉼표 [0] 2 20" xfId="1400"/>
    <cellStyle name="쉼표 [0] 2 20 2" xfId="1401"/>
    <cellStyle name="쉼표 [0] 2 20 2 2" xfId="1402"/>
    <cellStyle name="쉼표 [0] 2 20 2 2 2" xfId="1403"/>
    <cellStyle name="쉼표 [0] 2 20 2 3" xfId="1404"/>
    <cellStyle name="쉼표 [0] 2 20 3" xfId="1405"/>
    <cellStyle name="쉼표 [0] 2 20 4" xfId="1406"/>
    <cellStyle name="쉼표 [0] 2 20 5" xfId="1407"/>
    <cellStyle name="쉼표 [0] 2 20 6" xfId="1408"/>
    <cellStyle name="쉼표 [0] 2 20 7" xfId="1409"/>
    <cellStyle name="쉼표 [0] 2 21" xfId="1410"/>
    <cellStyle name="쉼표 [0] 2 21 10" xfId="1411"/>
    <cellStyle name="쉼표 [0] 2 21 11" xfId="1412"/>
    <cellStyle name="쉼표 [0] 2 21 12" xfId="1413"/>
    <cellStyle name="쉼표 [0] 2 21 2" xfId="1414"/>
    <cellStyle name="쉼표 [0] 2 21 2 2" xfId="1415"/>
    <cellStyle name="쉼표 [0] 2 21 2 3" xfId="1416"/>
    <cellStyle name="쉼표 [0] 2 21 3" xfId="1417"/>
    <cellStyle name="쉼표 [0] 2 21 4" xfId="1418"/>
    <cellStyle name="쉼표 [0] 2 21 5" xfId="1419"/>
    <cellStyle name="쉼표 [0] 2 21 6" xfId="1420"/>
    <cellStyle name="쉼표 [0] 2 21 7" xfId="1421"/>
    <cellStyle name="쉼표 [0] 2 21 8" xfId="1422"/>
    <cellStyle name="쉼표 [0] 2 21 9" xfId="1423"/>
    <cellStyle name="쉼표 [0] 2 22" xfId="1424"/>
    <cellStyle name="쉼표 [0] 2 22 2" xfId="1425"/>
    <cellStyle name="쉼표 [0] 2 22 2 2" xfId="1426"/>
    <cellStyle name="쉼표 [0] 2 22 2 2 2" xfId="1427"/>
    <cellStyle name="쉼표 [0] 2 22 2 3" xfId="1428"/>
    <cellStyle name="쉼표 [0] 2 22 3" xfId="1429"/>
    <cellStyle name="쉼표 [0] 2 22 4" xfId="1430"/>
    <cellStyle name="쉼표 [0] 2 22 5" xfId="1431"/>
    <cellStyle name="쉼표 [0] 2 22 6" xfId="1432"/>
    <cellStyle name="쉼표 [0] 2 22 7" xfId="1433"/>
    <cellStyle name="쉼표 [0] 2 23" xfId="1434"/>
    <cellStyle name="쉼표 [0] 2 23 2" xfId="1435"/>
    <cellStyle name="쉼표 [0] 2 23 2 2" xfId="1436"/>
    <cellStyle name="쉼표 [0] 2 23 2 2 2" xfId="1437"/>
    <cellStyle name="쉼표 [0] 2 23 2 3" xfId="1438"/>
    <cellStyle name="쉼표 [0] 2 23 3" xfId="1439"/>
    <cellStyle name="쉼표 [0] 2 23 4" xfId="1440"/>
    <cellStyle name="쉼표 [0] 2 23 5" xfId="1441"/>
    <cellStyle name="쉼표 [0] 2 23 6" xfId="1442"/>
    <cellStyle name="쉼표 [0] 2 23 7" xfId="1443"/>
    <cellStyle name="쉼표 [0] 2 24" xfId="1444"/>
    <cellStyle name="쉼표 [0] 2 24 2" xfId="1445"/>
    <cellStyle name="쉼표 [0] 2 24 2 2" xfId="1446"/>
    <cellStyle name="쉼표 [0] 2 24 2 2 2" xfId="1447"/>
    <cellStyle name="쉼표 [0] 2 24 2 3" xfId="1448"/>
    <cellStyle name="쉼표 [0] 2 24 3" xfId="1449"/>
    <cellStyle name="쉼표 [0] 2 24 4" xfId="1450"/>
    <cellStyle name="쉼표 [0] 2 24 5" xfId="1451"/>
    <cellStyle name="쉼표 [0] 2 24 6" xfId="1452"/>
    <cellStyle name="쉼표 [0] 2 24 7" xfId="1453"/>
    <cellStyle name="쉼표 [0] 2 25" xfId="1454"/>
    <cellStyle name="쉼표 [0] 2 25 2" xfId="1455"/>
    <cellStyle name="쉼표 [0] 2 25 2 2" xfId="1456"/>
    <cellStyle name="쉼표 [0] 2 25 2 2 2" xfId="1457"/>
    <cellStyle name="쉼표 [0] 2 25 2 3" xfId="1458"/>
    <cellStyle name="쉼표 [0] 2 25 3" xfId="1459"/>
    <cellStyle name="쉼표 [0] 2 25 4" xfId="1460"/>
    <cellStyle name="쉼표 [0] 2 25 5" xfId="1461"/>
    <cellStyle name="쉼표 [0] 2 25 6" xfId="1462"/>
    <cellStyle name="쉼표 [0] 2 25 7" xfId="1463"/>
    <cellStyle name="쉼표 [0] 2 26" xfId="1464"/>
    <cellStyle name="쉼표 [0] 2 26 2" xfId="1465"/>
    <cellStyle name="쉼표 [0] 2 26 2 2" xfId="1466"/>
    <cellStyle name="쉼표 [0] 2 26 2 2 2" xfId="1467"/>
    <cellStyle name="쉼표 [0] 2 26 2 3" xfId="1468"/>
    <cellStyle name="쉼표 [0] 2 26 3" xfId="1469"/>
    <cellStyle name="쉼표 [0] 2 26 4" xfId="1470"/>
    <cellStyle name="쉼표 [0] 2 26 5" xfId="1471"/>
    <cellStyle name="쉼표 [0] 2 26 6" xfId="1472"/>
    <cellStyle name="쉼표 [0] 2 26 7" xfId="1473"/>
    <cellStyle name="쉼표 [0] 2 27" xfId="1474"/>
    <cellStyle name="쉼표 [0] 2 27 2" xfId="1475"/>
    <cellStyle name="쉼표 [0] 2 27 2 2" xfId="1476"/>
    <cellStyle name="쉼표 [0] 2 27 2 2 2" xfId="1477"/>
    <cellStyle name="쉼표 [0] 2 27 2 3" xfId="1478"/>
    <cellStyle name="쉼표 [0] 2 27 3" xfId="1479"/>
    <cellStyle name="쉼표 [0] 2 27 4" xfId="1480"/>
    <cellStyle name="쉼표 [0] 2 27 5" xfId="1481"/>
    <cellStyle name="쉼표 [0] 2 27 6" xfId="1482"/>
    <cellStyle name="쉼표 [0] 2 27 7" xfId="1483"/>
    <cellStyle name="쉼표 [0] 2 28" xfId="1484"/>
    <cellStyle name="쉼표 [0] 2 28 2" xfId="1485"/>
    <cellStyle name="쉼표 [0] 2 28 2 2" xfId="1486"/>
    <cellStyle name="쉼표 [0] 2 28 2 2 2" xfId="1487"/>
    <cellStyle name="쉼표 [0] 2 28 2 3" xfId="1488"/>
    <cellStyle name="쉼표 [0] 2 28 3" xfId="1489"/>
    <cellStyle name="쉼표 [0] 2 28 4" xfId="1490"/>
    <cellStyle name="쉼표 [0] 2 28 5" xfId="1491"/>
    <cellStyle name="쉼표 [0] 2 28 6" xfId="1492"/>
    <cellStyle name="쉼표 [0] 2 28 7" xfId="1493"/>
    <cellStyle name="쉼표 [0] 2 29" xfId="1494"/>
    <cellStyle name="쉼표 [0] 2 29 2" xfId="1495"/>
    <cellStyle name="쉼표 [0] 2 29 2 2" xfId="1496"/>
    <cellStyle name="쉼표 [0] 2 29 2 2 2" xfId="1497"/>
    <cellStyle name="쉼표 [0] 2 29 2 3" xfId="1498"/>
    <cellStyle name="쉼표 [0] 2 29 3" xfId="1499"/>
    <cellStyle name="쉼표 [0] 2 29 4" xfId="1500"/>
    <cellStyle name="쉼표 [0] 2 29 5" xfId="1501"/>
    <cellStyle name="쉼표 [0] 2 29 6" xfId="1502"/>
    <cellStyle name="쉼표 [0] 2 29 7" xfId="1503"/>
    <cellStyle name="쉼표 [0] 2 3" xfId="1504"/>
    <cellStyle name="쉼표 [0] 2 3 2" xfId="1505"/>
    <cellStyle name="쉼표 [0] 2 3 2 2" xfId="1506"/>
    <cellStyle name="쉼표 [0] 2 3 2 2 2" xfId="1507"/>
    <cellStyle name="쉼표 [0] 2 3 2 3" xfId="1508"/>
    <cellStyle name="쉼표 [0] 2 3 3" xfId="1509"/>
    <cellStyle name="쉼표 [0] 2 3 4" xfId="1510"/>
    <cellStyle name="쉼표 [0] 2 3 5" xfId="1511"/>
    <cellStyle name="쉼표 [0] 2 3 6" xfId="1512"/>
    <cellStyle name="쉼표 [0] 2 3 7" xfId="1513"/>
    <cellStyle name="쉼표 [0] 2 30" xfId="1514"/>
    <cellStyle name="쉼표 [0] 2 30 2" xfId="1515"/>
    <cellStyle name="쉼표 [0] 2 30 2 2" xfId="1516"/>
    <cellStyle name="쉼표 [0] 2 30 3" xfId="1517"/>
    <cellStyle name="쉼표 [0] 2 30 3 2" xfId="1518"/>
    <cellStyle name="쉼표 [0] 2 31" xfId="1519"/>
    <cellStyle name="쉼표 [0] 2 31 2" xfId="1520"/>
    <cellStyle name="쉼표 [0] 2 32" xfId="1521"/>
    <cellStyle name="쉼표 [0] 2 32 2" xfId="1522"/>
    <cellStyle name="쉼표 [0] 2 33" xfId="1523"/>
    <cellStyle name="쉼표 [0] 2 33 2" xfId="1524"/>
    <cellStyle name="쉼표 [0] 2 34" xfId="1525"/>
    <cellStyle name="쉼표 [0] 2 34 2" xfId="1526"/>
    <cellStyle name="쉼표 [0] 2 35" xfId="1527"/>
    <cellStyle name="쉼표 [0] 2 35 2" xfId="1528"/>
    <cellStyle name="쉼표 [0] 2 36" xfId="1529"/>
    <cellStyle name="쉼표 [0] 2 36 2" xfId="1530"/>
    <cellStyle name="쉼표 [0] 2 37" xfId="1531"/>
    <cellStyle name="쉼표 [0] 2 37 2" xfId="1532"/>
    <cellStyle name="쉼표 [0] 2 38" xfId="1533"/>
    <cellStyle name="쉼표 [0] 2 38 2" xfId="1534"/>
    <cellStyle name="쉼표 [0] 2 39" xfId="1535"/>
    <cellStyle name="쉼표 [0] 2 39 2" xfId="1536"/>
    <cellStyle name="쉼표 [0] 2 4" xfId="1537"/>
    <cellStyle name="쉼표 [0] 2 4 2" xfId="1538"/>
    <cellStyle name="쉼표 [0] 2 4 2 2" xfId="1539"/>
    <cellStyle name="쉼표 [0] 2 4 2 2 2" xfId="1540"/>
    <cellStyle name="쉼표 [0] 2 4 2 3" xfId="1541"/>
    <cellStyle name="쉼표 [0] 2 4 3" xfId="1542"/>
    <cellStyle name="쉼표 [0] 2 4 4" xfId="1543"/>
    <cellStyle name="쉼표 [0] 2 4 5" xfId="1544"/>
    <cellStyle name="쉼표 [0] 2 4 6" xfId="1545"/>
    <cellStyle name="쉼표 [0] 2 4 7" xfId="1546"/>
    <cellStyle name="쉼표 [0] 2 40" xfId="1547"/>
    <cellStyle name="쉼표 [0] 2 40 2" xfId="1548"/>
    <cellStyle name="쉼표 [0] 2 41" xfId="1549"/>
    <cellStyle name="쉼표 [0] 2 41 2" xfId="1550"/>
    <cellStyle name="쉼표 [0] 2 42" xfId="1551"/>
    <cellStyle name="쉼표 [0] 2 42 2" xfId="1552"/>
    <cellStyle name="쉼표 [0] 2 43" xfId="1553"/>
    <cellStyle name="쉼표 [0] 2 43 2" xfId="1554"/>
    <cellStyle name="쉼표 [0] 2 44" xfId="1555"/>
    <cellStyle name="쉼표 [0] 2 44 2" xfId="1556"/>
    <cellStyle name="쉼표 [0] 2 45" xfId="1557"/>
    <cellStyle name="쉼표 [0] 2 45 2" xfId="1558"/>
    <cellStyle name="쉼표 [0] 2 46" xfId="1559"/>
    <cellStyle name="쉼표 [0] 2 46 2" xfId="1560"/>
    <cellStyle name="쉼표 [0] 2 47" xfId="1561"/>
    <cellStyle name="쉼표 [0] 2 47 2" xfId="1562"/>
    <cellStyle name="쉼표 [0] 2 48" xfId="1563"/>
    <cellStyle name="쉼표 [0] 2 48 2" xfId="1564"/>
    <cellStyle name="쉼표 [0] 2 49" xfId="1565"/>
    <cellStyle name="쉼표 [0] 2 49 2" xfId="1566"/>
    <cellStyle name="쉼표 [0] 2 5" xfId="1567"/>
    <cellStyle name="쉼표 [0] 2 5 2" xfId="1568"/>
    <cellStyle name="쉼표 [0] 2 5 2 2" xfId="1569"/>
    <cellStyle name="쉼표 [0] 2 5 2 2 2" xfId="1570"/>
    <cellStyle name="쉼표 [0] 2 5 2 3" xfId="1571"/>
    <cellStyle name="쉼표 [0] 2 5 3" xfId="1572"/>
    <cellStyle name="쉼표 [0] 2 5 4" xfId="1573"/>
    <cellStyle name="쉼표 [0] 2 5 5" xfId="1574"/>
    <cellStyle name="쉼표 [0] 2 5 6" xfId="1575"/>
    <cellStyle name="쉼표 [0] 2 5 7" xfId="1576"/>
    <cellStyle name="쉼표 [0] 2 50" xfId="1577"/>
    <cellStyle name="쉼표 [0] 2 51" xfId="1578"/>
    <cellStyle name="쉼표 [0] 2 52" xfId="3146"/>
    <cellStyle name="쉼표 [0] 2 53" xfId="1252"/>
    <cellStyle name="쉼표 [0] 2 6" xfId="1579"/>
    <cellStyle name="쉼표 [0] 2 6 2" xfId="1580"/>
    <cellStyle name="쉼표 [0] 2 6 2 2" xfId="1581"/>
    <cellStyle name="쉼표 [0] 2 6 2 2 2" xfId="1582"/>
    <cellStyle name="쉼표 [0] 2 6 2 3" xfId="1583"/>
    <cellStyle name="쉼표 [0] 2 6 3" xfId="1584"/>
    <cellStyle name="쉼표 [0] 2 6 4" xfId="1585"/>
    <cellStyle name="쉼표 [0] 2 6 5" xfId="1586"/>
    <cellStyle name="쉼표 [0] 2 6 6" xfId="1587"/>
    <cellStyle name="쉼표 [0] 2 6 7" xfId="1588"/>
    <cellStyle name="쉼표 [0] 2 7" xfId="1589"/>
    <cellStyle name="쉼표 [0] 2 7 2" xfId="1590"/>
    <cellStyle name="쉼표 [0] 2 7 2 2" xfId="1591"/>
    <cellStyle name="쉼표 [0] 2 7 2 2 2" xfId="1592"/>
    <cellStyle name="쉼표 [0] 2 7 2 3" xfId="1593"/>
    <cellStyle name="쉼표 [0] 2 7 3" xfId="1594"/>
    <cellStyle name="쉼표 [0] 2 7 4" xfId="1595"/>
    <cellStyle name="쉼표 [0] 2 7 5" xfId="1596"/>
    <cellStyle name="쉼표 [0] 2 7 6" xfId="1597"/>
    <cellStyle name="쉼표 [0] 2 7 7" xfId="1598"/>
    <cellStyle name="쉼표 [0] 2 8" xfId="1599"/>
    <cellStyle name="쉼표 [0] 2 8 2" xfId="1600"/>
    <cellStyle name="쉼표 [0] 2 8 2 2" xfId="1601"/>
    <cellStyle name="쉼표 [0] 2 8 2 2 2" xfId="1602"/>
    <cellStyle name="쉼표 [0] 2 8 2 3" xfId="1603"/>
    <cellStyle name="쉼표 [0] 2 8 3" xfId="1604"/>
    <cellStyle name="쉼표 [0] 2 8 4" xfId="1605"/>
    <cellStyle name="쉼표 [0] 2 8 5" xfId="1606"/>
    <cellStyle name="쉼표 [0] 2 8 6" xfId="1607"/>
    <cellStyle name="쉼표 [0] 2 8 7" xfId="1608"/>
    <cellStyle name="쉼표 [0] 2 9" xfId="1609"/>
    <cellStyle name="쉼표 [0] 2 9 2" xfId="1610"/>
    <cellStyle name="쉼표 [0] 2 9 2 2" xfId="1611"/>
    <cellStyle name="쉼표 [0] 2 9 2 2 2" xfId="1612"/>
    <cellStyle name="쉼표 [0] 2 9 2 3" xfId="1613"/>
    <cellStyle name="쉼표 [0] 2 9 3" xfId="1614"/>
    <cellStyle name="쉼표 [0] 2 9 4" xfId="1615"/>
    <cellStyle name="쉼표 [0] 2 9 5" xfId="1616"/>
    <cellStyle name="쉼표 [0] 2 9 6" xfId="1617"/>
    <cellStyle name="쉼표 [0] 2 9 7" xfId="1618"/>
    <cellStyle name="쉼표 [0] 20" xfId="1619"/>
    <cellStyle name="쉼표 [0] 21" xfId="1620"/>
    <cellStyle name="쉼표 [0] 21 2" xfId="1621"/>
    <cellStyle name="쉼표 [0] 21 2 2" xfId="1622"/>
    <cellStyle name="쉼표 [0] 21 2 3" xfId="1623"/>
    <cellStyle name="쉼표 [0] 21 2 4" xfId="1624"/>
    <cellStyle name="쉼표 [0] 21 2 5" xfId="1625"/>
    <cellStyle name="쉼표 [0] 21 2 5 2" xfId="1626"/>
    <cellStyle name="쉼표 [0] 21 2 6" xfId="1627"/>
    <cellStyle name="쉼표 [0] 21 3" xfId="1628"/>
    <cellStyle name="쉼표 [0] 21 3 2" xfId="1629"/>
    <cellStyle name="쉼표 [0] 21 3 3" xfId="1630"/>
    <cellStyle name="쉼표 [0] 21 3 4" xfId="1631"/>
    <cellStyle name="쉼표 [0] 21 3 5" xfId="1632"/>
    <cellStyle name="쉼표 [0] 21 4" xfId="1633"/>
    <cellStyle name="쉼표 [0] 21 4 2" xfId="1634"/>
    <cellStyle name="쉼표 [0] 21 4 3" xfId="1635"/>
    <cellStyle name="쉼표 [0] 21 4 4" xfId="1636"/>
    <cellStyle name="쉼표 [0] 21 4 5" xfId="1637"/>
    <cellStyle name="쉼표 [0] 22" xfId="1638"/>
    <cellStyle name="쉼표 [0] 23" xfId="1639"/>
    <cellStyle name="쉼표 [0] 24" xfId="1640"/>
    <cellStyle name="쉼표 [0] 25" xfId="1641"/>
    <cellStyle name="쉼표 [0] 26" xfId="1642"/>
    <cellStyle name="쉼표 [0] 27" xfId="1643"/>
    <cellStyle name="쉼표 [0] 27 2" xfId="1644"/>
    <cellStyle name="쉼표 [0] 28" xfId="1645"/>
    <cellStyle name="쉼표 [0] 29" xfId="1646"/>
    <cellStyle name="쉼표 [0] 3" xfId="1647"/>
    <cellStyle name="쉼표 [0] 3 10" xfId="1648"/>
    <cellStyle name="쉼표 [0] 3 10 2" xfId="1649"/>
    <cellStyle name="쉼표 [0] 3 10 2 2" xfId="1650"/>
    <cellStyle name="쉼표 [0] 3 11" xfId="1651"/>
    <cellStyle name="쉼표 [0] 3 12" xfId="1652"/>
    <cellStyle name="쉼표 [0] 3 13" xfId="1653"/>
    <cellStyle name="쉼표 [0] 3 14" xfId="1654"/>
    <cellStyle name="쉼표 [0] 3 15" xfId="1655"/>
    <cellStyle name="쉼표 [0] 3 16" xfId="1656"/>
    <cellStyle name="쉼표 [0] 3 17" xfId="1657"/>
    <cellStyle name="쉼표 [0] 3 18" xfId="1658"/>
    <cellStyle name="쉼표 [0] 3 19" xfId="1659"/>
    <cellStyle name="쉼표 [0] 3 2" xfId="1660"/>
    <cellStyle name="쉼표 [0] 3 2 10" xfId="1661"/>
    <cellStyle name="쉼표 [0] 3 2 10 2" xfId="1662"/>
    <cellStyle name="쉼표 [0] 3 2 10 2 2" xfId="1663"/>
    <cellStyle name="쉼표 [0] 3 2 10 2 2 2" xfId="1664"/>
    <cellStyle name="쉼표 [0] 3 2 10 3" xfId="1665"/>
    <cellStyle name="쉼표 [0] 3 2 10 4" xfId="1666"/>
    <cellStyle name="쉼표 [0] 3 2 10 5" xfId="1667"/>
    <cellStyle name="쉼표 [0] 3 2 10 6" xfId="1668"/>
    <cellStyle name="쉼표 [0] 3 2 11" xfId="1669"/>
    <cellStyle name="쉼표 [0] 3 2 11 2" xfId="1670"/>
    <cellStyle name="쉼표 [0] 3 2 11 2 2" xfId="1671"/>
    <cellStyle name="쉼표 [0] 3 2 11 2 2 2" xfId="1672"/>
    <cellStyle name="쉼표 [0] 3 2 11 3" xfId="1673"/>
    <cellStyle name="쉼표 [0] 3 2 11 4" xfId="1674"/>
    <cellStyle name="쉼표 [0] 3 2 11 5" xfId="1675"/>
    <cellStyle name="쉼표 [0] 3 2 11 6" xfId="1676"/>
    <cellStyle name="쉼표 [0] 3 2 12" xfId="1677"/>
    <cellStyle name="쉼표 [0] 3 2 12 2" xfId="1678"/>
    <cellStyle name="쉼표 [0] 3 2 12 2 2" xfId="1679"/>
    <cellStyle name="쉼표 [0] 3 2 12 2 2 2" xfId="1680"/>
    <cellStyle name="쉼표 [0] 3 2 12 3" xfId="1681"/>
    <cellStyle name="쉼표 [0] 3 2 12 4" xfId="1682"/>
    <cellStyle name="쉼표 [0] 3 2 12 5" xfId="1683"/>
    <cellStyle name="쉼표 [0] 3 2 12 6" xfId="1684"/>
    <cellStyle name="쉼표 [0] 3 2 13" xfId="1685"/>
    <cellStyle name="쉼표 [0] 3 2 13 2" xfId="1686"/>
    <cellStyle name="쉼표 [0] 3 2 13 2 2" xfId="1687"/>
    <cellStyle name="쉼표 [0] 3 2 13 2 2 2" xfId="1688"/>
    <cellStyle name="쉼표 [0] 3 2 13 3" xfId="1689"/>
    <cellStyle name="쉼표 [0] 3 2 13 4" xfId="1690"/>
    <cellStyle name="쉼표 [0] 3 2 13 5" xfId="1691"/>
    <cellStyle name="쉼표 [0] 3 2 13 6" xfId="1692"/>
    <cellStyle name="쉼표 [0] 3 2 14" xfId="1693"/>
    <cellStyle name="쉼표 [0] 3 2 14 2" xfId="1694"/>
    <cellStyle name="쉼표 [0] 3 2 14 2 2" xfId="1695"/>
    <cellStyle name="쉼표 [0] 3 2 14 2 2 2" xfId="1696"/>
    <cellStyle name="쉼표 [0] 3 2 14 3" xfId="1697"/>
    <cellStyle name="쉼표 [0] 3 2 14 4" xfId="1698"/>
    <cellStyle name="쉼표 [0] 3 2 14 5" xfId="1699"/>
    <cellStyle name="쉼표 [0] 3 2 14 6" xfId="1700"/>
    <cellStyle name="쉼표 [0] 3 2 15" xfId="1701"/>
    <cellStyle name="쉼표 [0] 3 2 15 2" xfId="1702"/>
    <cellStyle name="쉼표 [0] 3 2 15 2 2" xfId="1703"/>
    <cellStyle name="쉼표 [0] 3 2 15 2 2 2" xfId="1704"/>
    <cellStyle name="쉼표 [0] 3 2 15 3" xfId="1705"/>
    <cellStyle name="쉼표 [0] 3 2 15 4" xfId="1706"/>
    <cellStyle name="쉼표 [0] 3 2 15 5" xfId="1707"/>
    <cellStyle name="쉼표 [0] 3 2 15 6" xfId="1708"/>
    <cellStyle name="쉼표 [0] 3 2 16" xfId="1709"/>
    <cellStyle name="쉼표 [0] 3 2 16 2" xfId="1710"/>
    <cellStyle name="쉼표 [0] 3 2 16 2 2" xfId="1711"/>
    <cellStyle name="쉼표 [0] 3 2 16 2 2 2" xfId="1712"/>
    <cellStyle name="쉼표 [0] 3 2 16 3" xfId="1713"/>
    <cellStyle name="쉼표 [0] 3 2 16 4" xfId="1714"/>
    <cellStyle name="쉼표 [0] 3 2 16 5" xfId="1715"/>
    <cellStyle name="쉼표 [0] 3 2 16 6" xfId="1716"/>
    <cellStyle name="쉼표 [0] 3 2 17" xfId="1717"/>
    <cellStyle name="쉼표 [0] 3 2 17 2" xfId="1718"/>
    <cellStyle name="쉼표 [0] 3 2 17 2 2" xfId="1719"/>
    <cellStyle name="쉼표 [0] 3 2 17 2 2 2" xfId="1720"/>
    <cellStyle name="쉼표 [0] 3 2 17 3" xfId="1721"/>
    <cellStyle name="쉼표 [0] 3 2 17 4" xfId="1722"/>
    <cellStyle name="쉼표 [0] 3 2 17 5" xfId="1723"/>
    <cellStyle name="쉼표 [0] 3 2 17 6" xfId="1724"/>
    <cellStyle name="쉼표 [0] 3 2 18" xfId="1725"/>
    <cellStyle name="쉼표 [0] 3 2 18 2" xfId="1726"/>
    <cellStyle name="쉼표 [0] 3 2 18 2 2" xfId="1727"/>
    <cellStyle name="쉼표 [0] 3 2 18 2 2 2" xfId="1728"/>
    <cellStyle name="쉼표 [0] 3 2 18 3" xfId="1729"/>
    <cellStyle name="쉼표 [0] 3 2 18 4" xfId="1730"/>
    <cellStyle name="쉼표 [0] 3 2 18 5" xfId="1731"/>
    <cellStyle name="쉼표 [0] 3 2 18 6" xfId="1732"/>
    <cellStyle name="쉼표 [0] 3 2 19" xfId="1733"/>
    <cellStyle name="쉼표 [0] 3 2 19 2" xfId="1734"/>
    <cellStyle name="쉼표 [0] 3 2 19 2 2" xfId="1735"/>
    <cellStyle name="쉼표 [0] 3 2 19 2 2 2" xfId="1736"/>
    <cellStyle name="쉼표 [0] 3 2 19 3" xfId="1737"/>
    <cellStyle name="쉼표 [0] 3 2 19 4" xfId="1738"/>
    <cellStyle name="쉼표 [0] 3 2 19 5" xfId="1739"/>
    <cellStyle name="쉼표 [0] 3 2 19 6" xfId="1740"/>
    <cellStyle name="쉼표 [0] 3 2 2" xfId="1741"/>
    <cellStyle name="쉼표 [0] 3 2 2 2" xfId="1742"/>
    <cellStyle name="쉼표 [0] 3 2 2 2 2" xfId="1743"/>
    <cellStyle name="쉼표 [0] 3 2 2 2 2 2" xfId="1744"/>
    <cellStyle name="쉼표 [0] 3 2 2 2 2 3" xfId="1745"/>
    <cellStyle name="쉼표 [0] 3 2 2 2 2 4" xfId="1746"/>
    <cellStyle name="쉼표 [0] 3 2 2 2 2 5" xfId="1747"/>
    <cellStyle name="쉼표 [0] 3 2 2 2 2 5 2" xfId="1748"/>
    <cellStyle name="쉼표 [0] 3 2 2 2 2 6" xfId="1749"/>
    <cellStyle name="쉼표 [0] 3 2 2 2 3" xfId="1750"/>
    <cellStyle name="쉼표 [0] 3 2 2 2 3 2" xfId="1751"/>
    <cellStyle name="쉼표 [0] 3 2 2 2 3 3" xfId="1752"/>
    <cellStyle name="쉼표 [0] 3 2 2 2 3 4" xfId="1753"/>
    <cellStyle name="쉼표 [0] 3 2 2 2 3 5" xfId="1754"/>
    <cellStyle name="쉼표 [0] 3 2 2 2 4" xfId="1755"/>
    <cellStyle name="쉼표 [0] 3 2 2 2 4 2" xfId="1756"/>
    <cellStyle name="쉼표 [0] 3 2 2 2 4 3" xfId="1757"/>
    <cellStyle name="쉼표 [0] 3 2 2 2 4 4" xfId="1758"/>
    <cellStyle name="쉼표 [0] 3 2 2 2 4 5" xfId="1759"/>
    <cellStyle name="쉼표 [0] 3 2 2 2 5" xfId="1760"/>
    <cellStyle name="쉼표 [0] 3 2 2 3" xfId="1761"/>
    <cellStyle name="쉼표 [0] 3 2 2 4" xfId="1762"/>
    <cellStyle name="쉼표 [0] 3 2 2 5" xfId="1763"/>
    <cellStyle name="쉼표 [0] 3 2 2 6" xfId="1764"/>
    <cellStyle name="쉼표 [0] 3 2 2 7" xfId="1765"/>
    <cellStyle name="쉼표 [0] 3 2 2 8" xfId="1766"/>
    <cellStyle name="쉼표 [0] 3 2 2 9" xfId="1767"/>
    <cellStyle name="쉼표 [0] 3 2 20" xfId="1768"/>
    <cellStyle name="쉼표 [0] 3 2 20 2" xfId="1769"/>
    <cellStyle name="쉼표 [0] 3 2 20 2 2" xfId="1770"/>
    <cellStyle name="쉼표 [0] 3 2 20 2 2 2" xfId="1771"/>
    <cellStyle name="쉼표 [0] 3 2 20 3" xfId="1772"/>
    <cellStyle name="쉼표 [0] 3 2 20 4" xfId="1773"/>
    <cellStyle name="쉼표 [0] 3 2 20 5" xfId="1774"/>
    <cellStyle name="쉼표 [0] 3 2 20 6" xfId="1775"/>
    <cellStyle name="쉼표 [0] 3 2 21" xfId="1776"/>
    <cellStyle name="쉼표 [0] 3 2 21 2" xfId="1777"/>
    <cellStyle name="쉼표 [0] 3 2 21 2 2" xfId="1778"/>
    <cellStyle name="쉼표 [0] 3 2 21 2 2 2" xfId="1779"/>
    <cellStyle name="쉼표 [0] 3 2 21 3" xfId="1780"/>
    <cellStyle name="쉼표 [0] 3 2 21 4" xfId="1781"/>
    <cellStyle name="쉼표 [0] 3 2 21 5" xfId="1782"/>
    <cellStyle name="쉼표 [0] 3 2 21 6" xfId="1783"/>
    <cellStyle name="쉼표 [0] 3 2 22" xfId="1784"/>
    <cellStyle name="쉼표 [0] 3 2 22 2" xfId="1785"/>
    <cellStyle name="쉼표 [0] 3 2 22 2 2" xfId="1786"/>
    <cellStyle name="쉼표 [0] 3 2 22 2 2 2" xfId="1787"/>
    <cellStyle name="쉼표 [0] 3 2 22 3" xfId="1788"/>
    <cellStyle name="쉼표 [0] 3 2 22 4" xfId="1789"/>
    <cellStyle name="쉼표 [0] 3 2 22 5" xfId="1790"/>
    <cellStyle name="쉼표 [0] 3 2 22 6" xfId="1791"/>
    <cellStyle name="쉼표 [0] 3 2 23" xfId="1792"/>
    <cellStyle name="쉼표 [0] 3 2 23 2" xfId="1793"/>
    <cellStyle name="쉼표 [0] 3 2 23 2 2" xfId="1794"/>
    <cellStyle name="쉼표 [0] 3 2 23 2 2 2" xfId="1795"/>
    <cellStyle name="쉼표 [0] 3 2 23 3" xfId="1796"/>
    <cellStyle name="쉼표 [0] 3 2 23 4" xfId="1797"/>
    <cellStyle name="쉼표 [0] 3 2 23 5" xfId="1798"/>
    <cellStyle name="쉼표 [0] 3 2 23 6" xfId="1799"/>
    <cellStyle name="쉼표 [0] 3 2 24" xfId="1800"/>
    <cellStyle name="쉼표 [0] 3 2 24 2" xfId="1801"/>
    <cellStyle name="쉼표 [0] 3 2 24 2 2" xfId="1802"/>
    <cellStyle name="쉼표 [0] 3 2 24 2 2 2" xfId="1803"/>
    <cellStyle name="쉼표 [0] 3 2 24 3" xfId="1804"/>
    <cellStyle name="쉼표 [0] 3 2 24 4" xfId="1805"/>
    <cellStyle name="쉼표 [0] 3 2 24 5" xfId="1806"/>
    <cellStyle name="쉼표 [0] 3 2 24 6" xfId="1807"/>
    <cellStyle name="쉼표 [0] 3 2 25" xfId="1808"/>
    <cellStyle name="쉼표 [0] 3 2 25 2" xfId="1809"/>
    <cellStyle name="쉼표 [0] 3 2 25 2 2" xfId="1810"/>
    <cellStyle name="쉼표 [0] 3 2 25 2 2 2" xfId="1811"/>
    <cellStyle name="쉼표 [0] 3 2 25 3" xfId="1812"/>
    <cellStyle name="쉼표 [0] 3 2 25 4" xfId="1813"/>
    <cellStyle name="쉼표 [0] 3 2 25 5" xfId="1814"/>
    <cellStyle name="쉼표 [0] 3 2 25 6" xfId="1815"/>
    <cellStyle name="쉼표 [0] 3 2 26" xfId="1816"/>
    <cellStyle name="쉼표 [0] 3 2 26 2" xfId="1817"/>
    <cellStyle name="쉼표 [0] 3 2 26 2 2" xfId="1818"/>
    <cellStyle name="쉼표 [0] 3 2 26 2 2 2" xfId="1819"/>
    <cellStyle name="쉼표 [0] 3 2 26 3" xfId="1820"/>
    <cellStyle name="쉼표 [0] 3 2 26 4" xfId="1821"/>
    <cellStyle name="쉼표 [0] 3 2 26 5" xfId="1822"/>
    <cellStyle name="쉼표 [0] 3 2 26 6" xfId="1823"/>
    <cellStyle name="쉼표 [0] 3 2 27" xfId="1824"/>
    <cellStyle name="쉼표 [0] 3 2 27 2" xfId="1825"/>
    <cellStyle name="쉼표 [0] 3 2 27 2 2" xfId="1826"/>
    <cellStyle name="쉼표 [0] 3 2 27 2 2 2" xfId="1827"/>
    <cellStyle name="쉼표 [0] 3 2 27 3" xfId="1828"/>
    <cellStyle name="쉼표 [0] 3 2 27 4" xfId="1829"/>
    <cellStyle name="쉼표 [0] 3 2 27 5" xfId="1830"/>
    <cellStyle name="쉼표 [0] 3 2 27 6" xfId="1831"/>
    <cellStyle name="쉼표 [0] 3 2 28" xfId="1832"/>
    <cellStyle name="쉼표 [0] 3 2 28 2" xfId="1833"/>
    <cellStyle name="쉼표 [0] 3 2 28 2 2" xfId="1834"/>
    <cellStyle name="쉼표 [0] 3 2 28 2 2 2" xfId="1835"/>
    <cellStyle name="쉼표 [0] 3 2 28 3" xfId="1836"/>
    <cellStyle name="쉼표 [0] 3 2 28 4" xfId="1837"/>
    <cellStyle name="쉼표 [0] 3 2 28 5" xfId="1838"/>
    <cellStyle name="쉼표 [0] 3 2 28 6" xfId="1839"/>
    <cellStyle name="쉼표 [0] 3 2 29" xfId="1840"/>
    <cellStyle name="쉼표 [0] 3 2 29 2" xfId="1841"/>
    <cellStyle name="쉼표 [0] 3 2 29 2 2" xfId="1842"/>
    <cellStyle name="쉼표 [0] 3 2 29 2 2 2" xfId="1843"/>
    <cellStyle name="쉼표 [0] 3 2 29 3" xfId="1844"/>
    <cellStyle name="쉼표 [0] 3 2 29 4" xfId="1845"/>
    <cellStyle name="쉼표 [0] 3 2 29 5" xfId="1846"/>
    <cellStyle name="쉼표 [0] 3 2 29 6" xfId="1847"/>
    <cellStyle name="쉼표 [0] 3 2 3" xfId="1848"/>
    <cellStyle name="쉼표 [0] 3 2 3 2" xfId="1849"/>
    <cellStyle name="쉼표 [0] 3 2 3 2 2" xfId="1850"/>
    <cellStyle name="쉼표 [0] 3 2 3 2 2 2" xfId="1851"/>
    <cellStyle name="쉼표 [0] 3 2 3 3" xfId="1852"/>
    <cellStyle name="쉼표 [0] 3 2 3 4" xfId="1853"/>
    <cellStyle name="쉼표 [0] 3 2 3 5" xfId="1854"/>
    <cellStyle name="쉼표 [0] 3 2 3 6" xfId="1855"/>
    <cellStyle name="쉼표 [0] 3 2 30" xfId="1856"/>
    <cellStyle name="쉼표 [0] 3 2 30 2" xfId="1857"/>
    <cellStyle name="쉼표 [0] 3 2 30 2 2" xfId="1858"/>
    <cellStyle name="쉼표 [0] 3 2 30 2 2 2" xfId="1859"/>
    <cellStyle name="쉼표 [0] 3 2 30 3" xfId="1860"/>
    <cellStyle name="쉼표 [0] 3 2 30 4" xfId="1861"/>
    <cellStyle name="쉼표 [0] 3 2 30 5" xfId="1862"/>
    <cellStyle name="쉼표 [0] 3 2 30 6" xfId="1863"/>
    <cellStyle name="쉼표 [0] 3 2 31" xfId="1864"/>
    <cellStyle name="쉼표 [0] 3 2 31 2" xfId="1865"/>
    <cellStyle name="쉼표 [0] 3 2 31 2 2" xfId="1866"/>
    <cellStyle name="쉼표 [0] 3 2 31 2 2 2" xfId="1867"/>
    <cellStyle name="쉼표 [0] 3 2 31 3" xfId="1868"/>
    <cellStyle name="쉼표 [0] 3 2 31 4" xfId="1869"/>
    <cellStyle name="쉼표 [0] 3 2 31 5" xfId="1870"/>
    <cellStyle name="쉼표 [0] 3 2 31 6" xfId="1871"/>
    <cellStyle name="쉼표 [0] 3 2 32" xfId="1872"/>
    <cellStyle name="쉼표 [0] 3 2 32 2" xfId="1873"/>
    <cellStyle name="쉼표 [0] 3 2 32 2 2" xfId="1874"/>
    <cellStyle name="쉼표 [0] 3 2 32 2 2 2" xfId="1875"/>
    <cellStyle name="쉼표 [0] 3 2 32 3" xfId="1876"/>
    <cellStyle name="쉼표 [0] 3 2 32 4" xfId="1877"/>
    <cellStyle name="쉼표 [0] 3 2 32 5" xfId="1878"/>
    <cellStyle name="쉼표 [0] 3 2 32 6" xfId="1879"/>
    <cellStyle name="쉼표 [0] 3 2 33" xfId="1880"/>
    <cellStyle name="쉼표 [0] 3 2 33 2" xfId="1881"/>
    <cellStyle name="쉼표 [0] 3 2 33 2 2" xfId="1882"/>
    <cellStyle name="쉼표 [0] 3 2 33 2 2 2" xfId="1883"/>
    <cellStyle name="쉼표 [0] 3 2 33 3" xfId="1884"/>
    <cellStyle name="쉼표 [0] 3 2 33 4" xfId="1885"/>
    <cellStyle name="쉼표 [0] 3 2 33 5" xfId="1886"/>
    <cellStyle name="쉼표 [0] 3 2 33 6" xfId="1887"/>
    <cellStyle name="쉼표 [0] 3 2 34" xfId="1888"/>
    <cellStyle name="쉼표 [0] 3 2 34 2" xfId="1889"/>
    <cellStyle name="쉼표 [0] 3 2 34 2 2" xfId="1890"/>
    <cellStyle name="쉼표 [0] 3 2 34 2 2 2" xfId="1891"/>
    <cellStyle name="쉼표 [0] 3 2 34 3" xfId="1892"/>
    <cellStyle name="쉼표 [0] 3 2 34 4" xfId="1893"/>
    <cellStyle name="쉼표 [0] 3 2 34 5" xfId="1894"/>
    <cellStyle name="쉼표 [0] 3 2 34 6" xfId="1895"/>
    <cellStyle name="쉼표 [0] 3 2 35" xfId="1896"/>
    <cellStyle name="쉼표 [0] 3 2 35 2" xfId="1897"/>
    <cellStyle name="쉼표 [0] 3 2 35 2 2" xfId="1898"/>
    <cellStyle name="쉼표 [0] 3 2 35 2 2 2" xfId="1899"/>
    <cellStyle name="쉼표 [0] 3 2 35 3" xfId="1900"/>
    <cellStyle name="쉼표 [0] 3 2 35 4" xfId="1901"/>
    <cellStyle name="쉼표 [0] 3 2 35 5" xfId="1902"/>
    <cellStyle name="쉼표 [0] 3 2 35 6" xfId="1903"/>
    <cellStyle name="쉼표 [0] 3 2 36" xfId="1904"/>
    <cellStyle name="쉼표 [0] 3 2 36 2" xfId="1905"/>
    <cellStyle name="쉼표 [0] 3 2 36 3" xfId="1906"/>
    <cellStyle name="쉼표 [0] 3 2 36 4" xfId="1907"/>
    <cellStyle name="쉼표 [0] 3 2 36 5" xfId="1908"/>
    <cellStyle name="쉼표 [0] 3 2 36 5 2" xfId="1909"/>
    <cellStyle name="쉼표 [0] 3 2 36 6" xfId="1910"/>
    <cellStyle name="쉼표 [0] 3 2 37" xfId="1911"/>
    <cellStyle name="쉼표 [0] 3 2 37 2" xfId="1912"/>
    <cellStyle name="쉼표 [0] 3 2 37 3" xfId="1913"/>
    <cellStyle name="쉼표 [0] 3 2 37 4" xfId="1914"/>
    <cellStyle name="쉼표 [0] 3 2 37 5" xfId="1915"/>
    <cellStyle name="쉼표 [0] 3 2 38" xfId="1916"/>
    <cellStyle name="쉼표 [0] 3 2 38 2" xfId="1917"/>
    <cellStyle name="쉼표 [0] 3 2 38 3" xfId="1918"/>
    <cellStyle name="쉼표 [0] 3 2 38 4" xfId="1919"/>
    <cellStyle name="쉼표 [0] 3 2 38 5" xfId="1920"/>
    <cellStyle name="쉼표 [0] 3 2 39" xfId="1921"/>
    <cellStyle name="쉼표 [0] 3 2 39 2" xfId="1922"/>
    <cellStyle name="쉼표 [0] 3 2 4" xfId="1923"/>
    <cellStyle name="쉼표 [0] 3 2 4 2" xfId="1924"/>
    <cellStyle name="쉼표 [0] 3 2 4 2 2" xfId="1925"/>
    <cellStyle name="쉼표 [0] 3 2 4 2 2 2" xfId="1926"/>
    <cellStyle name="쉼표 [0] 3 2 4 3" xfId="1927"/>
    <cellStyle name="쉼표 [0] 3 2 4 4" xfId="1928"/>
    <cellStyle name="쉼표 [0] 3 2 4 5" xfId="1929"/>
    <cellStyle name="쉼표 [0] 3 2 4 6" xfId="1930"/>
    <cellStyle name="쉼표 [0] 3 2 40" xfId="1931"/>
    <cellStyle name="쉼표 [0] 3 2 5" xfId="1932"/>
    <cellStyle name="쉼표 [0] 3 2 5 2" xfId="1933"/>
    <cellStyle name="쉼표 [0] 3 2 5 2 2" xfId="1934"/>
    <cellStyle name="쉼표 [0] 3 2 5 2 2 2" xfId="1935"/>
    <cellStyle name="쉼표 [0] 3 2 5 3" xfId="1936"/>
    <cellStyle name="쉼표 [0] 3 2 5 4" xfId="1937"/>
    <cellStyle name="쉼표 [0] 3 2 5 5" xfId="1938"/>
    <cellStyle name="쉼표 [0] 3 2 5 6" xfId="1939"/>
    <cellStyle name="쉼표 [0] 3 2 6" xfId="1940"/>
    <cellStyle name="쉼표 [0] 3 2 6 2" xfId="1941"/>
    <cellStyle name="쉼표 [0] 3 2 6 2 2" xfId="1942"/>
    <cellStyle name="쉼표 [0] 3 2 6 2 2 2" xfId="1943"/>
    <cellStyle name="쉼표 [0] 3 2 6 3" xfId="1944"/>
    <cellStyle name="쉼표 [0] 3 2 6 4" xfId="1945"/>
    <cellStyle name="쉼표 [0] 3 2 6 5" xfId="1946"/>
    <cellStyle name="쉼표 [0] 3 2 6 6" xfId="1947"/>
    <cellStyle name="쉼표 [0] 3 2 7" xfId="1948"/>
    <cellStyle name="쉼표 [0] 3 2 7 2" xfId="1949"/>
    <cellStyle name="쉼표 [0] 3 2 7 2 2" xfId="1950"/>
    <cellStyle name="쉼표 [0] 3 2 7 2 2 2" xfId="1951"/>
    <cellStyle name="쉼표 [0] 3 2 7 3" xfId="1952"/>
    <cellStyle name="쉼표 [0] 3 2 7 4" xfId="1953"/>
    <cellStyle name="쉼표 [0] 3 2 7 5" xfId="1954"/>
    <cellStyle name="쉼표 [0] 3 2 7 6" xfId="1955"/>
    <cellStyle name="쉼표 [0] 3 2 8" xfId="1956"/>
    <cellStyle name="쉼표 [0] 3 2 8 2" xfId="1957"/>
    <cellStyle name="쉼표 [0] 3 2 8 2 2" xfId="1958"/>
    <cellStyle name="쉼표 [0] 3 2 8 2 2 2" xfId="1959"/>
    <cellStyle name="쉼표 [0] 3 2 8 3" xfId="1960"/>
    <cellStyle name="쉼표 [0] 3 2 8 4" xfId="1961"/>
    <cellStyle name="쉼표 [0] 3 2 8 5" xfId="1962"/>
    <cellStyle name="쉼표 [0] 3 2 8 6" xfId="1963"/>
    <cellStyle name="쉼표 [0] 3 2 9" xfId="1964"/>
    <cellStyle name="쉼표 [0] 3 2 9 2" xfId="1965"/>
    <cellStyle name="쉼표 [0] 3 2 9 2 2" xfId="1966"/>
    <cellStyle name="쉼표 [0] 3 2 9 2 2 2" xfId="1967"/>
    <cellStyle name="쉼표 [0] 3 2 9 3" xfId="1968"/>
    <cellStyle name="쉼표 [0] 3 2 9 4" xfId="1969"/>
    <cellStyle name="쉼표 [0] 3 2 9 5" xfId="1970"/>
    <cellStyle name="쉼표 [0] 3 2 9 6" xfId="1971"/>
    <cellStyle name="쉼표 [0] 3 20" xfId="1972"/>
    <cellStyle name="쉼표 [0] 3 21" xfId="1973"/>
    <cellStyle name="쉼표 [0] 3 21 2" xfId="1974"/>
    <cellStyle name="쉼표 [0] 3 21 2 2" xfId="1975"/>
    <cellStyle name="쉼표 [0] 3 22" xfId="1976"/>
    <cellStyle name="쉼표 [0] 3 22 2" xfId="1977"/>
    <cellStyle name="쉼표 [0] 3 22 2 2" xfId="1978"/>
    <cellStyle name="쉼표 [0] 3 23" xfId="1979"/>
    <cellStyle name="쉼표 [0] 3 23 2" xfId="1980"/>
    <cellStyle name="쉼표 [0] 3 23 2 2" xfId="1981"/>
    <cellStyle name="쉼표 [0] 3 24" xfId="1982"/>
    <cellStyle name="쉼표 [0] 3 25" xfId="1983"/>
    <cellStyle name="쉼표 [0] 3 26" xfId="1984"/>
    <cellStyle name="쉼표 [0] 3 27" xfId="1985"/>
    <cellStyle name="쉼표 [0] 3 28" xfId="1986"/>
    <cellStyle name="쉼표 [0] 3 29" xfId="1987"/>
    <cellStyle name="쉼표 [0] 3 3" xfId="1988"/>
    <cellStyle name="쉼표 [0] 3 3 2" xfId="1989"/>
    <cellStyle name="쉼표 [0] 3 3 2 2" xfId="1990"/>
    <cellStyle name="쉼표 [0] 3 3 2 2 2" xfId="1991"/>
    <cellStyle name="쉼표 [0] 3 3 2 3" xfId="1992"/>
    <cellStyle name="쉼표 [0] 3 3 3" xfId="1993"/>
    <cellStyle name="쉼표 [0] 3 3 4" xfId="1994"/>
    <cellStyle name="쉼표 [0] 3 3 5" xfId="1995"/>
    <cellStyle name="쉼표 [0] 3 3 6" xfId="1996"/>
    <cellStyle name="쉼표 [0] 3 3 7" xfId="1997"/>
    <cellStyle name="쉼표 [0] 3 30" xfId="1998"/>
    <cellStyle name="쉼표 [0] 3 31" xfId="1999"/>
    <cellStyle name="쉼표 [0] 3 32" xfId="2000"/>
    <cellStyle name="쉼표 [0] 3 33" xfId="2001"/>
    <cellStyle name="쉼표 [0] 3 34" xfId="2002"/>
    <cellStyle name="쉼표 [0] 3 35" xfId="2003"/>
    <cellStyle name="쉼표 [0] 3 36" xfId="2004"/>
    <cellStyle name="쉼표 [0] 3 37" xfId="2005"/>
    <cellStyle name="쉼표 [0] 3 38" xfId="2006"/>
    <cellStyle name="쉼표 [0] 3 39" xfId="2007"/>
    <cellStyle name="쉼표 [0] 3 4" xfId="2008"/>
    <cellStyle name="쉼표 [0] 3 4 2" xfId="2009"/>
    <cellStyle name="쉼표 [0] 3 4 2 2" xfId="2010"/>
    <cellStyle name="쉼표 [0] 3 4 2 2 2" xfId="2011"/>
    <cellStyle name="쉼표 [0] 3 4 2 3" xfId="2012"/>
    <cellStyle name="쉼표 [0] 3 4 3" xfId="2013"/>
    <cellStyle name="쉼표 [0] 3 4 4" xfId="2014"/>
    <cellStyle name="쉼표 [0] 3 4 5" xfId="2015"/>
    <cellStyle name="쉼표 [0] 3 4 6" xfId="2016"/>
    <cellStyle name="쉼표 [0] 3 4 7" xfId="2017"/>
    <cellStyle name="쉼표 [0] 3 40" xfId="2018"/>
    <cellStyle name="쉼표 [0] 3 41" xfId="2019"/>
    <cellStyle name="쉼표 [0] 3 42" xfId="2020"/>
    <cellStyle name="쉼표 [0] 3 43" xfId="2021"/>
    <cellStyle name="쉼표 [0] 3 44" xfId="2022"/>
    <cellStyle name="쉼표 [0] 3 45" xfId="2023"/>
    <cellStyle name="쉼표 [0] 3 46" xfId="2024"/>
    <cellStyle name="쉼표 [0] 3 47" xfId="2025"/>
    <cellStyle name="쉼표 [0] 3 5" xfId="2026"/>
    <cellStyle name="쉼표 [0] 3 5 2" xfId="2027"/>
    <cellStyle name="쉼표 [0] 3 5 2 2" xfId="2028"/>
    <cellStyle name="쉼표 [0] 3 5 2 2 2" xfId="2029"/>
    <cellStyle name="쉼표 [0] 3 5 2 3" xfId="2030"/>
    <cellStyle name="쉼표 [0] 3 5 3" xfId="2031"/>
    <cellStyle name="쉼표 [0] 3 5 4" xfId="2032"/>
    <cellStyle name="쉼표 [0] 3 5 5" xfId="2033"/>
    <cellStyle name="쉼표 [0] 3 5 6" xfId="2034"/>
    <cellStyle name="쉼표 [0] 3 5 7" xfId="2035"/>
    <cellStyle name="쉼표 [0] 3 6" xfId="2036"/>
    <cellStyle name="쉼표 [0] 3 6 10" xfId="2037"/>
    <cellStyle name="쉼표 [0] 3 6 11" xfId="2038"/>
    <cellStyle name="쉼표 [0] 3 6 12" xfId="2039"/>
    <cellStyle name="쉼표 [0] 3 6 2" xfId="2040"/>
    <cellStyle name="쉼표 [0] 3 6 2 2" xfId="2041"/>
    <cellStyle name="쉼표 [0] 3 6 2 3" xfId="2042"/>
    <cellStyle name="쉼표 [0] 3 6 3" xfId="2043"/>
    <cellStyle name="쉼표 [0] 3 6 4" xfId="2044"/>
    <cellStyle name="쉼표 [0] 3 6 5" xfId="2045"/>
    <cellStyle name="쉼표 [0] 3 6 6" xfId="2046"/>
    <cellStyle name="쉼표 [0] 3 6 7" xfId="2047"/>
    <cellStyle name="쉼표 [0] 3 6 8" xfId="2048"/>
    <cellStyle name="쉼표 [0] 3 6 9" xfId="2049"/>
    <cellStyle name="쉼표 [0] 3 7" xfId="2050"/>
    <cellStyle name="쉼표 [0] 3 7 2" xfId="2051"/>
    <cellStyle name="쉼표 [0] 3 7 2 2" xfId="2052"/>
    <cellStyle name="쉼표 [0] 3 7 2 3" xfId="2053"/>
    <cellStyle name="쉼표 [0] 3 7 2 4" xfId="2054"/>
    <cellStyle name="쉼표 [0] 3 7 2 5" xfId="2055"/>
    <cellStyle name="쉼표 [0] 3 7 2 6" xfId="2056"/>
    <cellStyle name="쉼표 [0] 3 7 2 7" xfId="2057"/>
    <cellStyle name="쉼표 [0] 3 7 2 8" xfId="2058"/>
    <cellStyle name="쉼표 [0] 3 7 2 9" xfId="2059"/>
    <cellStyle name="쉼표 [0] 3 7 3" xfId="2060"/>
    <cellStyle name="쉼표 [0] 3 7 3 2" xfId="2061"/>
    <cellStyle name="쉼표 [0] 3 7 3 3" xfId="2062"/>
    <cellStyle name="쉼표 [0] 3 7 3 4" xfId="2063"/>
    <cellStyle name="쉼표 [0] 3 7 3 5" xfId="2064"/>
    <cellStyle name="쉼표 [0] 3 7 3 5 2" xfId="2065"/>
    <cellStyle name="쉼표 [0] 3 7 3 6" xfId="2066"/>
    <cellStyle name="쉼표 [0] 3 7 4" xfId="2067"/>
    <cellStyle name="쉼표 [0] 3 7 4 2" xfId="2068"/>
    <cellStyle name="쉼표 [0] 3 7 4 3" xfId="2069"/>
    <cellStyle name="쉼표 [0] 3 7 4 4" xfId="2070"/>
    <cellStyle name="쉼표 [0] 3 7 4 5" xfId="2071"/>
    <cellStyle name="쉼표 [0] 3 7 5" xfId="2072"/>
    <cellStyle name="쉼표 [0] 3 7 5 2" xfId="2073"/>
    <cellStyle name="쉼표 [0] 3 7 6" xfId="2074"/>
    <cellStyle name="쉼표 [0] 3 8" xfId="2075"/>
    <cellStyle name="쉼표 [0] 3 9" xfId="2076"/>
    <cellStyle name="쉼표 [0] 3 9 2" xfId="2077"/>
    <cellStyle name="쉼표 [0] 3 9 2 2" xfId="2078"/>
    <cellStyle name="쉼표 [0] 30" xfId="2079"/>
    <cellStyle name="쉼표 [0] 31" xfId="2080"/>
    <cellStyle name="쉼표 [0] 31 2" xfId="3219"/>
    <cellStyle name="쉼표 [0] 32" xfId="2081"/>
    <cellStyle name="쉼표 [0] 33" xfId="2082"/>
    <cellStyle name="쉼표 [0] 34" xfId="2083"/>
    <cellStyle name="쉼표 [0] 35" xfId="2084"/>
    <cellStyle name="쉼표 [0] 36" xfId="2085"/>
    <cellStyle name="쉼표 [0] 36 2" xfId="2086"/>
    <cellStyle name="쉼표 [0] 37" xfId="2087"/>
    <cellStyle name="쉼표 [0] 38" xfId="2088"/>
    <cellStyle name="쉼표 [0] 38 2" xfId="3116"/>
    <cellStyle name="쉼표 [0] 39" xfId="2089"/>
    <cellStyle name="쉼표 [0] 39 2" xfId="3117"/>
    <cellStyle name="쉼표 [0] 4" xfId="2090"/>
    <cellStyle name="쉼표 [0] 4 10" xfId="2091"/>
    <cellStyle name="쉼표 [0] 4 11" xfId="2092"/>
    <cellStyle name="쉼표 [0] 4 12" xfId="2093"/>
    <cellStyle name="쉼표 [0] 4 12 2" xfId="2094"/>
    <cellStyle name="쉼표 [0] 4 12 2 2" xfId="2095"/>
    <cellStyle name="쉼표 [0] 4 12 2 2 2" xfId="2096"/>
    <cellStyle name="쉼표 [0] 4 12 3" xfId="2097"/>
    <cellStyle name="쉼표 [0] 4 12 4" xfId="2098"/>
    <cellStyle name="쉼표 [0] 4 12 5" xfId="2099"/>
    <cellStyle name="쉼표 [0] 4 12 6" xfId="2100"/>
    <cellStyle name="쉼표 [0] 4 12 7" xfId="2101"/>
    <cellStyle name="쉼표 [0] 4 13" xfId="2102"/>
    <cellStyle name="쉼표 [0] 4 13 2" xfId="2103"/>
    <cellStyle name="쉼표 [0] 4 13 2 2" xfId="2104"/>
    <cellStyle name="쉼표 [0] 4 13 2 2 2" xfId="2105"/>
    <cellStyle name="쉼표 [0] 4 13 3" xfId="2106"/>
    <cellStyle name="쉼표 [0] 4 13 4" xfId="2107"/>
    <cellStyle name="쉼표 [0] 4 13 5" xfId="2108"/>
    <cellStyle name="쉼표 [0] 4 13 6" xfId="2109"/>
    <cellStyle name="쉼표 [0] 4 13 7" xfId="2110"/>
    <cellStyle name="쉼표 [0] 4 14" xfId="2111"/>
    <cellStyle name="쉼표 [0] 4 14 2" xfId="2112"/>
    <cellStyle name="쉼표 [0] 4 14 2 2" xfId="2113"/>
    <cellStyle name="쉼표 [0] 4 14 2 2 2" xfId="2114"/>
    <cellStyle name="쉼표 [0] 4 14 3" xfId="2115"/>
    <cellStyle name="쉼표 [0] 4 14 4" xfId="2116"/>
    <cellStyle name="쉼표 [0] 4 14 5" xfId="2117"/>
    <cellStyle name="쉼표 [0] 4 14 6" xfId="2118"/>
    <cellStyle name="쉼표 [0] 4 14 7" xfId="2119"/>
    <cellStyle name="쉼표 [0] 4 15" xfId="2120"/>
    <cellStyle name="쉼표 [0] 4 16" xfId="2121"/>
    <cellStyle name="쉼표 [0] 4 17" xfId="2122"/>
    <cellStyle name="쉼표 [0] 4 18" xfId="2123"/>
    <cellStyle name="쉼표 [0] 4 18 2" xfId="2124"/>
    <cellStyle name="쉼표 [0] 4 18 2 2" xfId="2125"/>
    <cellStyle name="쉼표 [0] 4 19" xfId="2126"/>
    <cellStyle name="쉼표 [0] 4 19 2" xfId="2127"/>
    <cellStyle name="쉼표 [0] 4 19 2 2" xfId="2128"/>
    <cellStyle name="쉼표 [0] 4 2" xfId="2129"/>
    <cellStyle name="쉼표 [0] 4 2 10" xfId="2130"/>
    <cellStyle name="쉼표 [0] 4 2 10 2" xfId="2131"/>
    <cellStyle name="쉼표 [0] 4 2 10 2 2" xfId="2132"/>
    <cellStyle name="쉼표 [0] 4 2 10 2 2 2" xfId="2133"/>
    <cellStyle name="쉼표 [0] 4 2 10 3" xfId="2134"/>
    <cellStyle name="쉼표 [0] 4 2 10 4" xfId="2135"/>
    <cellStyle name="쉼표 [0] 4 2 10 5" xfId="2136"/>
    <cellStyle name="쉼표 [0] 4 2 10 6" xfId="2137"/>
    <cellStyle name="쉼표 [0] 4 2 11" xfId="2138"/>
    <cellStyle name="쉼표 [0] 4 2 11 2" xfId="2139"/>
    <cellStyle name="쉼표 [0] 4 2 11 2 2" xfId="2140"/>
    <cellStyle name="쉼표 [0] 4 2 11 2 2 2" xfId="2141"/>
    <cellStyle name="쉼표 [0] 4 2 11 3" xfId="2142"/>
    <cellStyle name="쉼표 [0] 4 2 11 4" xfId="2143"/>
    <cellStyle name="쉼표 [0] 4 2 11 5" xfId="2144"/>
    <cellStyle name="쉼표 [0] 4 2 11 6" xfId="2145"/>
    <cellStyle name="쉼표 [0] 4 2 12" xfId="2146"/>
    <cellStyle name="쉼표 [0] 4 2 12 2" xfId="2147"/>
    <cellStyle name="쉼표 [0] 4 2 12 2 2" xfId="2148"/>
    <cellStyle name="쉼표 [0] 4 2 12 2 2 2" xfId="2149"/>
    <cellStyle name="쉼표 [0] 4 2 12 3" xfId="2150"/>
    <cellStyle name="쉼표 [0] 4 2 12 4" xfId="2151"/>
    <cellStyle name="쉼표 [0] 4 2 12 5" xfId="2152"/>
    <cellStyle name="쉼표 [0] 4 2 12 6" xfId="2153"/>
    <cellStyle name="쉼표 [0] 4 2 13" xfId="2154"/>
    <cellStyle name="쉼표 [0] 4 2 13 2" xfId="2155"/>
    <cellStyle name="쉼표 [0] 4 2 13 2 2" xfId="2156"/>
    <cellStyle name="쉼표 [0] 4 2 13 2 2 2" xfId="2157"/>
    <cellStyle name="쉼표 [0] 4 2 13 3" xfId="2158"/>
    <cellStyle name="쉼표 [0] 4 2 13 4" xfId="2159"/>
    <cellStyle name="쉼표 [0] 4 2 13 5" xfId="2160"/>
    <cellStyle name="쉼표 [0] 4 2 13 6" xfId="2161"/>
    <cellStyle name="쉼표 [0] 4 2 14" xfId="2162"/>
    <cellStyle name="쉼표 [0] 4 2 14 2" xfId="2163"/>
    <cellStyle name="쉼표 [0] 4 2 14 2 2" xfId="2164"/>
    <cellStyle name="쉼표 [0] 4 2 14 2 2 2" xfId="2165"/>
    <cellStyle name="쉼표 [0] 4 2 14 3" xfId="2166"/>
    <cellStyle name="쉼표 [0] 4 2 14 4" xfId="2167"/>
    <cellStyle name="쉼표 [0] 4 2 14 5" xfId="2168"/>
    <cellStyle name="쉼표 [0] 4 2 14 6" xfId="2169"/>
    <cellStyle name="쉼표 [0] 4 2 15" xfId="2170"/>
    <cellStyle name="쉼표 [0] 4 2 15 2" xfId="2171"/>
    <cellStyle name="쉼표 [0] 4 2 15 2 2" xfId="2172"/>
    <cellStyle name="쉼표 [0] 4 2 15 2 2 2" xfId="2173"/>
    <cellStyle name="쉼표 [0] 4 2 15 3" xfId="2174"/>
    <cellStyle name="쉼표 [0] 4 2 15 4" xfId="2175"/>
    <cellStyle name="쉼표 [0] 4 2 15 5" xfId="2176"/>
    <cellStyle name="쉼표 [0] 4 2 15 6" xfId="2177"/>
    <cellStyle name="쉼표 [0] 4 2 16" xfId="2178"/>
    <cellStyle name="쉼표 [0] 4 2 16 2" xfId="2179"/>
    <cellStyle name="쉼표 [0] 4 2 16 2 2" xfId="2180"/>
    <cellStyle name="쉼표 [0] 4 2 16 2 2 2" xfId="2181"/>
    <cellStyle name="쉼표 [0] 4 2 16 3" xfId="2182"/>
    <cellStyle name="쉼표 [0] 4 2 16 4" xfId="2183"/>
    <cellStyle name="쉼표 [0] 4 2 16 5" xfId="2184"/>
    <cellStyle name="쉼표 [0] 4 2 16 6" xfId="2185"/>
    <cellStyle name="쉼표 [0] 4 2 17" xfId="2186"/>
    <cellStyle name="쉼표 [0] 4 2 17 2" xfId="2187"/>
    <cellStyle name="쉼표 [0] 4 2 17 2 2" xfId="2188"/>
    <cellStyle name="쉼표 [0] 4 2 17 2 2 2" xfId="2189"/>
    <cellStyle name="쉼표 [0] 4 2 17 3" xfId="2190"/>
    <cellStyle name="쉼표 [0] 4 2 17 4" xfId="2191"/>
    <cellStyle name="쉼표 [0] 4 2 17 5" xfId="2192"/>
    <cellStyle name="쉼표 [0] 4 2 17 6" xfId="2193"/>
    <cellStyle name="쉼표 [0] 4 2 18" xfId="2194"/>
    <cellStyle name="쉼표 [0] 4 2 18 2" xfId="2195"/>
    <cellStyle name="쉼표 [0] 4 2 18 2 2" xfId="2196"/>
    <cellStyle name="쉼표 [0] 4 2 18 2 2 2" xfId="2197"/>
    <cellStyle name="쉼표 [0] 4 2 18 3" xfId="2198"/>
    <cellStyle name="쉼표 [0] 4 2 18 4" xfId="2199"/>
    <cellStyle name="쉼표 [0] 4 2 18 5" xfId="2200"/>
    <cellStyle name="쉼표 [0] 4 2 18 6" xfId="2201"/>
    <cellStyle name="쉼표 [0] 4 2 19" xfId="2202"/>
    <cellStyle name="쉼표 [0] 4 2 19 2" xfId="2203"/>
    <cellStyle name="쉼표 [0] 4 2 19 2 2" xfId="2204"/>
    <cellStyle name="쉼표 [0] 4 2 19 2 2 2" xfId="2205"/>
    <cellStyle name="쉼표 [0] 4 2 19 3" xfId="2206"/>
    <cellStyle name="쉼표 [0] 4 2 19 4" xfId="2207"/>
    <cellStyle name="쉼표 [0] 4 2 19 5" xfId="2208"/>
    <cellStyle name="쉼표 [0] 4 2 19 6" xfId="2209"/>
    <cellStyle name="쉼표 [0] 4 2 2" xfId="2210"/>
    <cellStyle name="쉼표 [0] 4 2 2 2" xfId="2211"/>
    <cellStyle name="쉼표 [0] 4 2 2 2 2" xfId="2212"/>
    <cellStyle name="쉼표 [0] 4 2 2 2 2 2" xfId="2213"/>
    <cellStyle name="쉼표 [0] 4 2 2 2 2 3" xfId="2214"/>
    <cellStyle name="쉼표 [0] 4 2 2 2 2 4" xfId="2215"/>
    <cellStyle name="쉼표 [0] 4 2 2 2 2 5" xfId="2216"/>
    <cellStyle name="쉼표 [0] 4 2 2 2 2 5 2" xfId="2217"/>
    <cellStyle name="쉼표 [0] 4 2 2 2 2 6" xfId="2218"/>
    <cellStyle name="쉼표 [0] 4 2 2 2 3" xfId="2219"/>
    <cellStyle name="쉼표 [0] 4 2 2 2 3 2" xfId="2220"/>
    <cellStyle name="쉼표 [0] 4 2 2 2 3 3" xfId="2221"/>
    <cellStyle name="쉼표 [0] 4 2 2 2 3 4" xfId="2222"/>
    <cellStyle name="쉼표 [0] 4 2 2 2 3 5" xfId="2223"/>
    <cellStyle name="쉼표 [0] 4 2 2 2 4" xfId="2224"/>
    <cellStyle name="쉼표 [0] 4 2 2 2 4 2" xfId="2225"/>
    <cellStyle name="쉼표 [0] 4 2 2 2 4 3" xfId="2226"/>
    <cellStyle name="쉼표 [0] 4 2 2 2 4 4" xfId="2227"/>
    <cellStyle name="쉼표 [0] 4 2 2 2 4 5" xfId="2228"/>
    <cellStyle name="쉼표 [0] 4 2 2 2 5" xfId="2229"/>
    <cellStyle name="쉼표 [0] 4 2 2 3" xfId="2230"/>
    <cellStyle name="쉼표 [0] 4 2 2 4" xfId="2231"/>
    <cellStyle name="쉼표 [0] 4 2 2 5" xfId="2232"/>
    <cellStyle name="쉼표 [0] 4 2 2 6" xfId="2233"/>
    <cellStyle name="쉼표 [0] 4 2 2 7" xfId="2234"/>
    <cellStyle name="쉼표 [0] 4 2 2 8" xfId="2235"/>
    <cellStyle name="쉼표 [0] 4 2 2 9" xfId="2236"/>
    <cellStyle name="쉼표 [0] 4 2 20" xfId="2237"/>
    <cellStyle name="쉼표 [0] 4 2 20 2" xfId="2238"/>
    <cellStyle name="쉼표 [0] 4 2 20 2 2" xfId="2239"/>
    <cellStyle name="쉼표 [0] 4 2 20 2 2 2" xfId="2240"/>
    <cellStyle name="쉼표 [0] 4 2 20 3" xfId="2241"/>
    <cellStyle name="쉼표 [0] 4 2 20 4" xfId="2242"/>
    <cellStyle name="쉼표 [0] 4 2 20 5" xfId="2243"/>
    <cellStyle name="쉼표 [0] 4 2 20 6" xfId="2244"/>
    <cellStyle name="쉼표 [0] 4 2 21" xfId="2245"/>
    <cellStyle name="쉼표 [0] 4 2 21 2" xfId="2246"/>
    <cellStyle name="쉼표 [0] 4 2 21 2 2" xfId="2247"/>
    <cellStyle name="쉼표 [0] 4 2 21 2 2 2" xfId="2248"/>
    <cellStyle name="쉼표 [0] 4 2 21 3" xfId="2249"/>
    <cellStyle name="쉼표 [0] 4 2 21 4" xfId="2250"/>
    <cellStyle name="쉼표 [0] 4 2 21 5" xfId="2251"/>
    <cellStyle name="쉼표 [0] 4 2 21 6" xfId="2252"/>
    <cellStyle name="쉼표 [0] 4 2 22" xfId="2253"/>
    <cellStyle name="쉼표 [0] 4 2 22 2" xfId="2254"/>
    <cellStyle name="쉼표 [0] 4 2 22 2 2" xfId="2255"/>
    <cellStyle name="쉼표 [0] 4 2 22 2 2 2" xfId="2256"/>
    <cellStyle name="쉼표 [0] 4 2 22 3" xfId="2257"/>
    <cellStyle name="쉼표 [0] 4 2 22 4" xfId="2258"/>
    <cellStyle name="쉼표 [0] 4 2 22 5" xfId="2259"/>
    <cellStyle name="쉼표 [0] 4 2 22 6" xfId="2260"/>
    <cellStyle name="쉼표 [0] 4 2 23" xfId="2261"/>
    <cellStyle name="쉼표 [0] 4 2 23 2" xfId="2262"/>
    <cellStyle name="쉼표 [0] 4 2 23 2 2" xfId="2263"/>
    <cellStyle name="쉼표 [0] 4 2 23 2 2 2" xfId="2264"/>
    <cellStyle name="쉼표 [0] 4 2 23 3" xfId="2265"/>
    <cellStyle name="쉼표 [0] 4 2 23 4" xfId="2266"/>
    <cellStyle name="쉼표 [0] 4 2 23 5" xfId="2267"/>
    <cellStyle name="쉼표 [0] 4 2 23 6" xfId="2268"/>
    <cellStyle name="쉼표 [0] 4 2 24" xfId="2269"/>
    <cellStyle name="쉼표 [0] 4 2 24 2" xfId="2270"/>
    <cellStyle name="쉼표 [0] 4 2 24 2 2" xfId="2271"/>
    <cellStyle name="쉼표 [0] 4 2 24 2 2 2" xfId="2272"/>
    <cellStyle name="쉼표 [0] 4 2 24 3" xfId="2273"/>
    <cellStyle name="쉼표 [0] 4 2 24 4" xfId="2274"/>
    <cellStyle name="쉼표 [0] 4 2 24 5" xfId="2275"/>
    <cellStyle name="쉼표 [0] 4 2 24 6" xfId="2276"/>
    <cellStyle name="쉼표 [0] 4 2 25" xfId="2277"/>
    <cellStyle name="쉼표 [0] 4 2 25 2" xfId="2278"/>
    <cellStyle name="쉼표 [0] 4 2 25 2 2" xfId="2279"/>
    <cellStyle name="쉼표 [0] 4 2 25 2 2 2" xfId="2280"/>
    <cellStyle name="쉼표 [0] 4 2 25 3" xfId="2281"/>
    <cellStyle name="쉼표 [0] 4 2 25 4" xfId="2282"/>
    <cellStyle name="쉼표 [0] 4 2 25 5" xfId="2283"/>
    <cellStyle name="쉼표 [0] 4 2 25 6" xfId="2284"/>
    <cellStyle name="쉼표 [0] 4 2 26" xfId="2285"/>
    <cellStyle name="쉼표 [0] 4 2 26 2" xfId="2286"/>
    <cellStyle name="쉼표 [0] 4 2 26 2 2" xfId="2287"/>
    <cellStyle name="쉼표 [0] 4 2 26 2 2 2" xfId="2288"/>
    <cellStyle name="쉼표 [0] 4 2 26 3" xfId="2289"/>
    <cellStyle name="쉼표 [0] 4 2 26 4" xfId="2290"/>
    <cellStyle name="쉼표 [0] 4 2 26 5" xfId="2291"/>
    <cellStyle name="쉼표 [0] 4 2 26 6" xfId="2292"/>
    <cellStyle name="쉼표 [0] 4 2 27" xfId="2293"/>
    <cellStyle name="쉼표 [0] 4 2 27 2" xfId="2294"/>
    <cellStyle name="쉼표 [0] 4 2 27 2 2" xfId="2295"/>
    <cellStyle name="쉼표 [0] 4 2 27 2 2 2" xfId="2296"/>
    <cellStyle name="쉼표 [0] 4 2 27 3" xfId="2297"/>
    <cellStyle name="쉼표 [0] 4 2 27 4" xfId="2298"/>
    <cellStyle name="쉼표 [0] 4 2 27 5" xfId="2299"/>
    <cellStyle name="쉼표 [0] 4 2 27 6" xfId="2300"/>
    <cellStyle name="쉼표 [0] 4 2 28" xfId="2301"/>
    <cellStyle name="쉼표 [0] 4 2 28 2" xfId="2302"/>
    <cellStyle name="쉼표 [0] 4 2 28 2 2" xfId="2303"/>
    <cellStyle name="쉼표 [0] 4 2 28 2 2 2" xfId="2304"/>
    <cellStyle name="쉼표 [0] 4 2 28 3" xfId="2305"/>
    <cellStyle name="쉼표 [0] 4 2 28 4" xfId="2306"/>
    <cellStyle name="쉼표 [0] 4 2 28 5" xfId="2307"/>
    <cellStyle name="쉼표 [0] 4 2 28 6" xfId="2308"/>
    <cellStyle name="쉼표 [0] 4 2 29" xfId="2309"/>
    <cellStyle name="쉼표 [0] 4 2 29 2" xfId="2310"/>
    <cellStyle name="쉼표 [0] 4 2 29 2 2" xfId="2311"/>
    <cellStyle name="쉼표 [0] 4 2 29 2 2 2" xfId="2312"/>
    <cellStyle name="쉼표 [0] 4 2 29 3" xfId="2313"/>
    <cellStyle name="쉼표 [0] 4 2 29 4" xfId="2314"/>
    <cellStyle name="쉼표 [0] 4 2 29 5" xfId="2315"/>
    <cellStyle name="쉼표 [0] 4 2 29 6" xfId="2316"/>
    <cellStyle name="쉼표 [0] 4 2 3" xfId="2317"/>
    <cellStyle name="쉼표 [0] 4 2 3 2" xfId="2318"/>
    <cellStyle name="쉼표 [0] 4 2 3 2 2" xfId="2319"/>
    <cellStyle name="쉼표 [0] 4 2 3 2 2 2" xfId="2320"/>
    <cellStyle name="쉼표 [0] 4 2 3 3" xfId="2321"/>
    <cellStyle name="쉼표 [0] 4 2 3 4" xfId="2322"/>
    <cellStyle name="쉼표 [0] 4 2 3 5" xfId="2323"/>
    <cellStyle name="쉼표 [0] 4 2 3 6" xfId="2324"/>
    <cellStyle name="쉼표 [0] 4 2 30" xfId="2325"/>
    <cellStyle name="쉼표 [0] 4 2 30 2" xfId="2326"/>
    <cellStyle name="쉼표 [0] 4 2 30 2 2" xfId="2327"/>
    <cellStyle name="쉼표 [0] 4 2 30 2 2 2" xfId="2328"/>
    <cellStyle name="쉼표 [0] 4 2 30 3" xfId="2329"/>
    <cellStyle name="쉼표 [0] 4 2 30 4" xfId="2330"/>
    <cellStyle name="쉼표 [0] 4 2 30 5" xfId="2331"/>
    <cellStyle name="쉼표 [0] 4 2 30 6" xfId="2332"/>
    <cellStyle name="쉼표 [0] 4 2 31" xfId="2333"/>
    <cellStyle name="쉼표 [0] 4 2 31 2" xfId="2334"/>
    <cellStyle name="쉼표 [0] 4 2 31 2 2" xfId="2335"/>
    <cellStyle name="쉼표 [0] 4 2 31 2 2 2" xfId="2336"/>
    <cellStyle name="쉼표 [0] 4 2 31 3" xfId="2337"/>
    <cellStyle name="쉼표 [0] 4 2 31 4" xfId="2338"/>
    <cellStyle name="쉼표 [0] 4 2 31 5" xfId="2339"/>
    <cellStyle name="쉼표 [0] 4 2 31 6" xfId="2340"/>
    <cellStyle name="쉼표 [0] 4 2 32" xfId="2341"/>
    <cellStyle name="쉼표 [0] 4 2 32 2" xfId="2342"/>
    <cellStyle name="쉼표 [0] 4 2 32 2 2" xfId="2343"/>
    <cellStyle name="쉼표 [0] 4 2 32 2 2 2" xfId="2344"/>
    <cellStyle name="쉼표 [0] 4 2 32 3" xfId="2345"/>
    <cellStyle name="쉼표 [0] 4 2 32 4" xfId="2346"/>
    <cellStyle name="쉼표 [0] 4 2 32 5" xfId="2347"/>
    <cellStyle name="쉼표 [0] 4 2 32 6" xfId="2348"/>
    <cellStyle name="쉼표 [0] 4 2 33" xfId="2349"/>
    <cellStyle name="쉼표 [0] 4 2 33 2" xfId="2350"/>
    <cellStyle name="쉼표 [0] 4 2 33 2 2" xfId="2351"/>
    <cellStyle name="쉼표 [0] 4 2 33 2 2 2" xfId="2352"/>
    <cellStyle name="쉼표 [0] 4 2 33 3" xfId="2353"/>
    <cellStyle name="쉼표 [0] 4 2 33 4" xfId="2354"/>
    <cellStyle name="쉼표 [0] 4 2 33 5" xfId="2355"/>
    <cellStyle name="쉼표 [0] 4 2 33 6" xfId="2356"/>
    <cellStyle name="쉼표 [0] 4 2 34" xfId="2357"/>
    <cellStyle name="쉼표 [0] 4 2 34 2" xfId="2358"/>
    <cellStyle name="쉼표 [0] 4 2 34 2 2" xfId="2359"/>
    <cellStyle name="쉼표 [0] 4 2 34 2 2 2" xfId="2360"/>
    <cellStyle name="쉼표 [0] 4 2 34 3" xfId="2361"/>
    <cellStyle name="쉼표 [0] 4 2 34 4" xfId="2362"/>
    <cellStyle name="쉼표 [0] 4 2 34 5" xfId="2363"/>
    <cellStyle name="쉼표 [0] 4 2 34 6" xfId="2364"/>
    <cellStyle name="쉼표 [0] 4 2 35" xfId="2365"/>
    <cellStyle name="쉼표 [0] 4 2 35 2" xfId="2366"/>
    <cellStyle name="쉼표 [0] 4 2 35 2 2" xfId="2367"/>
    <cellStyle name="쉼표 [0] 4 2 35 2 2 2" xfId="2368"/>
    <cellStyle name="쉼표 [0] 4 2 35 3" xfId="2369"/>
    <cellStyle name="쉼표 [0] 4 2 35 4" xfId="2370"/>
    <cellStyle name="쉼표 [0] 4 2 35 5" xfId="2371"/>
    <cellStyle name="쉼표 [0] 4 2 35 6" xfId="2372"/>
    <cellStyle name="쉼표 [0] 4 2 36" xfId="2373"/>
    <cellStyle name="쉼표 [0] 4 2 36 2" xfId="2374"/>
    <cellStyle name="쉼표 [0] 4 2 36 3" xfId="2375"/>
    <cellStyle name="쉼표 [0] 4 2 36 4" xfId="2376"/>
    <cellStyle name="쉼표 [0] 4 2 36 5" xfId="2377"/>
    <cellStyle name="쉼표 [0] 4 2 36 5 2" xfId="2378"/>
    <cellStyle name="쉼표 [0] 4 2 36 6" xfId="2379"/>
    <cellStyle name="쉼표 [0] 4 2 37" xfId="2380"/>
    <cellStyle name="쉼표 [0] 4 2 37 2" xfId="2381"/>
    <cellStyle name="쉼표 [0] 4 2 37 3" xfId="2382"/>
    <cellStyle name="쉼표 [0] 4 2 37 4" xfId="2383"/>
    <cellStyle name="쉼표 [0] 4 2 37 5" xfId="2384"/>
    <cellStyle name="쉼표 [0] 4 2 38" xfId="2385"/>
    <cellStyle name="쉼표 [0] 4 2 38 2" xfId="2386"/>
    <cellStyle name="쉼표 [0] 4 2 38 3" xfId="2387"/>
    <cellStyle name="쉼표 [0] 4 2 38 4" xfId="2388"/>
    <cellStyle name="쉼표 [0] 4 2 38 5" xfId="2389"/>
    <cellStyle name="쉼표 [0] 4 2 39" xfId="2390"/>
    <cellStyle name="쉼표 [0] 4 2 39 2" xfId="2391"/>
    <cellStyle name="쉼표 [0] 4 2 4" xfId="2392"/>
    <cellStyle name="쉼표 [0] 4 2 4 2" xfId="2393"/>
    <cellStyle name="쉼표 [0] 4 2 4 2 2" xfId="2394"/>
    <cellStyle name="쉼표 [0] 4 2 4 2 2 2" xfId="2395"/>
    <cellStyle name="쉼표 [0] 4 2 4 3" xfId="2396"/>
    <cellStyle name="쉼표 [0] 4 2 4 4" xfId="2397"/>
    <cellStyle name="쉼표 [0] 4 2 4 5" xfId="2398"/>
    <cellStyle name="쉼표 [0] 4 2 4 6" xfId="2399"/>
    <cellStyle name="쉼표 [0] 4 2 40" xfId="2400"/>
    <cellStyle name="쉼표 [0] 4 2 5" xfId="2401"/>
    <cellStyle name="쉼표 [0] 4 2 5 2" xfId="2402"/>
    <cellStyle name="쉼표 [0] 4 2 5 2 2" xfId="2403"/>
    <cellStyle name="쉼표 [0] 4 2 5 2 2 2" xfId="2404"/>
    <cellStyle name="쉼표 [0] 4 2 5 3" xfId="2405"/>
    <cellStyle name="쉼표 [0] 4 2 5 4" xfId="2406"/>
    <cellStyle name="쉼표 [0] 4 2 5 5" xfId="2407"/>
    <cellStyle name="쉼표 [0] 4 2 5 6" xfId="2408"/>
    <cellStyle name="쉼표 [0] 4 2 6" xfId="2409"/>
    <cellStyle name="쉼표 [0] 4 2 6 2" xfId="2410"/>
    <cellStyle name="쉼표 [0] 4 2 6 2 2" xfId="2411"/>
    <cellStyle name="쉼표 [0] 4 2 6 2 2 2" xfId="2412"/>
    <cellStyle name="쉼표 [0] 4 2 6 3" xfId="2413"/>
    <cellStyle name="쉼표 [0] 4 2 6 4" xfId="2414"/>
    <cellStyle name="쉼표 [0] 4 2 6 5" xfId="2415"/>
    <cellStyle name="쉼표 [0] 4 2 6 6" xfId="2416"/>
    <cellStyle name="쉼표 [0] 4 2 7" xfId="2417"/>
    <cellStyle name="쉼표 [0] 4 2 7 2" xfId="2418"/>
    <cellStyle name="쉼표 [0] 4 2 7 2 2" xfId="2419"/>
    <cellStyle name="쉼표 [0] 4 2 7 2 2 2" xfId="2420"/>
    <cellStyle name="쉼표 [0] 4 2 7 3" xfId="2421"/>
    <cellStyle name="쉼표 [0] 4 2 7 4" xfId="2422"/>
    <cellStyle name="쉼표 [0] 4 2 7 5" xfId="2423"/>
    <cellStyle name="쉼표 [0] 4 2 7 6" xfId="2424"/>
    <cellStyle name="쉼표 [0] 4 2 8" xfId="2425"/>
    <cellStyle name="쉼표 [0] 4 2 8 2" xfId="2426"/>
    <cellStyle name="쉼표 [0] 4 2 8 2 2" xfId="2427"/>
    <cellStyle name="쉼표 [0] 4 2 8 2 2 2" xfId="2428"/>
    <cellStyle name="쉼표 [0] 4 2 8 3" xfId="2429"/>
    <cellStyle name="쉼표 [0] 4 2 8 4" xfId="2430"/>
    <cellStyle name="쉼표 [0] 4 2 8 5" xfId="2431"/>
    <cellStyle name="쉼표 [0] 4 2 8 6" xfId="2432"/>
    <cellStyle name="쉼표 [0] 4 2 9" xfId="2433"/>
    <cellStyle name="쉼표 [0] 4 2 9 2" xfId="2434"/>
    <cellStyle name="쉼표 [0] 4 2 9 2 2" xfId="2435"/>
    <cellStyle name="쉼표 [0] 4 2 9 2 2 2" xfId="2436"/>
    <cellStyle name="쉼표 [0] 4 2 9 3" xfId="2437"/>
    <cellStyle name="쉼표 [0] 4 2 9 4" xfId="2438"/>
    <cellStyle name="쉼표 [0] 4 2 9 5" xfId="2439"/>
    <cellStyle name="쉼표 [0] 4 2 9 6" xfId="2440"/>
    <cellStyle name="쉼표 [0] 4 20" xfId="2441"/>
    <cellStyle name="쉼표 [0] 4 21" xfId="2442"/>
    <cellStyle name="쉼표 [0] 4 22" xfId="2443"/>
    <cellStyle name="쉼표 [0] 4 23" xfId="2444"/>
    <cellStyle name="쉼표 [0] 4 24" xfId="2445"/>
    <cellStyle name="쉼표 [0] 4 25" xfId="2446"/>
    <cellStyle name="쉼표 [0] 4 26" xfId="2447"/>
    <cellStyle name="쉼표 [0] 4 27" xfId="2448"/>
    <cellStyle name="쉼표 [0] 4 28" xfId="2449"/>
    <cellStyle name="쉼표 [0] 4 29" xfId="2450"/>
    <cellStyle name="쉼표 [0] 4 3" xfId="2451"/>
    <cellStyle name="쉼표 [0] 4 3 2" xfId="2452"/>
    <cellStyle name="쉼표 [0] 4 3 2 2" xfId="2453"/>
    <cellStyle name="쉼표 [0] 4 3 2 2 2" xfId="2454"/>
    <cellStyle name="쉼표 [0] 4 3 2 3" xfId="2455"/>
    <cellStyle name="쉼표 [0] 4 3 3" xfId="2456"/>
    <cellStyle name="쉼표 [0] 4 3 4" xfId="2457"/>
    <cellStyle name="쉼표 [0] 4 3 5" xfId="2458"/>
    <cellStyle name="쉼표 [0] 4 3 6" xfId="2459"/>
    <cellStyle name="쉼표 [0] 4 3 7" xfId="2460"/>
    <cellStyle name="쉼표 [0] 4 30" xfId="2461"/>
    <cellStyle name="쉼표 [0] 4 31" xfId="2462"/>
    <cellStyle name="쉼표 [0] 4 32" xfId="2463"/>
    <cellStyle name="쉼표 [0] 4 33" xfId="2464"/>
    <cellStyle name="쉼표 [0] 4 34" xfId="2465"/>
    <cellStyle name="쉼표 [0] 4 35" xfId="2466"/>
    <cellStyle name="쉼표 [0] 4 36" xfId="2467"/>
    <cellStyle name="쉼표 [0] 4 37" xfId="2468"/>
    <cellStyle name="쉼표 [0] 4 38" xfId="2469"/>
    <cellStyle name="쉼표 [0] 4 39" xfId="2470"/>
    <cellStyle name="쉼표 [0] 4 4" xfId="2471"/>
    <cellStyle name="쉼표 [0] 4 4 2" xfId="2472"/>
    <cellStyle name="쉼표 [0] 4 4 2 2" xfId="2473"/>
    <cellStyle name="쉼표 [0] 4 4 2 2 2" xfId="2474"/>
    <cellStyle name="쉼표 [0] 4 4 2 3" xfId="2475"/>
    <cellStyle name="쉼표 [0] 4 4 3" xfId="2476"/>
    <cellStyle name="쉼표 [0] 4 4 4" xfId="2477"/>
    <cellStyle name="쉼표 [0] 4 4 5" xfId="2478"/>
    <cellStyle name="쉼표 [0] 4 4 6" xfId="2479"/>
    <cellStyle name="쉼표 [0] 4 4 7" xfId="2480"/>
    <cellStyle name="쉼표 [0] 4 40" xfId="2481"/>
    <cellStyle name="쉼표 [0] 4 41" xfId="2482"/>
    <cellStyle name="쉼표 [0] 4 42" xfId="2483"/>
    <cellStyle name="쉼표 [0] 4 43" xfId="2484"/>
    <cellStyle name="쉼표 [0] 4 44" xfId="2485"/>
    <cellStyle name="쉼표 [0] 4 45" xfId="2486"/>
    <cellStyle name="쉼표 [0] 4 46" xfId="2487"/>
    <cellStyle name="쉼표 [0] 4 47" xfId="2488"/>
    <cellStyle name="쉼표 [0] 4 48" xfId="2489"/>
    <cellStyle name="쉼표 [0] 4 49" xfId="2490"/>
    <cellStyle name="쉼표 [0] 4 5" xfId="2491"/>
    <cellStyle name="쉼표 [0] 4 5 2" xfId="2492"/>
    <cellStyle name="쉼표 [0] 4 5 2 2" xfId="2493"/>
    <cellStyle name="쉼표 [0] 4 5 2 2 2" xfId="2494"/>
    <cellStyle name="쉼표 [0] 4 5 2 3" xfId="2495"/>
    <cellStyle name="쉼표 [0] 4 5 3" xfId="2496"/>
    <cellStyle name="쉼표 [0] 4 5 4" xfId="2497"/>
    <cellStyle name="쉼표 [0] 4 5 5" xfId="2498"/>
    <cellStyle name="쉼표 [0] 4 5 6" xfId="2499"/>
    <cellStyle name="쉼표 [0] 4 5 7" xfId="2500"/>
    <cellStyle name="쉼표 [0] 4 50" xfId="2501"/>
    <cellStyle name="쉼표 [0] 4 6" xfId="2502"/>
    <cellStyle name="쉼표 [0] 4 6 2" xfId="2503"/>
    <cellStyle name="쉼표 [0] 4 6 2 2" xfId="2504"/>
    <cellStyle name="쉼표 [0] 4 6 2 2 2" xfId="2505"/>
    <cellStyle name="쉼표 [0] 4 6 2 3" xfId="2506"/>
    <cellStyle name="쉼표 [0] 4 6 3" xfId="2507"/>
    <cellStyle name="쉼표 [0] 4 6 4" xfId="2508"/>
    <cellStyle name="쉼표 [0] 4 6 5" xfId="2509"/>
    <cellStyle name="쉼표 [0] 4 6 6" xfId="2510"/>
    <cellStyle name="쉼표 [0] 4 6 7" xfId="2511"/>
    <cellStyle name="쉼표 [0] 4 7" xfId="2512"/>
    <cellStyle name="쉼표 [0] 4 7 2" xfId="2513"/>
    <cellStyle name="쉼표 [0] 4 7 2 2" xfId="2514"/>
    <cellStyle name="쉼표 [0] 4 7 2 3" xfId="2515"/>
    <cellStyle name="쉼표 [0] 4 7 2 4" xfId="2516"/>
    <cellStyle name="쉼표 [0] 4 7 2 5" xfId="2517"/>
    <cellStyle name="쉼표 [0] 4 7 2 6" xfId="2518"/>
    <cellStyle name="쉼표 [0] 4 7 2 7" xfId="2519"/>
    <cellStyle name="쉼표 [0] 4 7 2 8" xfId="2520"/>
    <cellStyle name="쉼표 [0] 4 7 2 9" xfId="2521"/>
    <cellStyle name="쉼표 [0] 4 7 3" xfId="2522"/>
    <cellStyle name="쉼표 [0] 4 7 3 2" xfId="2523"/>
    <cellStyle name="쉼표 [0] 4 7 3 3" xfId="2524"/>
    <cellStyle name="쉼표 [0] 4 7 3 4" xfId="2525"/>
    <cellStyle name="쉼표 [0] 4 7 3 5" xfId="2526"/>
    <cellStyle name="쉼표 [0] 4 7 3 5 2" xfId="2527"/>
    <cellStyle name="쉼표 [0] 4 7 3 6" xfId="2528"/>
    <cellStyle name="쉼표 [0] 4 7 4" xfId="2529"/>
    <cellStyle name="쉼표 [0] 4 7 4 2" xfId="2530"/>
    <cellStyle name="쉼표 [0] 4 7 4 3" xfId="2531"/>
    <cellStyle name="쉼표 [0] 4 7 4 4" xfId="2532"/>
    <cellStyle name="쉼표 [0] 4 7 4 5" xfId="2533"/>
    <cellStyle name="쉼표 [0] 4 7 5" xfId="2534"/>
    <cellStyle name="쉼표 [0] 4 8" xfId="2535"/>
    <cellStyle name="쉼표 [0] 4 9" xfId="2536"/>
    <cellStyle name="쉼표 [0] 40" xfId="3121"/>
    <cellStyle name="쉼표 [0] 41" xfId="3125"/>
    <cellStyle name="쉼표 [0] 42" xfId="3145"/>
    <cellStyle name="쉼표 [0] 43" xfId="3175"/>
    <cellStyle name="쉼표 [0] 44" xfId="3184"/>
    <cellStyle name="쉼표 [0] 45" xfId="3197"/>
    <cellStyle name="쉼표 [0] 46" xfId="3216"/>
    <cellStyle name="쉼표 [0] 46 2" xfId="3276"/>
    <cellStyle name="쉼표 [0] 46 2 2" xfId="3388"/>
    <cellStyle name="쉼표 [0] 46 2 2 2" xfId="3717"/>
    <cellStyle name="쉼표 [0] 46 2 3" xfId="3497"/>
    <cellStyle name="쉼표 [0] 46 2 3 2" xfId="3826"/>
    <cellStyle name="쉼표 [0] 46 2 4" xfId="3609"/>
    <cellStyle name="쉼표 [0] 46 3" xfId="3334"/>
    <cellStyle name="쉼표 [0] 46 3 2" xfId="3663"/>
    <cellStyle name="쉼표 [0] 46 4" xfId="3443"/>
    <cellStyle name="쉼표 [0] 46 4 2" xfId="3772"/>
    <cellStyle name="쉼표 [0] 46 5" xfId="3555"/>
    <cellStyle name="쉼표 [0] 47" xfId="3240"/>
    <cellStyle name="쉼표 [0] 48" xfId="3298"/>
    <cellStyle name="쉼표 [0] 49" xfId="3519"/>
    <cellStyle name="쉼표 [0] 5" xfId="2537"/>
    <cellStyle name="쉼표 [0] 5 10" xfId="2538"/>
    <cellStyle name="쉼표 [0] 5 11" xfId="2539"/>
    <cellStyle name="쉼표 [0] 5 12" xfId="2540"/>
    <cellStyle name="쉼표 [0] 5 13" xfId="2541"/>
    <cellStyle name="쉼표 [0] 5 2" xfId="2542"/>
    <cellStyle name="쉼표 [0] 5 2 2" xfId="2543"/>
    <cellStyle name="쉼표 [0] 5 2 2 2" xfId="2544"/>
    <cellStyle name="쉼표 [0] 5 2 2 2 2" xfId="2545"/>
    <cellStyle name="쉼표 [0] 5 2 2 3" xfId="2546"/>
    <cellStyle name="쉼표 [0] 5 2 3" xfId="2547"/>
    <cellStyle name="쉼표 [0] 5 2 4" xfId="2548"/>
    <cellStyle name="쉼표 [0] 5 2 5" xfId="2549"/>
    <cellStyle name="쉼표 [0] 5 2 6" xfId="2550"/>
    <cellStyle name="쉼표 [0] 5 2 7" xfId="2551"/>
    <cellStyle name="쉼표 [0] 5 3" xfId="2552"/>
    <cellStyle name="쉼표 [0] 5 4" xfId="2553"/>
    <cellStyle name="쉼표 [0] 5 5" xfId="2554"/>
    <cellStyle name="쉼표 [0] 5 6" xfId="2555"/>
    <cellStyle name="쉼표 [0] 5 7" xfId="2556"/>
    <cellStyle name="쉼표 [0] 5 8" xfId="2557"/>
    <cellStyle name="쉼표 [0] 5 9" xfId="2558"/>
    <cellStyle name="쉼표 [0] 50" xfId="1132"/>
    <cellStyle name="쉼표 [0] 6" xfId="2559"/>
    <cellStyle name="쉼표 [0] 6 10" xfId="2560"/>
    <cellStyle name="쉼표 [0] 6 11" xfId="2561"/>
    <cellStyle name="쉼표 [0] 6 12" xfId="2562"/>
    <cellStyle name="쉼표 [0] 6 13" xfId="2563"/>
    <cellStyle name="쉼표 [0] 6 14" xfId="2564"/>
    <cellStyle name="쉼표 [0] 6 2" xfId="2565"/>
    <cellStyle name="쉼표 [0] 6 2 2" xfId="2566"/>
    <cellStyle name="쉼표 [0] 6 2 2 2" xfId="2567"/>
    <cellStyle name="쉼표 [0] 6 2 2 2 2" xfId="2568"/>
    <cellStyle name="쉼표 [0] 6 2 2 3" xfId="2569"/>
    <cellStyle name="쉼표 [0] 6 2 3" xfId="2570"/>
    <cellStyle name="쉼표 [0] 6 2 4" xfId="2571"/>
    <cellStyle name="쉼표 [0] 6 2 5" xfId="2572"/>
    <cellStyle name="쉼표 [0] 6 2 6" xfId="2573"/>
    <cellStyle name="쉼표 [0] 6 2 7" xfId="2574"/>
    <cellStyle name="쉼표 [0] 6 3" xfId="2575"/>
    <cellStyle name="쉼표 [0] 6 3 2" xfId="2576"/>
    <cellStyle name="쉼표 [0] 6 3 2 2" xfId="2577"/>
    <cellStyle name="쉼표 [0] 6 3 2 2 2" xfId="2578"/>
    <cellStyle name="쉼표 [0] 6 3 2 3" xfId="2579"/>
    <cellStyle name="쉼표 [0] 6 3 3" xfId="2580"/>
    <cellStyle name="쉼표 [0] 6 3 4" xfId="2581"/>
    <cellStyle name="쉼표 [0] 6 3 5" xfId="2582"/>
    <cellStyle name="쉼표 [0] 6 3 6" xfId="2583"/>
    <cellStyle name="쉼표 [0] 6 3 7" xfId="2584"/>
    <cellStyle name="쉼표 [0] 6 4" xfId="2585"/>
    <cellStyle name="쉼표 [0] 6 5" xfId="2586"/>
    <cellStyle name="쉼표 [0] 6 6" xfId="2587"/>
    <cellStyle name="쉼표 [0] 6 7" xfId="2588"/>
    <cellStyle name="쉼표 [0] 6 8" xfId="2589"/>
    <cellStyle name="쉼표 [0] 6 9" xfId="2590"/>
    <cellStyle name="쉼표 [0] 7" xfId="2591"/>
    <cellStyle name="쉼표 [0] 7 10" xfId="2592"/>
    <cellStyle name="쉼표 [0] 7 11" xfId="2593"/>
    <cellStyle name="쉼표 [0] 7 12" xfId="2594"/>
    <cellStyle name="쉼표 [0] 7 2" xfId="2595"/>
    <cellStyle name="쉼표 [0] 7 3" xfId="2596"/>
    <cellStyle name="쉼표 [0] 7 4" xfId="2597"/>
    <cellStyle name="쉼표 [0] 7 5" xfId="2598"/>
    <cellStyle name="쉼표 [0] 7 6" xfId="2599"/>
    <cellStyle name="쉼표 [0] 7 7" xfId="2600"/>
    <cellStyle name="쉼표 [0] 7 8" xfId="2601"/>
    <cellStyle name="쉼표 [0] 7 9" xfId="2602"/>
    <cellStyle name="쉼표 [0] 8" xfId="2603"/>
    <cellStyle name="쉼표 [0] 8 10" xfId="2604"/>
    <cellStyle name="쉼표 [0] 8 11" xfId="2605"/>
    <cellStyle name="쉼표 [0] 8 12" xfId="2606"/>
    <cellStyle name="쉼표 [0] 8 2" xfId="2607"/>
    <cellStyle name="쉼표 [0] 8 3" xfId="2608"/>
    <cellStyle name="쉼표 [0] 8 4" xfId="2609"/>
    <cellStyle name="쉼표 [0] 8 5" xfId="2610"/>
    <cellStyle name="쉼표 [0] 8 6" xfId="2611"/>
    <cellStyle name="쉼표 [0] 8 7" xfId="2612"/>
    <cellStyle name="쉼표 [0] 8 8" xfId="2613"/>
    <cellStyle name="쉼표 [0] 8 9" xfId="2614"/>
    <cellStyle name="쉼표 [0] 9" xfId="2615"/>
    <cellStyle name="쉼표 [0] 9 10" xfId="2616"/>
    <cellStyle name="쉼표 [0] 9 11" xfId="2617"/>
    <cellStyle name="쉼표 [0] 9 12" xfId="2618"/>
    <cellStyle name="쉼표 [0] 9 2" xfId="2619"/>
    <cellStyle name="쉼표 [0] 9 3" xfId="2620"/>
    <cellStyle name="쉼표 [0] 9 4" xfId="2621"/>
    <cellStyle name="쉼표 [0] 9 5" xfId="2622"/>
    <cellStyle name="쉼표 [0] 9 6" xfId="2623"/>
    <cellStyle name="쉼표 [0] 9 7" xfId="2624"/>
    <cellStyle name="쉼표 [0] 9 8" xfId="2625"/>
    <cellStyle name="쉼표 [0] 9 9" xfId="2626"/>
    <cellStyle name="스타일 1" xfId="2627"/>
    <cellStyle name="스타일 1 2" xfId="3147"/>
    <cellStyle name="스타일 10" xfId="3148"/>
    <cellStyle name="스타일 11" xfId="3149"/>
    <cellStyle name="스타일 12" xfId="3150"/>
    <cellStyle name="스타일 13" xfId="3151"/>
    <cellStyle name="스타일 14" xfId="3152"/>
    <cellStyle name="스타일 15" xfId="3153"/>
    <cellStyle name="스타일 16" xfId="3154"/>
    <cellStyle name="스타일 17" xfId="3155"/>
    <cellStyle name="스타일 18" xfId="3156"/>
    <cellStyle name="스타일 19" xfId="3157"/>
    <cellStyle name="스타일 2" xfId="3158"/>
    <cellStyle name="스타일 20" xfId="3159"/>
    <cellStyle name="스타일 21" xfId="3160"/>
    <cellStyle name="스타일 3" xfId="3161"/>
    <cellStyle name="스타일 4" xfId="3162"/>
    <cellStyle name="스타일 5" xfId="3163"/>
    <cellStyle name="스타일 6" xfId="3164"/>
    <cellStyle name="스타일 7" xfId="3165"/>
    <cellStyle name="스타일 8" xfId="3166"/>
    <cellStyle name="스타일 9" xfId="3167"/>
    <cellStyle name="연결된 셀 2" xfId="2628"/>
    <cellStyle name="요약 2" xfId="2629"/>
    <cellStyle name="입력 2" xfId="2630"/>
    <cellStyle name="제목 1 2" xfId="2631"/>
    <cellStyle name="제목 2 2" xfId="2632"/>
    <cellStyle name="제목 3 2" xfId="2633"/>
    <cellStyle name="제목 4 2" xfId="2634"/>
    <cellStyle name="제목 5" xfId="2635"/>
    <cellStyle name="좋음 2" xfId="2636"/>
    <cellStyle name="출력 2" xfId="2637"/>
    <cellStyle name="콤마 [0]_1" xfId="2638"/>
    <cellStyle name="콤마_1" xfId="2639"/>
    <cellStyle name="통화 [0]" xfId="7" builtinId="7"/>
    <cellStyle name="통화 [0] 10" xfId="2641"/>
    <cellStyle name="통화 [0] 11" xfId="2642"/>
    <cellStyle name="통화 [0] 12" xfId="3118"/>
    <cellStyle name="통화 [0] 12 2" xfId="2643"/>
    <cellStyle name="통화 [0] 13" xfId="3126"/>
    <cellStyle name="통화 [0] 14" xfId="3176"/>
    <cellStyle name="통화 [0] 15" xfId="3185"/>
    <cellStyle name="통화 [0] 16" xfId="3198"/>
    <cellStyle name="통화 [0] 17" xfId="3217"/>
    <cellStyle name="통화 [0] 17 2" xfId="3277"/>
    <cellStyle name="통화 [0] 17 2 2" xfId="3389"/>
    <cellStyle name="통화 [0] 17 2 2 2" xfId="3718"/>
    <cellStyle name="통화 [0] 17 2 3" xfId="3498"/>
    <cellStyle name="통화 [0] 17 2 3 2" xfId="3827"/>
    <cellStyle name="통화 [0] 17 2 4" xfId="3610"/>
    <cellStyle name="통화 [0] 17 3" xfId="3335"/>
    <cellStyle name="통화 [0] 17 3 2" xfId="3664"/>
    <cellStyle name="통화 [0] 17 4" xfId="3444"/>
    <cellStyle name="통화 [0] 17 4 2" xfId="3773"/>
    <cellStyle name="통화 [0] 17 5" xfId="3556"/>
    <cellStyle name="통화 [0] 18" xfId="3241"/>
    <cellStyle name="통화 [0] 19" xfId="3299"/>
    <cellStyle name="통화 [0] 2" xfId="2644"/>
    <cellStyle name="통화 [0] 2 10" xfId="2645"/>
    <cellStyle name="통화 [0] 2 10 2" xfId="2646"/>
    <cellStyle name="통화 [0] 2 10 3" xfId="2647"/>
    <cellStyle name="통화 [0] 2 11" xfId="2648"/>
    <cellStyle name="통화 [0] 2 11 2" xfId="2649"/>
    <cellStyle name="통화 [0] 2 11 3" xfId="2650"/>
    <cellStyle name="통화 [0] 2 12" xfId="2651"/>
    <cellStyle name="통화 [0] 2 12 2" xfId="2652"/>
    <cellStyle name="통화 [0] 2 12 3" xfId="2653"/>
    <cellStyle name="통화 [0] 2 13" xfId="2654"/>
    <cellStyle name="통화 [0] 2 13 2" xfId="2655"/>
    <cellStyle name="통화 [0] 2 13 3" xfId="2656"/>
    <cellStyle name="통화 [0] 2 14" xfId="2657"/>
    <cellStyle name="통화 [0] 2 14 2" xfId="2658"/>
    <cellStyle name="통화 [0] 2 14 3" xfId="2659"/>
    <cellStyle name="통화 [0] 2 15" xfId="2660"/>
    <cellStyle name="통화 [0] 2 15 2" xfId="2661"/>
    <cellStyle name="통화 [0] 2 15 3" xfId="2662"/>
    <cellStyle name="통화 [0] 2 16" xfId="2663"/>
    <cellStyle name="통화 [0] 2 17" xfId="2664"/>
    <cellStyle name="통화 [0] 2 18" xfId="2665"/>
    <cellStyle name="통화 [0] 2 19" xfId="2666"/>
    <cellStyle name="통화 [0] 2 2" xfId="2667"/>
    <cellStyle name="통화 [0] 2 2 10" xfId="2668"/>
    <cellStyle name="통화 [0] 2 2 2" xfId="2669"/>
    <cellStyle name="통화 [0] 2 2 2 2" xfId="2670"/>
    <cellStyle name="통화 [0] 2 2 2 2 2" xfId="2671"/>
    <cellStyle name="통화 [0] 2 2 2 2 2 2" xfId="2672"/>
    <cellStyle name="통화 [0] 2 2 2 2 2 2 2" xfId="2673"/>
    <cellStyle name="통화 [0] 2 2 2 2 2 2 2 2" xfId="2674"/>
    <cellStyle name="통화 [0] 2 2 2 2 2 2 2 2 2" xfId="2675"/>
    <cellStyle name="통화 [0] 2 2 2 2 2 2 2 2 2 2" xfId="2676"/>
    <cellStyle name="통화 [0] 2 2 2 2 2 2 2 2 2 2 2" xfId="2677"/>
    <cellStyle name="통화 [0] 2 2 2 2 2 2 2 2 2 2 2 2" xfId="2678"/>
    <cellStyle name="통화 [0] 2 2 2 2 2 2 2 2 2 2 2 2 2" xfId="2679"/>
    <cellStyle name="통화 [0] 2 2 2 2 2 2 2 2 2 2 3" xfId="2680"/>
    <cellStyle name="통화 [0] 2 2 2 2 2 2 2 2 2 3" xfId="2681"/>
    <cellStyle name="통화 [0] 2 2 2 2 2 2 2 2 3" xfId="2682"/>
    <cellStyle name="통화 [0] 2 2 2 2 2 2 2 2 4" xfId="2683"/>
    <cellStyle name="통화 [0] 2 2 2 2 2 2 2 3" xfId="2684"/>
    <cellStyle name="통화 [0] 2 2 2 2 2 2 2 3 2" xfId="2685"/>
    <cellStyle name="통화 [0] 2 2 2 2 2 2 2 4" xfId="2686"/>
    <cellStyle name="통화 [0] 2 2 2 2 2 2 3" xfId="2687"/>
    <cellStyle name="통화 [0] 2 2 2 2 2 2 4" xfId="2688"/>
    <cellStyle name="통화 [0] 2 2 2 2 2 2 5" xfId="2689"/>
    <cellStyle name="통화 [0] 2 2 2 2 2 3" xfId="2690"/>
    <cellStyle name="통화 [0] 2 2 2 2 2 3 2" xfId="2691"/>
    <cellStyle name="통화 [0] 2 2 2 2 2 4" xfId="2692"/>
    <cellStyle name="통화 [0] 2 2 2 2 2 4 2" xfId="2693"/>
    <cellStyle name="통화 [0] 2 2 2 2 2 5" xfId="2694"/>
    <cellStyle name="통화 [0] 2 2 2 2 3" xfId="2695"/>
    <cellStyle name="통화 [0] 2 2 2 2 4" xfId="2696"/>
    <cellStyle name="통화 [0] 2 2 2 2 5" xfId="2697"/>
    <cellStyle name="통화 [0] 2 2 2 2 6" xfId="2698"/>
    <cellStyle name="통화 [0] 2 2 2 3" xfId="2699"/>
    <cellStyle name="통화 [0] 2 2 2 4" xfId="2700"/>
    <cellStyle name="통화 [0] 2 2 2 5" xfId="2701"/>
    <cellStyle name="통화 [0] 2 2 2 6" xfId="2702"/>
    <cellStyle name="통화 [0] 2 2 3" xfId="2703"/>
    <cellStyle name="통화 [0] 2 2 4" xfId="2704"/>
    <cellStyle name="통화 [0] 2 2 5" xfId="2705"/>
    <cellStyle name="통화 [0] 2 2 5 2" xfId="2706"/>
    <cellStyle name="통화 [0] 2 2 5 3" xfId="2707"/>
    <cellStyle name="통화 [0] 2 2 5 3 2" xfId="2708"/>
    <cellStyle name="통화 [0] 2 2 5 4" xfId="2709"/>
    <cellStyle name="통화 [0] 2 2 6" xfId="2710"/>
    <cellStyle name="통화 [0] 2 2 6 2" xfId="2711"/>
    <cellStyle name="통화 [0] 2 2 6 2 2" xfId="2712"/>
    <cellStyle name="통화 [0] 2 2 7" xfId="2713"/>
    <cellStyle name="통화 [0] 2 2 8" xfId="2714"/>
    <cellStyle name="통화 [0] 2 2 9" xfId="2715"/>
    <cellStyle name="통화 [0] 2 20" xfId="2716"/>
    <cellStyle name="통화 [0] 2 21" xfId="2717"/>
    <cellStyle name="통화 [0] 2 22" xfId="2718"/>
    <cellStyle name="통화 [0] 2 23" xfId="2719"/>
    <cellStyle name="통화 [0] 2 24" xfId="2720"/>
    <cellStyle name="통화 [0] 2 25" xfId="2721"/>
    <cellStyle name="통화 [0] 2 26" xfId="2722"/>
    <cellStyle name="통화 [0] 2 27" xfId="2723"/>
    <cellStyle name="통화 [0] 2 28" xfId="2724"/>
    <cellStyle name="통화 [0] 2 28 2" xfId="2725"/>
    <cellStyle name="통화 [0] 2 3" xfId="2726"/>
    <cellStyle name="통화 [0] 2 3 2" xfId="2727"/>
    <cellStyle name="통화 [0] 2 3 2 2" xfId="2728"/>
    <cellStyle name="통화 [0] 2 3 2 2 2" xfId="2729"/>
    <cellStyle name="통화 [0] 2 3 2 3" xfId="2730"/>
    <cellStyle name="통화 [0] 2 3 3" xfId="2731"/>
    <cellStyle name="통화 [0] 2 3 4" xfId="2732"/>
    <cellStyle name="통화 [0] 2 3 5" xfId="2733"/>
    <cellStyle name="통화 [0] 2 3 6" xfId="2734"/>
    <cellStyle name="통화 [0] 2 3 7" xfId="2735"/>
    <cellStyle name="통화 [0] 2 4" xfId="2736"/>
    <cellStyle name="통화 [0] 2 4 2" xfId="2737"/>
    <cellStyle name="통화 [0] 2 4 2 2" xfId="2738"/>
    <cellStyle name="통화 [0] 2 4 2 2 2" xfId="2739"/>
    <cellStyle name="통화 [0] 2 4 2 3" xfId="2740"/>
    <cellStyle name="통화 [0] 2 4 3" xfId="2741"/>
    <cellStyle name="통화 [0] 2 4 4" xfId="2742"/>
    <cellStyle name="통화 [0] 2 4 5" xfId="2743"/>
    <cellStyle name="통화 [0] 2 4 6" xfId="2744"/>
    <cellStyle name="통화 [0] 2 4 7" xfId="2745"/>
    <cellStyle name="통화 [0] 2 5" xfId="2746"/>
    <cellStyle name="통화 [0] 2 6" xfId="2747"/>
    <cellStyle name="통화 [0] 2 6 2" xfId="2748"/>
    <cellStyle name="통화 [0] 2 6 2 2" xfId="2749"/>
    <cellStyle name="통화 [0] 2 6 2 2 2" xfId="2750"/>
    <cellStyle name="통화 [0] 2 6 2 3" xfId="2751"/>
    <cellStyle name="통화 [0] 2 6 3" xfId="2752"/>
    <cellStyle name="통화 [0] 2 6 4" xfId="2753"/>
    <cellStyle name="통화 [0] 2 6 5" xfId="2754"/>
    <cellStyle name="통화 [0] 2 6 6" xfId="2755"/>
    <cellStyle name="통화 [0] 2 6 7" xfId="2756"/>
    <cellStyle name="통화 [0] 2 7" xfId="2757"/>
    <cellStyle name="통화 [0] 2 7 2" xfId="2758"/>
    <cellStyle name="통화 [0] 2 7 3" xfId="2759"/>
    <cellStyle name="통화 [0] 2 8" xfId="2760"/>
    <cellStyle name="통화 [0] 2 8 2" xfId="2761"/>
    <cellStyle name="통화 [0] 2 8 3" xfId="2762"/>
    <cellStyle name="통화 [0] 2 9" xfId="2763"/>
    <cellStyle name="통화 [0] 2 9 2" xfId="2764"/>
    <cellStyle name="통화 [0] 2 9 3" xfId="2765"/>
    <cellStyle name="통화 [0] 20" xfId="3520"/>
    <cellStyle name="통화 [0] 21" xfId="2640"/>
    <cellStyle name="통화 [0] 3" xfId="2766"/>
    <cellStyle name="통화 [0] 3 10" xfId="2767"/>
    <cellStyle name="통화 [0] 3 11" xfId="2768"/>
    <cellStyle name="통화 [0] 3 12" xfId="2769"/>
    <cellStyle name="통화 [0] 3 2" xfId="2770"/>
    <cellStyle name="통화 [0] 3 3" xfId="2771"/>
    <cellStyle name="통화 [0] 3 4" xfId="2772"/>
    <cellStyle name="통화 [0] 3 5" xfId="2773"/>
    <cellStyle name="통화 [0] 3 6" xfId="2774"/>
    <cellStyle name="통화 [0] 3 7" xfId="2775"/>
    <cellStyle name="통화 [0] 3 8" xfId="2776"/>
    <cellStyle name="통화 [0] 3 9" xfId="2777"/>
    <cellStyle name="통화 [0] 33" xfId="2778"/>
    <cellStyle name="통화 [0] 33 2" xfId="2779"/>
    <cellStyle name="통화 [0] 4" xfId="2780"/>
    <cellStyle name="통화 [0] 4 10" xfId="2781"/>
    <cellStyle name="통화 [0] 4 11" xfId="2782"/>
    <cellStyle name="통화 [0] 4 12" xfId="2783"/>
    <cellStyle name="통화 [0] 4 2" xfId="2784"/>
    <cellStyle name="통화 [0] 4 3" xfId="2785"/>
    <cellStyle name="통화 [0] 4 4" xfId="2786"/>
    <cellStyle name="통화 [0] 4 5" xfId="2787"/>
    <cellStyle name="통화 [0] 4 6" xfId="2788"/>
    <cellStyle name="통화 [0] 4 7" xfId="2789"/>
    <cellStyle name="통화 [0] 4 8" xfId="2790"/>
    <cellStyle name="통화 [0] 4 9" xfId="2791"/>
    <cellStyle name="통화 [0] 5" xfId="2792"/>
    <cellStyle name="통화 [0] 5 10" xfId="2793"/>
    <cellStyle name="통화 [0] 5 11" xfId="2794"/>
    <cellStyle name="통화 [0] 5 12" xfId="2795"/>
    <cellStyle name="통화 [0] 5 2" xfId="2796"/>
    <cellStyle name="통화 [0] 5 3" xfId="2797"/>
    <cellStyle name="통화 [0] 5 4" xfId="2798"/>
    <cellStyle name="통화 [0] 5 5" xfId="2799"/>
    <cellStyle name="통화 [0] 5 6" xfId="2800"/>
    <cellStyle name="통화 [0] 5 7" xfId="2801"/>
    <cellStyle name="통화 [0] 5 8" xfId="2802"/>
    <cellStyle name="통화 [0] 5 9" xfId="2803"/>
    <cellStyle name="통화 [0] 6" xfId="2804"/>
    <cellStyle name="통화 [0] 6 10" xfId="2805"/>
    <cellStyle name="통화 [0] 6 11" xfId="2806"/>
    <cellStyle name="통화 [0] 6 12" xfId="2807"/>
    <cellStyle name="통화 [0] 6 2" xfId="2808"/>
    <cellStyle name="통화 [0] 6 3" xfId="2809"/>
    <cellStyle name="통화 [0] 6 4" xfId="2810"/>
    <cellStyle name="통화 [0] 6 5" xfId="2811"/>
    <cellStyle name="통화 [0] 6 6" xfId="2812"/>
    <cellStyle name="통화 [0] 6 7" xfId="2813"/>
    <cellStyle name="통화 [0] 6 8" xfId="2814"/>
    <cellStyle name="통화 [0] 6 9" xfId="2815"/>
    <cellStyle name="통화 [0] 7" xfId="2816"/>
    <cellStyle name="통화 [0] 7 10" xfId="2817"/>
    <cellStyle name="통화 [0] 7 11" xfId="2818"/>
    <cellStyle name="통화 [0] 7 12" xfId="2819"/>
    <cellStyle name="통화 [0] 7 2" xfId="2820"/>
    <cellStyle name="통화 [0] 7 3" xfId="2821"/>
    <cellStyle name="통화 [0] 7 4" xfId="2822"/>
    <cellStyle name="통화 [0] 7 5" xfId="2823"/>
    <cellStyle name="통화 [0] 7 6" xfId="2824"/>
    <cellStyle name="통화 [0] 7 7" xfId="2825"/>
    <cellStyle name="통화 [0] 7 8" xfId="2826"/>
    <cellStyle name="통화 [0] 7 9" xfId="2827"/>
    <cellStyle name="통화 [0] 8" xfId="2828"/>
    <cellStyle name="통화 [0] 8 10" xfId="2829"/>
    <cellStyle name="통화 [0] 8 11" xfId="2830"/>
    <cellStyle name="통화 [0] 8 12" xfId="2831"/>
    <cellStyle name="통화 [0] 8 2" xfId="2832"/>
    <cellStyle name="통화 [0] 8 3" xfId="2833"/>
    <cellStyle name="통화 [0] 8 4" xfId="2834"/>
    <cellStyle name="통화 [0] 8 5" xfId="2835"/>
    <cellStyle name="통화 [0] 8 6" xfId="2836"/>
    <cellStyle name="통화 [0] 8 7" xfId="2837"/>
    <cellStyle name="통화 [0] 8 8" xfId="2838"/>
    <cellStyle name="통화 [0] 8 9" xfId="2839"/>
    <cellStyle name="통화 [0] 9" xfId="2840"/>
    <cellStyle name="표준" xfId="0" builtinId="0"/>
    <cellStyle name="표준 10" xfId="2841"/>
    <cellStyle name="표준 10 2" xfId="2842"/>
    <cellStyle name="표준 10 3" xfId="2843"/>
    <cellStyle name="표준 10 4" xfId="2844"/>
    <cellStyle name="표준 10 5" xfId="2845"/>
    <cellStyle name="표준 11" xfId="2846"/>
    <cellStyle name="표준 11 2" xfId="2847"/>
    <cellStyle name="표준 11 3" xfId="2848"/>
    <cellStyle name="표준 11 4" xfId="2849"/>
    <cellStyle name="표준 11 5" xfId="2850"/>
    <cellStyle name="표준 11 6" xfId="2851"/>
    <cellStyle name="표준 11 7" xfId="2852"/>
    <cellStyle name="표준 11 8" xfId="2853"/>
    <cellStyle name="표준 12" xfId="3119"/>
    <cellStyle name="표준 12 2" xfId="2854"/>
    <cellStyle name="표준 12 3" xfId="2855"/>
    <cellStyle name="표준 12 4" xfId="2856"/>
    <cellStyle name="표준 12 5" xfId="2857"/>
    <cellStyle name="표준 13" xfId="2858"/>
    <cellStyle name="표준 13 10" xfId="2859"/>
    <cellStyle name="표준 13 11" xfId="2860"/>
    <cellStyle name="표준 13 12" xfId="2861"/>
    <cellStyle name="표준 13 13" xfId="2862"/>
    <cellStyle name="표준 13 2" xfId="2863"/>
    <cellStyle name="표준 13 3" xfId="2864"/>
    <cellStyle name="표준 13 4" xfId="2865"/>
    <cellStyle name="표준 13 5" xfId="2866"/>
    <cellStyle name="표준 13 6" xfId="2867"/>
    <cellStyle name="표준 13 7" xfId="2868"/>
    <cellStyle name="표준 13 8" xfId="2869"/>
    <cellStyle name="표준 13 9" xfId="2870"/>
    <cellStyle name="표준 14" xfId="2871"/>
    <cellStyle name="標準 14" xfId="2872"/>
    <cellStyle name="표준 14 10" xfId="2873"/>
    <cellStyle name="표준 14 11" xfId="2874"/>
    <cellStyle name="표준 14 12" xfId="2875"/>
    <cellStyle name="표준 14 2" xfId="2876"/>
    <cellStyle name="표준 14 3" xfId="2877"/>
    <cellStyle name="표준 14 4" xfId="2878"/>
    <cellStyle name="표준 14 5" xfId="2879"/>
    <cellStyle name="표준 14 6" xfId="2880"/>
    <cellStyle name="표준 14 7" xfId="2881"/>
    <cellStyle name="표준 14 8" xfId="2882"/>
    <cellStyle name="표준 14 9" xfId="2883"/>
    <cellStyle name="표준 15" xfId="2884"/>
    <cellStyle name="표준 15 10" xfId="2885"/>
    <cellStyle name="표준 15 11" xfId="2886"/>
    <cellStyle name="표준 15 12" xfId="2887"/>
    <cellStyle name="표준 15 13" xfId="2888"/>
    <cellStyle name="표준 15 2" xfId="2889"/>
    <cellStyle name="표준 15 3" xfId="2890"/>
    <cellStyle name="표준 15 4" xfId="2891"/>
    <cellStyle name="표준 15 5" xfId="2892"/>
    <cellStyle name="표준 15 6" xfId="2893"/>
    <cellStyle name="표준 15 7" xfId="2894"/>
    <cellStyle name="표준 15 8" xfId="2895"/>
    <cellStyle name="표준 15 9" xfId="2896"/>
    <cellStyle name="표준 16" xfId="2897"/>
    <cellStyle name="표준 16 10" xfId="2898"/>
    <cellStyle name="표준 16 11" xfId="2899"/>
    <cellStyle name="표준 16 12" xfId="2900"/>
    <cellStyle name="표준 16 13" xfId="2901"/>
    <cellStyle name="표준 16 2" xfId="2902"/>
    <cellStyle name="표준 16 3" xfId="2903"/>
    <cellStyle name="표준 16 4" xfId="2904"/>
    <cellStyle name="표준 16 5" xfId="2905"/>
    <cellStyle name="표준 16 6" xfId="2906"/>
    <cellStyle name="표준 16 7" xfId="2907"/>
    <cellStyle name="표준 16 8" xfId="2908"/>
    <cellStyle name="표준 16 9" xfId="2909"/>
    <cellStyle name="표준 17" xfId="2910"/>
    <cellStyle name="표준 18" xfId="2911"/>
    <cellStyle name="표준 19" xfId="2912"/>
    <cellStyle name="표준 19 2" xfId="2913"/>
    <cellStyle name="표준 19 3" xfId="2914"/>
    <cellStyle name="표준 19 4" xfId="2915"/>
    <cellStyle name="표준 2" xfId="2"/>
    <cellStyle name="표준 2 10" xfId="2917"/>
    <cellStyle name="표준 2 11" xfId="2918"/>
    <cellStyle name="표준 2 12" xfId="2919"/>
    <cellStyle name="표준 2 13" xfId="2920"/>
    <cellStyle name="표준 2 14" xfId="2921"/>
    <cellStyle name="표준 2 15" xfId="2922"/>
    <cellStyle name="표준 2 16" xfId="2923"/>
    <cellStyle name="표준 2 17" xfId="2924"/>
    <cellStyle name="표준 2 18" xfId="2925"/>
    <cellStyle name="표준 2 19" xfId="2926"/>
    <cellStyle name="표준 2 2" xfId="2927"/>
    <cellStyle name="표준 2 2 2" xfId="2928"/>
    <cellStyle name="표준 2 2 2 2" xfId="2929"/>
    <cellStyle name="표준 2 2 2 2 2" xfId="2930"/>
    <cellStyle name="표준 2 2 2 2 2 2" xfId="2931"/>
    <cellStyle name="표준 2 2 2 2 2 2 2" xfId="2932"/>
    <cellStyle name="표준 2 2 2 2 2 2 2 2" xfId="2933"/>
    <cellStyle name="표준 2 2 2 2 2 2 2 2 2" xfId="2934"/>
    <cellStyle name="표준 2 2 2 2 2 2 2 2 2 2" xfId="2935"/>
    <cellStyle name="표준 2 2 2 2 2 2 2 2 2 2 2" xfId="2936"/>
    <cellStyle name="표준 2 2 2 2 2 2 2 2 2 2 2 2" xfId="2937"/>
    <cellStyle name="표준 2 2 2 2 2 2 2 2 2 2 2 2 2" xfId="2938"/>
    <cellStyle name="표준 2 2 2 2 2 2 2 2 2 2 3" xfId="2939"/>
    <cellStyle name="표준 2 2 2 2 2 2 2 2 2 3" xfId="2940"/>
    <cellStyle name="표준 2 2 2 2 2 2 2 2 3" xfId="2941"/>
    <cellStyle name="표준 2 2 2 2 2 2 2 2 4" xfId="2942"/>
    <cellStyle name="표준 2 2 2 2 2 2 2 3" xfId="2943"/>
    <cellStyle name="표준 2 2 2 2 2 2 2 4" xfId="2944"/>
    <cellStyle name="표준 2 2 2 2 2 2 3" xfId="2945"/>
    <cellStyle name="표준 2 2 2 2 2 2 4" xfId="2946"/>
    <cellStyle name="표준 2 2 2 2 2 2 5" xfId="2947"/>
    <cellStyle name="표준 2 2 2 2 2 3" xfId="2948"/>
    <cellStyle name="표준 2 2 2 2 2 4" xfId="2949"/>
    <cellStyle name="표준 2 2 2 2 2 5" xfId="2950"/>
    <cellStyle name="표준 2 2 2 2 3" xfId="2951"/>
    <cellStyle name="표준 2 2 2 2 4" xfId="2952"/>
    <cellStyle name="표준 2 2 2 2 5" xfId="2953"/>
    <cellStyle name="표준 2 2 2 2 6" xfId="2954"/>
    <cellStyle name="표준 2 2 2 3" xfId="2955"/>
    <cellStyle name="표준 2 2 2 4" xfId="2956"/>
    <cellStyle name="표준 2 2 2 5" xfId="2957"/>
    <cellStyle name="표준 2 2 2 6" xfId="2958"/>
    <cellStyle name="표준 2 2 3" xfId="2959"/>
    <cellStyle name="표준 2 2 4" xfId="2960"/>
    <cellStyle name="표준 2 2 5" xfId="2961"/>
    <cellStyle name="표준 2 2 6" xfId="2962"/>
    <cellStyle name="표준 2 2 7" xfId="2963"/>
    <cellStyle name="표준 2 20" xfId="2964"/>
    <cellStyle name="표준 2 21" xfId="2965"/>
    <cellStyle name="표준 2 22" xfId="2966"/>
    <cellStyle name="표준 2 23" xfId="2967"/>
    <cellStyle name="표준 2 24" xfId="2968"/>
    <cellStyle name="표준 2 25" xfId="2969"/>
    <cellStyle name="표준 2 26" xfId="2970"/>
    <cellStyle name="표준 2 26 2" xfId="2971"/>
    <cellStyle name="표준 2 27" xfId="2972"/>
    <cellStyle name="표준 2 28" xfId="2916"/>
    <cellStyle name="표준 2 3" xfId="2973"/>
    <cellStyle name="표준 2 4" xfId="2974"/>
    <cellStyle name="표준 2 5" xfId="2975"/>
    <cellStyle name="표준 2 6" xfId="2976"/>
    <cellStyle name="표준 2 7" xfId="2977"/>
    <cellStyle name="표준 2 8" xfId="2978"/>
    <cellStyle name="표준 2 8 10" xfId="2979"/>
    <cellStyle name="표준 2 8 11" xfId="2980"/>
    <cellStyle name="표준 2 8 12" xfId="2981"/>
    <cellStyle name="표준 2 8 13" xfId="2982"/>
    <cellStyle name="표준 2 8 13 2" xfId="2983"/>
    <cellStyle name="표준 2 8 14" xfId="2984"/>
    <cellStyle name="표준 2 8 15" xfId="2985"/>
    <cellStyle name="표준 2 8 16" xfId="2986"/>
    <cellStyle name="표준 2 8 17" xfId="2987"/>
    <cellStyle name="표준 2 8 18" xfId="2988"/>
    <cellStyle name="표준 2 8 19" xfId="2989"/>
    <cellStyle name="표준 2 8 2" xfId="2990"/>
    <cellStyle name="표준 2 8 2 10" xfId="2991"/>
    <cellStyle name="표준 2 8 2 11" xfId="2992"/>
    <cellStyle name="표준 2 8 2 12" xfId="2993"/>
    <cellStyle name="표준 2 8 2 2" xfId="2994"/>
    <cellStyle name="표준 2 8 2 2 2" xfId="2995"/>
    <cellStyle name="표준 2 8 2 3" xfId="2996"/>
    <cellStyle name="표준 2 8 2 4" xfId="2997"/>
    <cellStyle name="표준 2 8 2 5" xfId="2998"/>
    <cellStyle name="표준 2 8 2 6" xfId="2999"/>
    <cellStyle name="표준 2 8 2 7" xfId="3000"/>
    <cellStyle name="표준 2 8 2 8" xfId="3001"/>
    <cellStyle name="표준 2 8 2 9" xfId="3002"/>
    <cellStyle name="표준 2 8 20" xfId="3003"/>
    <cellStyle name="표준 2 8 21" xfId="3004"/>
    <cellStyle name="표준 2 8 22" xfId="3005"/>
    <cellStyle name="표준 2 8 3" xfId="3006"/>
    <cellStyle name="표준 2 8 4" xfId="3007"/>
    <cellStyle name="표준 2 8 5" xfId="3008"/>
    <cellStyle name="표준 2 8 6" xfId="3009"/>
    <cellStyle name="표준 2 8 7" xfId="3010"/>
    <cellStyle name="표준 2 8 8" xfId="3011"/>
    <cellStyle name="표준 2 8 9" xfId="3012"/>
    <cellStyle name="표준 2 9" xfId="3013"/>
    <cellStyle name="표준 2 9 2" xfId="3014"/>
    <cellStyle name="표준 2 9 2 2" xfId="3015"/>
    <cellStyle name="표준 2 9 2 3" xfId="3016"/>
    <cellStyle name="표준 2 9 2 4" xfId="3017"/>
    <cellStyle name="표준 2 9 3" xfId="3018"/>
    <cellStyle name="표준 2 9 4" xfId="3019"/>
    <cellStyle name="표준 20" xfId="3020"/>
    <cellStyle name="표준 20 2" xfId="3168"/>
    <cellStyle name="표준 21" xfId="3021"/>
    <cellStyle name="표준 21 2" xfId="3022"/>
    <cellStyle name="표준 21 3" xfId="3023"/>
    <cellStyle name="표준 21 4" xfId="3024"/>
    <cellStyle name="표준 21 5" xfId="3169"/>
    <cellStyle name="표준 22" xfId="3112"/>
    <cellStyle name="표준 22 2" xfId="3178"/>
    <cellStyle name="표준 22 2 2" xfId="3192"/>
    <cellStyle name="표준 22 2 2 2" xfId="3213"/>
    <cellStyle name="표준 22 2 2 2 2" xfId="3273"/>
    <cellStyle name="표준 22 2 2 2 2 2" xfId="3385"/>
    <cellStyle name="표준 22 2 2 2 2 2 2" xfId="3714"/>
    <cellStyle name="표준 22 2 2 2 2 3" xfId="3494"/>
    <cellStyle name="표준 22 2 2 2 2 3 2" xfId="3823"/>
    <cellStyle name="표준 22 2 2 2 2 4" xfId="3606"/>
    <cellStyle name="표준 22 2 2 2 3" xfId="3331"/>
    <cellStyle name="표준 22 2 2 2 3 2" xfId="3660"/>
    <cellStyle name="표준 22 2 2 2 4" xfId="3440"/>
    <cellStyle name="표준 22 2 2 2 4 2" xfId="3769"/>
    <cellStyle name="표준 22 2 2 2 5" xfId="3552"/>
    <cellStyle name="표준 22 2 2 3" xfId="3235"/>
    <cellStyle name="표준 22 2 2 3 2" xfId="3293"/>
    <cellStyle name="표준 22 2 2 3 2 2" xfId="3405"/>
    <cellStyle name="표준 22 2 2 3 2 2 2" xfId="3734"/>
    <cellStyle name="표준 22 2 2 3 2 3" xfId="3514"/>
    <cellStyle name="표준 22 2 2 3 2 3 2" xfId="3843"/>
    <cellStyle name="표준 22 2 2 3 2 4" xfId="3626"/>
    <cellStyle name="표준 22 2 2 3 3" xfId="3351"/>
    <cellStyle name="표준 22 2 2 3 3 2" xfId="3680"/>
    <cellStyle name="표준 22 2 2 3 4" xfId="3460"/>
    <cellStyle name="표준 22 2 2 3 4 2" xfId="3789"/>
    <cellStyle name="표준 22 2 2 3 5" xfId="3572"/>
    <cellStyle name="표준 22 2 2 4" xfId="3256"/>
    <cellStyle name="표준 22 2 2 4 2" xfId="3368"/>
    <cellStyle name="표준 22 2 2 4 2 2" xfId="3697"/>
    <cellStyle name="표준 22 2 2 4 3" xfId="3477"/>
    <cellStyle name="표준 22 2 2 4 3 2" xfId="3806"/>
    <cellStyle name="표준 22 2 2 4 4" xfId="3589"/>
    <cellStyle name="표준 22 2 2 5" xfId="3314"/>
    <cellStyle name="표준 22 2 2 5 2" xfId="3643"/>
    <cellStyle name="표준 22 2 2 6" xfId="3423"/>
    <cellStyle name="표준 22 2 2 6 2" xfId="3752"/>
    <cellStyle name="표준 22 2 2 7" xfId="3535"/>
    <cellStyle name="표준 22 2 3" xfId="3203"/>
    <cellStyle name="표준 22 2 3 2" xfId="3263"/>
    <cellStyle name="표준 22 2 3 2 2" xfId="3375"/>
    <cellStyle name="표준 22 2 3 2 2 2" xfId="3704"/>
    <cellStyle name="표준 22 2 3 2 3" xfId="3484"/>
    <cellStyle name="표준 22 2 3 2 3 2" xfId="3813"/>
    <cellStyle name="표준 22 2 3 2 4" xfId="3596"/>
    <cellStyle name="표준 22 2 3 3" xfId="3321"/>
    <cellStyle name="표준 22 2 3 3 2" xfId="3650"/>
    <cellStyle name="표준 22 2 3 4" xfId="3430"/>
    <cellStyle name="표준 22 2 3 4 2" xfId="3759"/>
    <cellStyle name="표준 22 2 3 5" xfId="3542"/>
    <cellStyle name="표준 22 2 4" xfId="3225"/>
    <cellStyle name="표준 22 2 4 2" xfId="3283"/>
    <cellStyle name="표준 22 2 4 2 2" xfId="3395"/>
    <cellStyle name="표준 22 2 4 2 2 2" xfId="3724"/>
    <cellStyle name="표준 22 2 4 2 3" xfId="3504"/>
    <cellStyle name="표준 22 2 4 2 3 2" xfId="3833"/>
    <cellStyle name="표준 22 2 4 2 4" xfId="3616"/>
    <cellStyle name="표준 22 2 4 3" xfId="3341"/>
    <cellStyle name="표준 22 2 4 3 2" xfId="3670"/>
    <cellStyle name="표준 22 2 4 4" xfId="3450"/>
    <cellStyle name="표준 22 2 4 4 2" xfId="3779"/>
    <cellStyle name="표준 22 2 4 5" xfId="3562"/>
    <cellStyle name="표준 22 2 5" xfId="3246"/>
    <cellStyle name="표준 22 2 5 2" xfId="3358"/>
    <cellStyle name="표준 22 2 5 2 2" xfId="3687"/>
    <cellStyle name="표준 22 2 5 3" xfId="3467"/>
    <cellStyle name="표준 22 2 5 3 2" xfId="3796"/>
    <cellStyle name="표준 22 2 5 4" xfId="3579"/>
    <cellStyle name="표준 22 2 6" xfId="3304"/>
    <cellStyle name="표준 22 2 6 2" xfId="3633"/>
    <cellStyle name="표준 22 2 7" xfId="3413"/>
    <cellStyle name="표준 22 2 7 2" xfId="3742"/>
    <cellStyle name="표준 22 2 8" xfId="3525"/>
    <cellStyle name="표준 22 3" xfId="3188"/>
    <cellStyle name="표준 22 3 2" xfId="3209"/>
    <cellStyle name="표준 22 3 2 2" xfId="3269"/>
    <cellStyle name="표준 22 3 2 2 2" xfId="3381"/>
    <cellStyle name="표준 22 3 2 2 2 2" xfId="3710"/>
    <cellStyle name="표준 22 3 2 2 3" xfId="3490"/>
    <cellStyle name="표준 22 3 2 2 3 2" xfId="3819"/>
    <cellStyle name="표준 22 3 2 2 4" xfId="3602"/>
    <cellStyle name="표준 22 3 2 3" xfId="3327"/>
    <cellStyle name="표준 22 3 2 3 2" xfId="3656"/>
    <cellStyle name="표준 22 3 2 4" xfId="3436"/>
    <cellStyle name="표준 22 3 2 4 2" xfId="3765"/>
    <cellStyle name="표준 22 3 2 5" xfId="3548"/>
    <cellStyle name="표준 22 3 3" xfId="3231"/>
    <cellStyle name="표준 22 3 3 2" xfId="3289"/>
    <cellStyle name="표준 22 3 3 2 2" xfId="3401"/>
    <cellStyle name="표준 22 3 3 2 2 2" xfId="3730"/>
    <cellStyle name="표준 22 3 3 2 3" xfId="3510"/>
    <cellStyle name="표준 22 3 3 2 3 2" xfId="3839"/>
    <cellStyle name="표준 22 3 3 2 4" xfId="3622"/>
    <cellStyle name="표준 22 3 3 3" xfId="3347"/>
    <cellStyle name="표준 22 3 3 3 2" xfId="3676"/>
    <cellStyle name="표준 22 3 3 4" xfId="3456"/>
    <cellStyle name="표준 22 3 3 4 2" xfId="3785"/>
    <cellStyle name="표준 22 3 3 5" xfId="3568"/>
    <cellStyle name="표준 22 3 4" xfId="3252"/>
    <cellStyle name="표준 22 3 4 2" xfId="3364"/>
    <cellStyle name="표준 22 3 4 2 2" xfId="3693"/>
    <cellStyle name="표준 22 3 4 3" xfId="3473"/>
    <cellStyle name="표준 22 3 4 3 2" xfId="3802"/>
    <cellStyle name="표준 22 3 4 4" xfId="3585"/>
    <cellStyle name="표준 22 3 5" xfId="3310"/>
    <cellStyle name="표준 22 3 5 2" xfId="3639"/>
    <cellStyle name="표준 22 3 6" xfId="3419"/>
    <cellStyle name="표준 22 3 6 2" xfId="3748"/>
    <cellStyle name="표준 22 3 7" xfId="3531"/>
    <cellStyle name="표준 22 4" xfId="3199"/>
    <cellStyle name="표준 22 4 2" xfId="3259"/>
    <cellStyle name="표준 22 4 2 2" xfId="3371"/>
    <cellStyle name="표준 22 4 2 2 2" xfId="3700"/>
    <cellStyle name="표준 22 4 2 3" xfId="3480"/>
    <cellStyle name="표준 22 4 2 3 2" xfId="3809"/>
    <cellStyle name="표준 22 4 2 4" xfId="3592"/>
    <cellStyle name="표준 22 4 3" xfId="3317"/>
    <cellStyle name="표준 22 4 3 2" xfId="3646"/>
    <cellStyle name="표준 22 4 4" xfId="3426"/>
    <cellStyle name="표준 22 4 4 2" xfId="3755"/>
    <cellStyle name="표준 22 4 5" xfId="3538"/>
    <cellStyle name="표준 22 5" xfId="3221"/>
    <cellStyle name="표준 22 5 2" xfId="3279"/>
    <cellStyle name="표준 22 5 2 2" xfId="3391"/>
    <cellStyle name="표준 22 5 2 2 2" xfId="3720"/>
    <cellStyle name="표준 22 5 2 3" xfId="3500"/>
    <cellStyle name="표준 22 5 2 3 2" xfId="3829"/>
    <cellStyle name="표준 22 5 2 4" xfId="3612"/>
    <cellStyle name="표준 22 5 3" xfId="3337"/>
    <cellStyle name="표준 22 5 3 2" xfId="3666"/>
    <cellStyle name="표준 22 5 4" xfId="3446"/>
    <cellStyle name="표준 22 5 4 2" xfId="3775"/>
    <cellStyle name="표준 22 5 5" xfId="3558"/>
    <cellStyle name="표준 22 6" xfId="3242"/>
    <cellStyle name="표준 22 6 2" xfId="3354"/>
    <cellStyle name="표준 22 6 2 2" xfId="3683"/>
    <cellStyle name="표준 22 6 3" xfId="3463"/>
    <cellStyle name="표준 22 6 3 2" xfId="3792"/>
    <cellStyle name="표준 22 6 4" xfId="3575"/>
    <cellStyle name="표준 22 7" xfId="3300"/>
    <cellStyle name="표준 22 7 2" xfId="3629"/>
    <cellStyle name="표준 22 8" xfId="3409"/>
    <cellStyle name="표준 22 8 2" xfId="3738"/>
    <cellStyle name="표준 22 9" xfId="3521"/>
    <cellStyle name="표준 23" xfId="3025"/>
    <cellStyle name="표준 24" xfId="3026"/>
    <cellStyle name="표준 25" xfId="3027"/>
    <cellStyle name="표준 26" xfId="3028"/>
    <cellStyle name="표준 27" xfId="3029"/>
    <cellStyle name="표준 28" xfId="3030"/>
    <cellStyle name="표준 29" xfId="3031"/>
    <cellStyle name="표준 3" xfId="3032"/>
    <cellStyle name="표준 3 2" xfId="5"/>
    <cellStyle name="표준 3 3" xfId="3033"/>
    <cellStyle name="표준 3 4" xfId="3034"/>
    <cellStyle name="표준 3 5" xfId="3035"/>
    <cellStyle name="표준 3 6" xfId="3036"/>
    <cellStyle name="표준 3 7" xfId="3037"/>
    <cellStyle name="표준 3 8" xfId="3038"/>
    <cellStyle name="표준 3 9" xfId="3039"/>
    <cellStyle name="표준 30" xfId="3040"/>
    <cellStyle name="표준 30 10" xfId="3041"/>
    <cellStyle name="표준 30 11" xfId="3042"/>
    <cellStyle name="표준 30 12" xfId="3043"/>
    <cellStyle name="표준 30 2" xfId="3044"/>
    <cellStyle name="표준 30 3" xfId="3045"/>
    <cellStyle name="표준 30 4" xfId="3046"/>
    <cellStyle name="표준 30 5" xfId="3047"/>
    <cellStyle name="표준 30 6" xfId="3048"/>
    <cellStyle name="표준 30 7" xfId="3049"/>
    <cellStyle name="표준 30 8" xfId="3050"/>
    <cellStyle name="표준 30 9" xfId="3051"/>
    <cellStyle name="표준 31" xfId="3052"/>
    <cellStyle name="표준 32" xfId="3053"/>
    <cellStyle name="표준 33" xfId="3054"/>
    <cellStyle name="표준 34" xfId="3055"/>
    <cellStyle name="표준 35" xfId="3056"/>
    <cellStyle name="표준 36" xfId="3057"/>
    <cellStyle name="표준 37" xfId="3058"/>
    <cellStyle name="표준 38" xfId="3059"/>
    <cellStyle name="표준 39" xfId="3060"/>
    <cellStyle name="표준 4" xfId="3061"/>
    <cellStyle name="표준 4 2" xfId="6"/>
    <cellStyle name="표준 4 3" xfId="3062"/>
    <cellStyle name="표준 4 4" xfId="3063"/>
    <cellStyle name="표준 4 5" xfId="3064"/>
    <cellStyle name="표준 4 6" xfId="3065"/>
    <cellStyle name="표준 4 7" xfId="3066"/>
    <cellStyle name="표준 40" xfId="3067"/>
    <cellStyle name="표준 41" xfId="3120"/>
    <cellStyle name="표준 42" xfId="3122"/>
    <cellStyle name="표준 43" xfId="3068"/>
    <cellStyle name="표준 44" xfId="3069"/>
    <cellStyle name="표준 45" xfId="3070"/>
    <cellStyle name="표준 46" xfId="3123"/>
    <cellStyle name="표준 46 2" xfId="3179"/>
    <cellStyle name="표준 46 2 2" xfId="3193"/>
    <cellStyle name="표준 46 2 2 2" xfId="3214"/>
    <cellStyle name="표준 46 2 2 2 2" xfId="3274"/>
    <cellStyle name="표준 46 2 2 2 2 2" xfId="3386"/>
    <cellStyle name="표준 46 2 2 2 2 2 2" xfId="3715"/>
    <cellStyle name="표준 46 2 2 2 2 3" xfId="3495"/>
    <cellStyle name="표준 46 2 2 2 2 3 2" xfId="3824"/>
    <cellStyle name="표준 46 2 2 2 2 4" xfId="3607"/>
    <cellStyle name="표준 46 2 2 2 3" xfId="3332"/>
    <cellStyle name="표준 46 2 2 2 3 2" xfId="3661"/>
    <cellStyle name="표준 46 2 2 2 4" xfId="3441"/>
    <cellStyle name="표준 46 2 2 2 4 2" xfId="3770"/>
    <cellStyle name="표준 46 2 2 2 5" xfId="3553"/>
    <cellStyle name="표준 46 2 2 3" xfId="3236"/>
    <cellStyle name="표준 46 2 2 3 2" xfId="3294"/>
    <cellStyle name="표준 46 2 2 3 2 2" xfId="3406"/>
    <cellStyle name="표준 46 2 2 3 2 2 2" xfId="3735"/>
    <cellStyle name="표준 46 2 2 3 2 3" xfId="3515"/>
    <cellStyle name="표준 46 2 2 3 2 3 2" xfId="3844"/>
    <cellStyle name="표준 46 2 2 3 2 4" xfId="3627"/>
    <cellStyle name="표준 46 2 2 3 3" xfId="3352"/>
    <cellStyle name="표준 46 2 2 3 3 2" xfId="3681"/>
    <cellStyle name="표준 46 2 2 3 4" xfId="3461"/>
    <cellStyle name="표준 46 2 2 3 4 2" xfId="3790"/>
    <cellStyle name="표준 46 2 2 3 5" xfId="3573"/>
    <cellStyle name="표준 46 2 2 4" xfId="3257"/>
    <cellStyle name="표준 46 2 2 4 2" xfId="3369"/>
    <cellStyle name="표준 46 2 2 4 2 2" xfId="3698"/>
    <cellStyle name="표준 46 2 2 4 3" xfId="3478"/>
    <cellStyle name="표준 46 2 2 4 3 2" xfId="3807"/>
    <cellStyle name="표준 46 2 2 4 4" xfId="3590"/>
    <cellStyle name="표준 46 2 2 5" xfId="3315"/>
    <cellStyle name="표준 46 2 2 5 2" xfId="3644"/>
    <cellStyle name="표준 46 2 2 6" xfId="3424"/>
    <cellStyle name="표준 46 2 2 6 2" xfId="3753"/>
    <cellStyle name="표준 46 2 2 7" xfId="3536"/>
    <cellStyle name="표준 46 2 3" xfId="3204"/>
    <cellStyle name="표준 46 2 3 2" xfId="3264"/>
    <cellStyle name="표준 46 2 3 2 2" xfId="3376"/>
    <cellStyle name="표준 46 2 3 2 2 2" xfId="3705"/>
    <cellStyle name="표준 46 2 3 2 3" xfId="3485"/>
    <cellStyle name="표준 46 2 3 2 3 2" xfId="3814"/>
    <cellStyle name="표준 46 2 3 2 4" xfId="3597"/>
    <cellStyle name="표준 46 2 3 3" xfId="3322"/>
    <cellStyle name="표준 46 2 3 3 2" xfId="3651"/>
    <cellStyle name="표준 46 2 3 4" xfId="3431"/>
    <cellStyle name="표준 46 2 3 4 2" xfId="3760"/>
    <cellStyle name="표준 46 2 3 5" xfId="3543"/>
    <cellStyle name="표준 46 2 4" xfId="3226"/>
    <cellStyle name="표준 46 2 4 2" xfId="3284"/>
    <cellStyle name="표준 46 2 4 2 2" xfId="3396"/>
    <cellStyle name="표준 46 2 4 2 2 2" xfId="3725"/>
    <cellStyle name="표준 46 2 4 2 3" xfId="3505"/>
    <cellStyle name="표준 46 2 4 2 3 2" xfId="3834"/>
    <cellStyle name="표준 46 2 4 2 4" xfId="3617"/>
    <cellStyle name="표준 46 2 4 3" xfId="3342"/>
    <cellStyle name="표준 46 2 4 3 2" xfId="3671"/>
    <cellStyle name="표준 46 2 4 4" xfId="3451"/>
    <cellStyle name="표준 46 2 4 4 2" xfId="3780"/>
    <cellStyle name="표준 46 2 4 5" xfId="3563"/>
    <cellStyle name="표준 46 2 5" xfId="3247"/>
    <cellStyle name="표준 46 2 5 2" xfId="3359"/>
    <cellStyle name="표준 46 2 5 2 2" xfId="3688"/>
    <cellStyle name="표준 46 2 5 3" xfId="3468"/>
    <cellStyle name="표준 46 2 5 3 2" xfId="3797"/>
    <cellStyle name="표준 46 2 5 4" xfId="3580"/>
    <cellStyle name="표준 46 2 6" xfId="3305"/>
    <cellStyle name="표준 46 2 6 2" xfId="3634"/>
    <cellStyle name="표준 46 2 7" xfId="3414"/>
    <cellStyle name="표준 46 2 7 2" xfId="3743"/>
    <cellStyle name="표준 46 2 8" xfId="3526"/>
    <cellStyle name="표준 46 3" xfId="3189"/>
    <cellStyle name="표준 46 3 2" xfId="3210"/>
    <cellStyle name="표준 46 3 2 2" xfId="3270"/>
    <cellStyle name="표준 46 3 2 2 2" xfId="3382"/>
    <cellStyle name="표준 46 3 2 2 2 2" xfId="3711"/>
    <cellStyle name="표준 46 3 2 2 3" xfId="3491"/>
    <cellStyle name="표준 46 3 2 2 3 2" xfId="3820"/>
    <cellStyle name="표준 46 3 2 2 4" xfId="3603"/>
    <cellStyle name="표준 46 3 2 3" xfId="3328"/>
    <cellStyle name="표준 46 3 2 3 2" xfId="3657"/>
    <cellStyle name="표준 46 3 2 4" xfId="3437"/>
    <cellStyle name="표준 46 3 2 4 2" xfId="3766"/>
    <cellStyle name="표준 46 3 2 5" xfId="3549"/>
    <cellStyle name="표준 46 3 3" xfId="3232"/>
    <cellStyle name="표준 46 3 3 2" xfId="3290"/>
    <cellStyle name="표준 46 3 3 2 2" xfId="3402"/>
    <cellStyle name="표준 46 3 3 2 2 2" xfId="3731"/>
    <cellStyle name="표준 46 3 3 2 3" xfId="3511"/>
    <cellStyle name="표준 46 3 3 2 3 2" xfId="3840"/>
    <cellStyle name="표준 46 3 3 2 4" xfId="3623"/>
    <cellStyle name="표준 46 3 3 3" xfId="3348"/>
    <cellStyle name="표준 46 3 3 3 2" xfId="3677"/>
    <cellStyle name="표준 46 3 3 4" xfId="3457"/>
    <cellStyle name="표준 46 3 3 4 2" xfId="3786"/>
    <cellStyle name="표준 46 3 3 5" xfId="3569"/>
    <cellStyle name="표준 46 3 4" xfId="3253"/>
    <cellStyle name="표준 46 3 4 2" xfId="3365"/>
    <cellStyle name="표준 46 3 4 2 2" xfId="3694"/>
    <cellStyle name="표준 46 3 4 3" xfId="3474"/>
    <cellStyle name="표준 46 3 4 3 2" xfId="3803"/>
    <cellStyle name="표준 46 3 4 4" xfId="3586"/>
    <cellStyle name="표준 46 3 5" xfId="3311"/>
    <cellStyle name="표준 46 3 5 2" xfId="3640"/>
    <cellStyle name="표준 46 3 6" xfId="3420"/>
    <cellStyle name="표준 46 3 6 2" xfId="3749"/>
    <cellStyle name="표준 46 3 7" xfId="3532"/>
    <cellStyle name="표준 46 4" xfId="3200"/>
    <cellStyle name="표준 46 4 2" xfId="3260"/>
    <cellStyle name="표준 46 4 2 2" xfId="3372"/>
    <cellStyle name="표준 46 4 2 2 2" xfId="3701"/>
    <cellStyle name="표준 46 4 2 3" xfId="3481"/>
    <cellStyle name="표준 46 4 2 3 2" xfId="3810"/>
    <cellStyle name="표준 46 4 2 4" xfId="3593"/>
    <cellStyle name="표준 46 4 3" xfId="3318"/>
    <cellStyle name="표준 46 4 3 2" xfId="3647"/>
    <cellStyle name="표준 46 4 4" xfId="3427"/>
    <cellStyle name="표준 46 4 4 2" xfId="3756"/>
    <cellStyle name="표준 46 4 5" xfId="3539"/>
    <cellStyle name="표준 46 5" xfId="3222"/>
    <cellStyle name="표준 46 5 2" xfId="3280"/>
    <cellStyle name="표준 46 5 2 2" xfId="3392"/>
    <cellStyle name="표준 46 5 2 2 2" xfId="3721"/>
    <cellStyle name="표준 46 5 2 3" xfId="3501"/>
    <cellStyle name="표준 46 5 2 3 2" xfId="3830"/>
    <cellStyle name="표준 46 5 2 4" xfId="3613"/>
    <cellStyle name="표준 46 5 3" xfId="3338"/>
    <cellStyle name="표준 46 5 3 2" xfId="3667"/>
    <cellStyle name="표준 46 5 4" xfId="3447"/>
    <cellStyle name="표준 46 5 4 2" xfId="3776"/>
    <cellStyle name="표준 46 5 5" xfId="3559"/>
    <cellStyle name="표준 46 6" xfId="3243"/>
    <cellStyle name="표준 46 6 2" xfId="3355"/>
    <cellStyle name="표준 46 6 2 2" xfId="3684"/>
    <cellStyle name="표준 46 6 3" xfId="3464"/>
    <cellStyle name="표준 46 6 3 2" xfId="3793"/>
    <cellStyle name="표준 46 6 4" xfId="3576"/>
    <cellStyle name="표준 46 7" xfId="3301"/>
    <cellStyle name="표준 46 7 2" xfId="3630"/>
    <cellStyle name="표준 46 8" xfId="3410"/>
    <cellStyle name="표준 46 8 2" xfId="3739"/>
    <cellStyle name="표준 46 9" xfId="3522"/>
    <cellStyle name="표준 47" xfId="3127"/>
    <cellStyle name="표준 48" xfId="3071"/>
    <cellStyle name="표준 49" xfId="3170"/>
    <cellStyle name="표준 5" xfId="3072"/>
    <cellStyle name="표준 5 2" xfId="3073"/>
    <cellStyle name="표준 5 3" xfId="3074"/>
    <cellStyle name="표준 5 4" xfId="3075"/>
    <cellStyle name="표준 5 5" xfId="3076"/>
    <cellStyle name="표준 5 6" xfId="3077"/>
    <cellStyle name="표준 5 7" xfId="3078"/>
    <cellStyle name="표준 5 8" xfId="3079"/>
    <cellStyle name="표준 5 9" xfId="3080"/>
    <cellStyle name="표준 50" xfId="3081"/>
    <cellStyle name="표준 51" xfId="3082"/>
    <cellStyle name="표준 52" xfId="3083"/>
    <cellStyle name="표준 52 2" xfId="3084"/>
    <cellStyle name="표준 52 3" xfId="3085"/>
    <cellStyle name="표준 52 4" xfId="3086"/>
    <cellStyle name="표준 52 5" xfId="3087"/>
    <cellStyle name="표준 52 6" xfId="3088"/>
    <cellStyle name="표준 52 7" xfId="3089"/>
    <cellStyle name="표준 53" xfId="3171"/>
    <cellStyle name="표준 54" xfId="3173"/>
    <cellStyle name="표준 55" xfId="3172"/>
    <cellStyle name="표준 55 2" xfId="3190"/>
    <cellStyle name="표준 55 2 2" xfId="3211"/>
    <cellStyle name="표준 55 2 2 2" xfId="3271"/>
    <cellStyle name="표준 55 2 2 2 2" xfId="3383"/>
    <cellStyle name="표준 55 2 2 2 2 2" xfId="3712"/>
    <cellStyle name="표준 55 2 2 2 3" xfId="3492"/>
    <cellStyle name="표준 55 2 2 2 3 2" xfId="3821"/>
    <cellStyle name="표준 55 2 2 2 4" xfId="3604"/>
    <cellStyle name="표준 55 2 2 3" xfId="3329"/>
    <cellStyle name="표준 55 2 2 3 2" xfId="3658"/>
    <cellStyle name="표준 55 2 2 4" xfId="3438"/>
    <cellStyle name="표준 55 2 2 4 2" xfId="3767"/>
    <cellStyle name="표준 55 2 2 5" xfId="3550"/>
    <cellStyle name="표준 55 2 3" xfId="3233"/>
    <cellStyle name="표준 55 2 3 2" xfId="3291"/>
    <cellStyle name="표준 55 2 3 2 2" xfId="3403"/>
    <cellStyle name="표준 55 2 3 2 2 2" xfId="3732"/>
    <cellStyle name="표준 55 2 3 2 3" xfId="3512"/>
    <cellStyle name="표준 55 2 3 2 3 2" xfId="3841"/>
    <cellStyle name="표준 55 2 3 2 4" xfId="3624"/>
    <cellStyle name="표준 55 2 3 3" xfId="3349"/>
    <cellStyle name="표준 55 2 3 3 2" xfId="3678"/>
    <cellStyle name="표준 55 2 3 4" xfId="3458"/>
    <cellStyle name="표준 55 2 3 4 2" xfId="3787"/>
    <cellStyle name="표준 55 2 3 5" xfId="3570"/>
    <cellStyle name="표준 55 2 4" xfId="3254"/>
    <cellStyle name="표준 55 2 4 2" xfId="3366"/>
    <cellStyle name="표준 55 2 4 2 2" xfId="3695"/>
    <cellStyle name="표준 55 2 4 3" xfId="3475"/>
    <cellStyle name="표준 55 2 4 3 2" xfId="3804"/>
    <cellStyle name="표준 55 2 4 4" xfId="3587"/>
    <cellStyle name="표준 55 2 5" xfId="3312"/>
    <cellStyle name="표준 55 2 5 2" xfId="3641"/>
    <cellStyle name="표준 55 2 6" xfId="3421"/>
    <cellStyle name="표준 55 2 6 2" xfId="3750"/>
    <cellStyle name="표준 55 2 7" xfId="3533"/>
    <cellStyle name="표준 55 3" xfId="3201"/>
    <cellStyle name="표준 55 3 2" xfId="3261"/>
    <cellStyle name="표준 55 3 2 2" xfId="3373"/>
    <cellStyle name="표준 55 3 2 2 2" xfId="3702"/>
    <cellStyle name="표준 55 3 2 3" xfId="3482"/>
    <cellStyle name="표준 55 3 2 3 2" xfId="3811"/>
    <cellStyle name="표준 55 3 2 4" xfId="3594"/>
    <cellStyle name="표준 55 3 3" xfId="3319"/>
    <cellStyle name="표준 55 3 3 2" xfId="3648"/>
    <cellStyle name="표준 55 3 4" xfId="3428"/>
    <cellStyle name="표준 55 3 4 2" xfId="3757"/>
    <cellStyle name="표준 55 3 5" xfId="3540"/>
    <cellStyle name="표준 55 4" xfId="3223"/>
    <cellStyle name="표준 55 4 2" xfId="3281"/>
    <cellStyle name="표준 55 4 2 2" xfId="3393"/>
    <cellStyle name="표준 55 4 2 2 2" xfId="3722"/>
    <cellStyle name="표준 55 4 2 3" xfId="3502"/>
    <cellStyle name="표준 55 4 2 3 2" xfId="3831"/>
    <cellStyle name="표준 55 4 2 4" xfId="3614"/>
    <cellStyle name="표준 55 4 3" xfId="3339"/>
    <cellStyle name="표준 55 4 3 2" xfId="3668"/>
    <cellStyle name="표준 55 4 4" xfId="3448"/>
    <cellStyle name="표준 55 4 4 2" xfId="3777"/>
    <cellStyle name="표준 55 4 5" xfId="3560"/>
    <cellStyle name="표준 55 5" xfId="3244"/>
    <cellStyle name="표준 55 5 2" xfId="3356"/>
    <cellStyle name="표준 55 5 2 2" xfId="3685"/>
    <cellStyle name="표준 55 5 3" xfId="3465"/>
    <cellStyle name="표준 55 5 3 2" xfId="3794"/>
    <cellStyle name="표준 55 5 4" xfId="3577"/>
    <cellStyle name="표준 55 6" xfId="3302"/>
    <cellStyle name="표준 55 6 2" xfId="3631"/>
    <cellStyle name="표준 55 7" xfId="3411"/>
    <cellStyle name="표준 55 7 2" xfId="3740"/>
    <cellStyle name="표준 55 8" xfId="3523"/>
    <cellStyle name="표준 56" xfId="3177"/>
    <cellStyle name="표준 56 2" xfId="3191"/>
    <cellStyle name="표준 56 2 2" xfId="3212"/>
    <cellStyle name="표준 56 2 2 2" xfId="3272"/>
    <cellStyle name="표준 56 2 2 2 2" xfId="3384"/>
    <cellStyle name="표준 56 2 2 2 2 2" xfId="3713"/>
    <cellStyle name="표준 56 2 2 2 3" xfId="3493"/>
    <cellStyle name="표준 56 2 2 2 3 2" xfId="3822"/>
    <cellStyle name="표준 56 2 2 2 4" xfId="3605"/>
    <cellStyle name="표준 56 2 2 3" xfId="3330"/>
    <cellStyle name="표준 56 2 2 3 2" xfId="3659"/>
    <cellStyle name="표준 56 2 2 4" xfId="3439"/>
    <cellStyle name="표준 56 2 2 4 2" xfId="3768"/>
    <cellStyle name="표준 56 2 2 5" xfId="3551"/>
    <cellStyle name="표준 56 2 3" xfId="3234"/>
    <cellStyle name="표준 56 2 3 2" xfId="3292"/>
    <cellStyle name="표준 56 2 3 2 2" xfId="3404"/>
    <cellStyle name="표준 56 2 3 2 2 2" xfId="3733"/>
    <cellStyle name="표준 56 2 3 2 3" xfId="3513"/>
    <cellStyle name="표준 56 2 3 2 3 2" xfId="3842"/>
    <cellStyle name="표준 56 2 3 2 4" xfId="3625"/>
    <cellStyle name="표준 56 2 3 3" xfId="3350"/>
    <cellStyle name="표준 56 2 3 3 2" xfId="3679"/>
    <cellStyle name="표준 56 2 3 4" xfId="3459"/>
    <cellStyle name="표준 56 2 3 4 2" xfId="3788"/>
    <cellStyle name="표준 56 2 3 5" xfId="3571"/>
    <cellStyle name="표준 56 2 4" xfId="3255"/>
    <cellStyle name="표준 56 2 4 2" xfId="3367"/>
    <cellStyle name="표준 56 2 4 2 2" xfId="3696"/>
    <cellStyle name="표준 56 2 4 3" xfId="3476"/>
    <cellStyle name="표준 56 2 4 3 2" xfId="3805"/>
    <cellStyle name="표준 56 2 4 4" xfId="3588"/>
    <cellStyle name="표준 56 2 5" xfId="3313"/>
    <cellStyle name="표준 56 2 5 2" xfId="3642"/>
    <cellStyle name="표준 56 2 6" xfId="3422"/>
    <cellStyle name="표준 56 2 6 2" xfId="3751"/>
    <cellStyle name="표준 56 2 7" xfId="3534"/>
    <cellStyle name="표준 56 3" xfId="3202"/>
    <cellStyle name="표준 56 3 2" xfId="3262"/>
    <cellStyle name="표준 56 3 2 2" xfId="3374"/>
    <cellStyle name="표준 56 3 2 2 2" xfId="3703"/>
    <cellStyle name="표준 56 3 2 3" xfId="3483"/>
    <cellStyle name="표준 56 3 2 3 2" xfId="3812"/>
    <cellStyle name="표준 56 3 2 4" xfId="3595"/>
    <cellStyle name="표준 56 3 3" xfId="3320"/>
    <cellStyle name="표준 56 3 3 2" xfId="3649"/>
    <cellStyle name="표준 56 3 4" xfId="3429"/>
    <cellStyle name="표준 56 3 4 2" xfId="3758"/>
    <cellStyle name="표준 56 3 5" xfId="3541"/>
    <cellStyle name="표준 56 4" xfId="3224"/>
    <cellStyle name="표준 56 4 2" xfId="3282"/>
    <cellStyle name="표준 56 4 2 2" xfId="3394"/>
    <cellStyle name="표준 56 4 2 2 2" xfId="3723"/>
    <cellStyle name="표준 56 4 2 3" xfId="3503"/>
    <cellStyle name="표준 56 4 2 3 2" xfId="3832"/>
    <cellStyle name="표준 56 4 2 4" xfId="3615"/>
    <cellStyle name="표준 56 4 3" xfId="3340"/>
    <cellStyle name="표준 56 4 3 2" xfId="3669"/>
    <cellStyle name="표준 56 4 4" xfId="3449"/>
    <cellStyle name="표준 56 4 4 2" xfId="3778"/>
    <cellStyle name="표준 56 4 5" xfId="3561"/>
    <cellStyle name="표준 56 5" xfId="3245"/>
    <cellStyle name="표준 56 5 2" xfId="3357"/>
    <cellStyle name="표준 56 5 2 2" xfId="3686"/>
    <cellStyle name="표준 56 5 3" xfId="3466"/>
    <cellStyle name="표준 56 5 3 2" xfId="3795"/>
    <cellStyle name="표준 56 5 4" xfId="3578"/>
    <cellStyle name="표준 56 6" xfId="3303"/>
    <cellStyle name="표준 56 6 2" xfId="3632"/>
    <cellStyle name="표준 56 7" xfId="3412"/>
    <cellStyle name="표준 56 7 2" xfId="3741"/>
    <cellStyle name="표준 56 8" xfId="3524"/>
    <cellStyle name="표준 57" xfId="3181"/>
    <cellStyle name="표준 58" xfId="3180"/>
    <cellStyle name="표준 58 2" xfId="3205"/>
    <cellStyle name="표준 58 2 2" xfId="3265"/>
    <cellStyle name="표준 58 2 2 2" xfId="3377"/>
    <cellStyle name="표준 58 2 2 2 2" xfId="3706"/>
    <cellStyle name="표준 58 2 2 3" xfId="3486"/>
    <cellStyle name="표준 58 2 2 3 2" xfId="3815"/>
    <cellStyle name="표준 58 2 2 4" xfId="3598"/>
    <cellStyle name="표준 58 2 3" xfId="3323"/>
    <cellStyle name="표준 58 2 3 2" xfId="3652"/>
    <cellStyle name="표준 58 2 4" xfId="3432"/>
    <cellStyle name="표준 58 2 4 2" xfId="3761"/>
    <cellStyle name="표준 58 2 5" xfId="3544"/>
    <cellStyle name="표준 58 3" xfId="3227"/>
    <cellStyle name="표준 58 3 2" xfId="3285"/>
    <cellStyle name="표준 58 3 2 2" xfId="3397"/>
    <cellStyle name="표준 58 3 2 2 2" xfId="3726"/>
    <cellStyle name="표준 58 3 2 3" xfId="3506"/>
    <cellStyle name="표준 58 3 2 3 2" xfId="3835"/>
    <cellStyle name="표준 58 3 2 4" xfId="3618"/>
    <cellStyle name="표준 58 3 3" xfId="3343"/>
    <cellStyle name="표준 58 3 3 2" xfId="3672"/>
    <cellStyle name="표준 58 3 4" xfId="3452"/>
    <cellStyle name="표준 58 3 4 2" xfId="3781"/>
    <cellStyle name="표준 58 3 5" xfId="3564"/>
    <cellStyle name="표준 58 4" xfId="3248"/>
    <cellStyle name="표준 58 4 2" xfId="3360"/>
    <cellStyle name="표준 58 4 2 2" xfId="3689"/>
    <cellStyle name="표준 58 4 3" xfId="3469"/>
    <cellStyle name="표준 58 4 3 2" xfId="3798"/>
    <cellStyle name="표준 58 4 4" xfId="3581"/>
    <cellStyle name="표준 58 5" xfId="3306"/>
    <cellStyle name="표준 58 5 2" xfId="3635"/>
    <cellStyle name="표준 58 6" xfId="3415"/>
    <cellStyle name="표준 58 6 2" xfId="3744"/>
    <cellStyle name="표준 58 7" xfId="3527"/>
    <cellStyle name="표준 59" xfId="3187"/>
    <cellStyle name="표준 59 2" xfId="3208"/>
    <cellStyle name="표준 59 2 2" xfId="3268"/>
    <cellStyle name="표준 59 2 2 2" xfId="3380"/>
    <cellStyle name="표준 59 2 2 2 2" xfId="3709"/>
    <cellStyle name="표준 59 2 2 3" xfId="3489"/>
    <cellStyle name="표준 59 2 2 3 2" xfId="3818"/>
    <cellStyle name="표준 59 2 2 4" xfId="3601"/>
    <cellStyle name="표준 59 2 3" xfId="3326"/>
    <cellStyle name="표준 59 2 3 2" xfId="3655"/>
    <cellStyle name="표준 59 2 4" xfId="3435"/>
    <cellStyle name="표준 59 2 4 2" xfId="3764"/>
    <cellStyle name="표준 59 2 5" xfId="3547"/>
    <cellStyle name="표준 59 3" xfId="3230"/>
    <cellStyle name="표준 59 3 2" xfId="3288"/>
    <cellStyle name="표준 59 3 2 2" xfId="3400"/>
    <cellStyle name="표준 59 3 2 2 2" xfId="3729"/>
    <cellStyle name="표준 59 3 2 3" xfId="3509"/>
    <cellStyle name="표준 59 3 2 3 2" xfId="3838"/>
    <cellStyle name="표준 59 3 2 4" xfId="3621"/>
    <cellStyle name="표준 59 3 3" xfId="3346"/>
    <cellStyle name="표준 59 3 3 2" xfId="3675"/>
    <cellStyle name="표준 59 3 4" xfId="3455"/>
    <cellStyle name="표준 59 3 4 2" xfId="3784"/>
    <cellStyle name="표준 59 3 5" xfId="3567"/>
    <cellStyle name="표준 59 4" xfId="3251"/>
    <cellStyle name="표준 59 4 2" xfId="3363"/>
    <cellStyle name="표준 59 4 2 2" xfId="3692"/>
    <cellStyle name="표준 59 4 3" xfId="3472"/>
    <cellStyle name="표준 59 4 3 2" xfId="3801"/>
    <cellStyle name="표준 59 4 4" xfId="3584"/>
    <cellStyle name="표준 59 5" xfId="3309"/>
    <cellStyle name="표준 59 5 2" xfId="3638"/>
    <cellStyle name="표준 59 6" xfId="3418"/>
    <cellStyle name="표준 59 6 2" xfId="3747"/>
    <cellStyle name="표준 59 7" xfId="3530"/>
    <cellStyle name="표준 6" xfId="3090"/>
    <cellStyle name="표준 6 2" xfId="3091"/>
    <cellStyle name="표준 60" xfId="3182"/>
    <cellStyle name="표준 60 2" xfId="3206"/>
    <cellStyle name="표준 60 2 2" xfId="3266"/>
    <cellStyle name="표준 60 2 2 2" xfId="3378"/>
    <cellStyle name="표준 60 2 2 2 2" xfId="3707"/>
    <cellStyle name="표준 60 2 2 3" xfId="3487"/>
    <cellStyle name="표준 60 2 2 3 2" xfId="3816"/>
    <cellStyle name="표준 60 2 2 4" xfId="3599"/>
    <cellStyle name="표준 60 2 3" xfId="3324"/>
    <cellStyle name="표준 60 2 3 2" xfId="3653"/>
    <cellStyle name="표준 60 2 4" xfId="3433"/>
    <cellStyle name="표준 60 2 4 2" xfId="3762"/>
    <cellStyle name="표준 60 2 5" xfId="3545"/>
    <cellStyle name="표준 60 3" xfId="3228"/>
    <cellStyle name="표준 60 3 2" xfId="3286"/>
    <cellStyle name="표준 60 3 2 2" xfId="3398"/>
    <cellStyle name="표준 60 3 2 2 2" xfId="3727"/>
    <cellStyle name="표준 60 3 2 3" xfId="3507"/>
    <cellStyle name="표준 60 3 2 3 2" xfId="3836"/>
    <cellStyle name="표준 60 3 2 4" xfId="3619"/>
    <cellStyle name="표준 60 3 3" xfId="3344"/>
    <cellStyle name="표준 60 3 3 2" xfId="3673"/>
    <cellStyle name="표준 60 3 4" xfId="3453"/>
    <cellStyle name="표준 60 3 4 2" xfId="3782"/>
    <cellStyle name="표준 60 3 5" xfId="3565"/>
    <cellStyle name="표준 60 4" xfId="3249"/>
    <cellStyle name="표준 60 4 2" xfId="3361"/>
    <cellStyle name="표준 60 4 2 2" xfId="3690"/>
    <cellStyle name="표준 60 4 3" xfId="3470"/>
    <cellStyle name="표준 60 4 3 2" xfId="3799"/>
    <cellStyle name="표준 60 4 4" xfId="3582"/>
    <cellStyle name="표준 60 5" xfId="3307"/>
    <cellStyle name="표준 60 5 2" xfId="3636"/>
    <cellStyle name="표준 60 6" xfId="3416"/>
    <cellStyle name="표준 60 6 2" xfId="3745"/>
    <cellStyle name="표준 60 7" xfId="3528"/>
    <cellStyle name="표준 61" xfId="3186"/>
    <cellStyle name="표준 61 2" xfId="3207"/>
    <cellStyle name="표준 61 2 2" xfId="3267"/>
    <cellStyle name="표준 61 2 2 2" xfId="3379"/>
    <cellStyle name="표준 61 2 2 2 2" xfId="3708"/>
    <cellStyle name="표준 61 2 2 3" xfId="3488"/>
    <cellStyle name="표준 61 2 2 3 2" xfId="3817"/>
    <cellStyle name="표준 61 2 2 4" xfId="3600"/>
    <cellStyle name="표준 61 2 3" xfId="3325"/>
    <cellStyle name="표준 61 2 3 2" xfId="3654"/>
    <cellStyle name="표준 61 2 4" xfId="3434"/>
    <cellStyle name="표준 61 2 4 2" xfId="3763"/>
    <cellStyle name="표준 61 2 5" xfId="3546"/>
    <cellStyle name="표준 61 3" xfId="3229"/>
    <cellStyle name="표준 61 3 2" xfId="3287"/>
    <cellStyle name="표준 61 3 2 2" xfId="3399"/>
    <cellStyle name="표준 61 3 2 2 2" xfId="3728"/>
    <cellStyle name="표준 61 3 2 3" xfId="3508"/>
    <cellStyle name="표준 61 3 2 3 2" xfId="3837"/>
    <cellStyle name="표준 61 3 2 4" xfId="3620"/>
    <cellStyle name="표준 61 3 3" xfId="3345"/>
    <cellStyle name="표준 61 3 3 2" xfId="3674"/>
    <cellStyle name="표준 61 3 4" xfId="3454"/>
    <cellStyle name="표준 61 3 4 2" xfId="3783"/>
    <cellStyle name="표준 61 3 5" xfId="3566"/>
    <cellStyle name="표준 61 4" xfId="3250"/>
    <cellStyle name="표준 61 4 2" xfId="3362"/>
    <cellStyle name="표준 61 4 2 2" xfId="3691"/>
    <cellStyle name="표준 61 4 3" xfId="3471"/>
    <cellStyle name="표준 61 4 3 2" xfId="3800"/>
    <cellStyle name="표준 61 4 4" xfId="3583"/>
    <cellStyle name="표준 61 5" xfId="3308"/>
    <cellStyle name="표준 61 5 2" xfId="3637"/>
    <cellStyle name="표준 61 6" xfId="3417"/>
    <cellStyle name="표준 61 6 2" xfId="3746"/>
    <cellStyle name="표준 61 7" xfId="3529"/>
    <cellStyle name="표준 62" xfId="3195"/>
    <cellStyle name="표준 63" xfId="3194"/>
    <cellStyle name="표준 63 2" xfId="3258"/>
    <cellStyle name="표준 63 2 2" xfId="3370"/>
    <cellStyle name="표준 63 2 2 2" xfId="3699"/>
    <cellStyle name="표준 63 2 3" xfId="3479"/>
    <cellStyle name="표준 63 2 3 2" xfId="3808"/>
    <cellStyle name="표준 63 2 4" xfId="3591"/>
    <cellStyle name="표준 63 3" xfId="3316"/>
    <cellStyle name="표준 63 3 2" xfId="3645"/>
    <cellStyle name="표준 63 4" xfId="3425"/>
    <cellStyle name="표준 63 4 2" xfId="3754"/>
    <cellStyle name="표준 63 5" xfId="3537"/>
    <cellStyle name="표준 64" xfId="3215"/>
    <cellStyle name="표준 64 2" xfId="3275"/>
    <cellStyle name="표준 64 2 2" xfId="3387"/>
    <cellStyle name="표준 64 2 2 2" xfId="3716"/>
    <cellStyle name="표준 64 2 3" xfId="3496"/>
    <cellStyle name="표준 64 2 3 2" xfId="3825"/>
    <cellStyle name="표준 64 2 4" xfId="3608"/>
    <cellStyle name="표준 64 3" xfId="3333"/>
    <cellStyle name="표준 64 3 2" xfId="3662"/>
    <cellStyle name="표준 64 4" xfId="3442"/>
    <cellStyle name="표준 64 4 2" xfId="3771"/>
    <cellStyle name="표준 64 5" xfId="3554"/>
    <cellStyle name="표준 65" xfId="3220"/>
    <cellStyle name="표준 65 2" xfId="3278"/>
    <cellStyle name="표준 65 2 2" xfId="3390"/>
    <cellStyle name="표준 65 2 2 2" xfId="3719"/>
    <cellStyle name="표준 65 2 3" xfId="3499"/>
    <cellStyle name="표준 65 2 3 2" xfId="3828"/>
    <cellStyle name="표준 65 2 4" xfId="3611"/>
    <cellStyle name="표준 65 3" xfId="3336"/>
    <cellStyle name="표준 65 3 2" xfId="3665"/>
    <cellStyle name="표준 65 4" xfId="3445"/>
    <cellStyle name="표준 65 4 2" xfId="3774"/>
    <cellStyle name="표준 65 5" xfId="3557"/>
    <cellStyle name="표준 66" xfId="3238"/>
    <cellStyle name="표준 67" xfId="3237"/>
    <cellStyle name="표준 67 2" xfId="3353"/>
    <cellStyle name="표준 67 2 2" xfId="3682"/>
    <cellStyle name="표준 67 3" xfId="3462"/>
    <cellStyle name="표준 67 3 2" xfId="3791"/>
    <cellStyle name="표준 67 4" xfId="3574"/>
    <cellStyle name="표준 68" xfId="3296"/>
    <cellStyle name="표준 69" xfId="3295"/>
    <cellStyle name="표준 69 2" xfId="3628"/>
    <cellStyle name="표준 7" xfId="3092"/>
    <cellStyle name="표준 7 2" xfId="3093"/>
    <cellStyle name="표준 7 3" xfId="3094"/>
    <cellStyle name="표준 7 4" xfId="3095"/>
    <cellStyle name="표준 7 5" xfId="3096"/>
    <cellStyle name="표준 7 6" xfId="3097"/>
    <cellStyle name="표준 7 7" xfId="3098"/>
    <cellStyle name="표준 70" xfId="3407"/>
    <cellStyle name="표준 70 2" xfId="3736"/>
    <cellStyle name="표준 71" xfId="3408"/>
    <cellStyle name="표준 71 2" xfId="3737"/>
    <cellStyle name="표준 72" xfId="3517"/>
    <cellStyle name="표준 73" xfId="3516"/>
    <cellStyle name="표준 74" xfId="9"/>
    <cellStyle name="표준 8" xfId="3099"/>
    <cellStyle name="표준 8 2" xfId="3100"/>
    <cellStyle name="표준 8 3" xfId="3101"/>
    <cellStyle name="표준 8 4" xfId="3102"/>
    <cellStyle name="표준 9" xfId="3113"/>
    <cellStyle name="표준 9 2" xfId="3103"/>
    <cellStyle name="표준 9 3" xfId="3104"/>
    <cellStyle name="표준 9 4" xfId="3105"/>
    <cellStyle name="표준 9 5" xfId="3106"/>
    <cellStyle name="표준 9 6" xfId="3107"/>
    <cellStyle name="표준 9 7" xfId="3108"/>
    <cellStyle name="표준 9 8" xfId="3109"/>
    <cellStyle name="標準_Sheet1" xfId="3110"/>
    <cellStyle name="桁区切り 15" xfId="31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1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굴림체" pitchFamily="49" charset="-127"/>
              </a:defRPr>
            </a:pPr>
            <a:r>
              <a:rPr lang="en-US" altLang="ko-KR" baseline="0">
                <a:latin typeface="굴림체" pitchFamily="49" charset="-127"/>
              </a:rPr>
              <a:t>11</a:t>
            </a:r>
            <a:r>
              <a:rPr lang="ko-KR" altLang="en-US" baseline="0">
                <a:latin typeface="굴림체" pitchFamily="49" charset="-127"/>
              </a:rPr>
              <a:t>월 평균</a:t>
            </a:r>
          </a:p>
        </c:rich>
      </c:tx>
      <c:layout>
        <c:manualLayout>
          <c:xMode val="edge"/>
          <c:yMode val="edge"/>
          <c:x val="0.41871441689623512"/>
          <c:y val="5.20325203252032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85888"/>
        <c:axId val="6073454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85888"/>
        <c:axId val="607345408"/>
      </c:lineChart>
      <c:catAx>
        <c:axId val="19568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607345408"/>
        <c:crosses val="autoZero"/>
        <c:auto val="1"/>
        <c:lblAlgn val="ctr"/>
        <c:lblOffset val="100"/>
        <c:noMultiLvlLbl val="0"/>
      </c:catAx>
      <c:valAx>
        <c:axId val="6073454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568588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'02'!$D$6:$D$21</c:f>
              <c:strCache>
                <c:ptCount val="15"/>
                <c:pt idx="1">
                  <c:v>COVER</c:v>
                </c:pt>
                <c:pt idx="2">
                  <c:v>STOPPER</c:v>
                </c:pt>
                <c:pt idx="3">
                  <c:v>BASE</c:v>
                </c:pt>
                <c:pt idx="4">
                  <c:v>SLIDER</c:v>
                </c:pt>
                <c:pt idx="5">
                  <c:v>TOP</c:v>
                </c:pt>
                <c:pt idx="6">
                  <c:v>BOTTOM</c:v>
                </c:pt>
                <c:pt idx="7">
                  <c:v>BASE</c:v>
                </c:pt>
                <c:pt idx="8">
                  <c:v>ACTUATOR</c:v>
                </c:pt>
                <c:pt idx="9">
                  <c:v>BASE</c:v>
                </c:pt>
                <c:pt idx="10">
                  <c:v>BOTTOM</c:v>
                </c:pt>
                <c:pt idx="11">
                  <c:v>BASE</c:v>
                </c:pt>
                <c:pt idx="12">
                  <c:v>FLOAT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'02'!$L$6:$L$21</c:f>
              <c:numCache>
                <c:formatCode>_(* #,##0_);_(* \(#,##0\);_(* "-"_);_(@_)</c:formatCode>
                <c:ptCount val="16"/>
                <c:pt idx="2">
                  <c:v>5414</c:v>
                </c:pt>
                <c:pt idx="3">
                  <c:v>3698</c:v>
                </c:pt>
                <c:pt idx="4">
                  <c:v>3888</c:v>
                </c:pt>
                <c:pt idx="5">
                  <c:v>3623</c:v>
                </c:pt>
                <c:pt idx="6">
                  <c:v>2740</c:v>
                </c:pt>
                <c:pt idx="7">
                  <c:v>2422</c:v>
                </c:pt>
                <c:pt idx="11">
                  <c:v>3986</c:v>
                </c:pt>
                <c:pt idx="13">
                  <c:v>3870</c:v>
                </c:pt>
                <c:pt idx="14">
                  <c:v>3119</c:v>
                </c:pt>
                <c:pt idx="15">
                  <c:v>35456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'02'!$D$6:$D$21</c:f>
              <c:strCache>
                <c:ptCount val="15"/>
                <c:pt idx="1">
                  <c:v>COVER</c:v>
                </c:pt>
                <c:pt idx="2">
                  <c:v>STOPPER</c:v>
                </c:pt>
                <c:pt idx="3">
                  <c:v>BASE</c:v>
                </c:pt>
                <c:pt idx="4">
                  <c:v>SLIDER</c:v>
                </c:pt>
                <c:pt idx="5">
                  <c:v>TOP</c:v>
                </c:pt>
                <c:pt idx="6">
                  <c:v>BOTTOM</c:v>
                </c:pt>
                <c:pt idx="7">
                  <c:v>BASE</c:v>
                </c:pt>
                <c:pt idx="8">
                  <c:v>ACTUATOR</c:v>
                </c:pt>
                <c:pt idx="9">
                  <c:v>BASE</c:v>
                </c:pt>
                <c:pt idx="10">
                  <c:v>BOTTOM</c:v>
                </c:pt>
                <c:pt idx="11">
                  <c:v>BASE</c:v>
                </c:pt>
                <c:pt idx="12">
                  <c:v>FLOAT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'02'!$J$6:$J$21</c:f>
              <c:numCache>
                <c:formatCode>_(* #,##0_);_(* \(#,##0\);_(* "-"_);_(@_)</c:formatCode>
                <c:ptCount val="16"/>
                <c:pt idx="1">
                  <c:v>1320</c:v>
                </c:pt>
                <c:pt idx="2">
                  <c:v>5420</c:v>
                </c:pt>
                <c:pt idx="3">
                  <c:v>3700</c:v>
                </c:pt>
                <c:pt idx="4">
                  <c:v>3890</c:v>
                </c:pt>
                <c:pt idx="5">
                  <c:v>3630</c:v>
                </c:pt>
                <c:pt idx="6">
                  <c:v>2740</c:v>
                </c:pt>
                <c:pt idx="7">
                  <c:v>2430</c:v>
                </c:pt>
                <c:pt idx="8">
                  <c:v>1750</c:v>
                </c:pt>
                <c:pt idx="9">
                  <c:v>240</c:v>
                </c:pt>
                <c:pt idx="10">
                  <c:v>15880</c:v>
                </c:pt>
                <c:pt idx="11">
                  <c:v>6710</c:v>
                </c:pt>
                <c:pt idx="12">
                  <c:v>2150</c:v>
                </c:pt>
                <c:pt idx="13">
                  <c:v>3870</c:v>
                </c:pt>
                <c:pt idx="14">
                  <c:v>3120</c:v>
                </c:pt>
                <c:pt idx="15">
                  <c:v>35460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650368"/>
        <c:axId val="662169280"/>
      </c:lineChart>
      <c:catAx>
        <c:axId val="63865036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662169280"/>
        <c:crosses val="autoZero"/>
        <c:auto val="1"/>
        <c:lblAlgn val="ctr"/>
        <c:lblOffset val="100"/>
        <c:noMultiLvlLbl val="0"/>
      </c:catAx>
      <c:valAx>
        <c:axId val="6621692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638650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'23'!$D$6:$D$20</c:f>
              <c:strCache>
                <c:ptCount val="14"/>
                <c:pt idx="0">
                  <c:v>BASE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'23'!$L$6:$L$20</c:f>
              <c:numCache>
                <c:formatCode>_(* #,##0_);_(* \(#,##0\);_(* "-"_);_(@_)</c:formatCode>
                <c:ptCount val="15"/>
                <c:pt idx="0">
                  <c:v>9324</c:v>
                </c:pt>
                <c:pt idx="1">
                  <c:v>1292</c:v>
                </c:pt>
                <c:pt idx="2">
                  <c:v>4543</c:v>
                </c:pt>
                <c:pt idx="3">
                  <c:v>5545</c:v>
                </c:pt>
                <c:pt idx="4">
                  <c:v>11994</c:v>
                </c:pt>
                <c:pt idx="5">
                  <c:v>6265</c:v>
                </c:pt>
                <c:pt idx="6">
                  <c:v>10038</c:v>
                </c:pt>
                <c:pt idx="8">
                  <c:v>542</c:v>
                </c:pt>
                <c:pt idx="10">
                  <c:v>3489</c:v>
                </c:pt>
                <c:pt idx="11">
                  <c:v>20832</c:v>
                </c:pt>
                <c:pt idx="12">
                  <c:v>2034</c:v>
                </c:pt>
                <c:pt idx="13">
                  <c:v>5230</c:v>
                </c:pt>
                <c:pt idx="14">
                  <c:v>57588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'23'!$D$6:$D$20</c:f>
              <c:strCache>
                <c:ptCount val="14"/>
                <c:pt idx="0">
                  <c:v>BASE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'23'!$J$6:$J$20</c:f>
              <c:numCache>
                <c:formatCode>_(* #,##0_);_(* \(#,##0\);_(* "-"_);_(@_)</c:formatCode>
                <c:ptCount val="15"/>
                <c:pt idx="0">
                  <c:v>9330</c:v>
                </c:pt>
                <c:pt idx="1">
                  <c:v>1300</c:v>
                </c:pt>
                <c:pt idx="2">
                  <c:v>4550</c:v>
                </c:pt>
                <c:pt idx="3">
                  <c:v>5550</c:v>
                </c:pt>
                <c:pt idx="4">
                  <c:v>12000</c:v>
                </c:pt>
                <c:pt idx="5">
                  <c:v>6270</c:v>
                </c:pt>
                <c:pt idx="6">
                  <c:v>10040</c:v>
                </c:pt>
                <c:pt idx="7">
                  <c:v>1130</c:v>
                </c:pt>
                <c:pt idx="8">
                  <c:v>542</c:v>
                </c:pt>
                <c:pt idx="9">
                  <c:v>1590</c:v>
                </c:pt>
                <c:pt idx="10">
                  <c:v>3490</c:v>
                </c:pt>
                <c:pt idx="11">
                  <c:v>20840</c:v>
                </c:pt>
                <c:pt idx="12">
                  <c:v>2040</c:v>
                </c:pt>
                <c:pt idx="13">
                  <c:v>5230</c:v>
                </c:pt>
                <c:pt idx="14">
                  <c:v>57600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245696"/>
        <c:axId val="487987392"/>
      </c:lineChart>
      <c:catAx>
        <c:axId val="54524569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7987392"/>
        <c:crosses val="autoZero"/>
        <c:auto val="1"/>
        <c:lblAlgn val="ctr"/>
        <c:lblOffset val="100"/>
        <c:noMultiLvlLbl val="0"/>
      </c:catAx>
      <c:valAx>
        <c:axId val="48798739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45245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'23'!$AD$6:$AD$20</c:f>
              <c:strCache>
                <c:ptCount val="1"/>
                <c:pt idx="0">
                  <c:v>100% 37% 87% 100% 100% 100% 100% 0% 42% 0% 71% 96% 50% 100%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'23'!$D$6:$D$20</c:f>
              <c:strCache>
                <c:ptCount val="14"/>
                <c:pt idx="0">
                  <c:v>BASE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'23'!$AD$6:$AD$20</c:f>
              <c:numCache>
                <c:formatCode>0%</c:formatCode>
                <c:ptCount val="15"/>
                <c:pt idx="0">
                  <c:v>0.99935691318327979</c:v>
                </c:pt>
                <c:pt idx="1">
                  <c:v>0.37269230769230766</c:v>
                </c:pt>
                <c:pt idx="2">
                  <c:v>0.87365384615384623</c:v>
                </c:pt>
                <c:pt idx="3">
                  <c:v>0.99909909909909911</c:v>
                </c:pt>
                <c:pt idx="4">
                  <c:v>0.99950000000000006</c:v>
                </c:pt>
                <c:pt idx="5">
                  <c:v>0.99920255183413076</c:v>
                </c:pt>
                <c:pt idx="6">
                  <c:v>0.99980079681274903</c:v>
                </c:pt>
                <c:pt idx="7">
                  <c:v>0</c:v>
                </c:pt>
                <c:pt idx="8">
                  <c:v>0.41666666666666669</c:v>
                </c:pt>
                <c:pt idx="9">
                  <c:v>0</c:v>
                </c:pt>
                <c:pt idx="10">
                  <c:v>0.70813037249283672</c:v>
                </c:pt>
                <c:pt idx="11">
                  <c:v>0.95796545105566222</c:v>
                </c:pt>
                <c:pt idx="12">
                  <c:v>0.49852941176470589</c:v>
                </c:pt>
                <c:pt idx="13">
                  <c:v>1</c:v>
                </c:pt>
                <c:pt idx="14">
                  <c:v>0.99979166666666663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'23'!$D$6:$D$20</c:f>
              <c:strCache>
                <c:ptCount val="14"/>
                <c:pt idx="0">
                  <c:v>BASE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'23'!$AE$6:$AE$20</c:f>
              <c:numCache>
                <c:formatCode>0%</c:formatCode>
                <c:ptCount val="15"/>
                <c:pt idx="0">
                  <c:v>0.72162593889479665</c:v>
                </c:pt>
                <c:pt idx="1">
                  <c:v>0.72162593889479665</c:v>
                </c:pt>
                <c:pt idx="2">
                  <c:v>0.72162593889479665</c:v>
                </c:pt>
                <c:pt idx="3">
                  <c:v>0.72162593889479665</c:v>
                </c:pt>
                <c:pt idx="4">
                  <c:v>0.72162593889479665</c:v>
                </c:pt>
                <c:pt idx="5">
                  <c:v>0.72162593889479665</c:v>
                </c:pt>
                <c:pt idx="6">
                  <c:v>0.72162593889479665</c:v>
                </c:pt>
                <c:pt idx="7">
                  <c:v>0.72162593889479665</c:v>
                </c:pt>
                <c:pt idx="8">
                  <c:v>0.72162593889479665</c:v>
                </c:pt>
                <c:pt idx="9">
                  <c:v>0.72162593889479665</c:v>
                </c:pt>
                <c:pt idx="10">
                  <c:v>0.72162593889479665</c:v>
                </c:pt>
                <c:pt idx="11">
                  <c:v>0.72162593889479665</c:v>
                </c:pt>
                <c:pt idx="12">
                  <c:v>0.72162593889479665</c:v>
                </c:pt>
                <c:pt idx="13">
                  <c:v>0.72162593889479665</c:v>
                </c:pt>
                <c:pt idx="14">
                  <c:v>0.72162593889479665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95360"/>
        <c:axId val="485302272"/>
      </c:lineChart>
      <c:catAx>
        <c:axId val="5484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5302272"/>
        <c:crosses val="autoZero"/>
        <c:auto val="1"/>
        <c:lblAlgn val="ctr"/>
        <c:lblOffset val="100"/>
        <c:noMultiLvlLbl val="0"/>
      </c:catAx>
      <c:valAx>
        <c:axId val="4853022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48495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495872"/>
        <c:axId val="48530457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95872"/>
        <c:axId val="485304576"/>
      </c:lineChart>
      <c:catAx>
        <c:axId val="54849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485304576"/>
        <c:crosses val="autoZero"/>
        <c:auto val="1"/>
        <c:lblAlgn val="ctr"/>
        <c:lblOffset val="100"/>
        <c:noMultiLvlLbl val="0"/>
      </c:catAx>
      <c:valAx>
        <c:axId val="485304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849587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'24'!$D$6:$D$22</c:f>
              <c:strCache>
                <c:ptCount val="16"/>
                <c:pt idx="0">
                  <c:v>BASE</c:v>
                </c:pt>
                <c:pt idx="2">
                  <c:v>STOPPER</c:v>
                </c:pt>
                <c:pt idx="3">
                  <c:v>4LEAD</c:v>
                </c:pt>
                <c:pt idx="4">
                  <c:v>BASE</c:v>
                </c:pt>
                <c:pt idx="5">
                  <c:v>SLIDER</c:v>
                </c:pt>
                <c:pt idx="6">
                  <c:v>STOPPER</c:v>
                </c:pt>
                <c:pt idx="7">
                  <c:v>BODY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STOPPER</c:v>
                </c:pt>
                <c:pt idx="12">
                  <c:v>STOPPER</c:v>
                </c:pt>
                <c:pt idx="13">
                  <c:v>COVER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'24'!$L$6:$L$22</c:f>
              <c:numCache>
                <c:formatCode>_(* #,##0_);_(* \(#,##0\);_(* "-"_);_(@_)</c:formatCode>
                <c:ptCount val="17"/>
                <c:pt idx="0">
                  <c:v>9238</c:v>
                </c:pt>
                <c:pt idx="2">
                  <c:v>5167</c:v>
                </c:pt>
                <c:pt idx="3">
                  <c:v>5506</c:v>
                </c:pt>
                <c:pt idx="4">
                  <c:v>4382</c:v>
                </c:pt>
                <c:pt idx="5">
                  <c:v>4473</c:v>
                </c:pt>
                <c:pt idx="6">
                  <c:v>2630</c:v>
                </c:pt>
                <c:pt idx="7">
                  <c:v>2195</c:v>
                </c:pt>
                <c:pt idx="9">
                  <c:v>76</c:v>
                </c:pt>
                <c:pt idx="11">
                  <c:v>1198</c:v>
                </c:pt>
                <c:pt idx="12">
                  <c:v>704</c:v>
                </c:pt>
                <c:pt idx="13">
                  <c:v>7920</c:v>
                </c:pt>
                <c:pt idx="14">
                  <c:v>3753</c:v>
                </c:pt>
                <c:pt idx="15">
                  <c:v>5262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'24'!$D$6:$D$22</c:f>
              <c:strCache>
                <c:ptCount val="16"/>
                <c:pt idx="0">
                  <c:v>BASE</c:v>
                </c:pt>
                <c:pt idx="2">
                  <c:v>STOPPER</c:v>
                </c:pt>
                <c:pt idx="3">
                  <c:v>4LEAD</c:v>
                </c:pt>
                <c:pt idx="4">
                  <c:v>BASE</c:v>
                </c:pt>
                <c:pt idx="5">
                  <c:v>SLIDER</c:v>
                </c:pt>
                <c:pt idx="6">
                  <c:v>STOPPER</c:v>
                </c:pt>
                <c:pt idx="7">
                  <c:v>BODY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STOPPER</c:v>
                </c:pt>
                <c:pt idx="12">
                  <c:v>STOPPER</c:v>
                </c:pt>
                <c:pt idx="13">
                  <c:v>COVER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'24'!$J$6:$J$22</c:f>
              <c:numCache>
                <c:formatCode>_(* #,##0_);_(* \(#,##0\);_(* "-"_);_(@_)</c:formatCode>
                <c:ptCount val="17"/>
                <c:pt idx="0">
                  <c:v>9330</c:v>
                </c:pt>
                <c:pt idx="1">
                  <c:v>1300</c:v>
                </c:pt>
                <c:pt idx="2">
                  <c:v>5170</c:v>
                </c:pt>
                <c:pt idx="3">
                  <c:v>5510</c:v>
                </c:pt>
                <c:pt idx="4">
                  <c:v>4382</c:v>
                </c:pt>
                <c:pt idx="5">
                  <c:v>4480</c:v>
                </c:pt>
                <c:pt idx="6">
                  <c:v>2630</c:v>
                </c:pt>
                <c:pt idx="7">
                  <c:v>2200</c:v>
                </c:pt>
                <c:pt idx="8">
                  <c:v>1130</c:v>
                </c:pt>
                <c:pt idx="9">
                  <c:v>76</c:v>
                </c:pt>
                <c:pt idx="10">
                  <c:v>1590</c:v>
                </c:pt>
                <c:pt idx="11">
                  <c:v>1200</c:v>
                </c:pt>
                <c:pt idx="12">
                  <c:v>710</c:v>
                </c:pt>
                <c:pt idx="13">
                  <c:v>7920</c:v>
                </c:pt>
                <c:pt idx="14">
                  <c:v>3760</c:v>
                </c:pt>
                <c:pt idx="15">
                  <c:v>5270</c:v>
                </c:pt>
                <c:pt idx="16">
                  <c:v>57600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400000"/>
        <c:axId val="485307456"/>
      </c:lineChart>
      <c:catAx>
        <c:axId val="55040000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5307456"/>
        <c:crosses val="autoZero"/>
        <c:auto val="1"/>
        <c:lblAlgn val="ctr"/>
        <c:lblOffset val="100"/>
        <c:noMultiLvlLbl val="0"/>
      </c:catAx>
      <c:valAx>
        <c:axId val="48530745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50400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'24'!$AD$6:$AD$22</c:f>
              <c:strCache>
                <c:ptCount val="1"/>
                <c:pt idx="0">
                  <c:v>99% 0% 96% 100% 92% 79% 29% 50% 0% 17% 0% 29% 17% 42% 83%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'24'!$D$6:$D$22</c:f>
              <c:strCache>
                <c:ptCount val="16"/>
                <c:pt idx="0">
                  <c:v>BASE</c:v>
                </c:pt>
                <c:pt idx="2">
                  <c:v>STOPPER</c:v>
                </c:pt>
                <c:pt idx="3">
                  <c:v>4LEAD</c:v>
                </c:pt>
                <c:pt idx="4">
                  <c:v>BASE</c:v>
                </c:pt>
                <c:pt idx="5">
                  <c:v>SLIDER</c:v>
                </c:pt>
                <c:pt idx="6">
                  <c:v>STOPPER</c:v>
                </c:pt>
                <c:pt idx="7">
                  <c:v>BODY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STOPPER</c:v>
                </c:pt>
                <c:pt idx="12">
                  <c:v>STOPPER</c:v>
                </c:pt>
                <c:pt idx="13">
                  <c:v>COVER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'24'!$AD$6:$AD$22</c:f>
              <c:numCache>
                <c:formatCode>0%</c:formatCode>
                <c:ptCount val="17"/>
                <c:pt idx="0">
                  <c:v>0.9901393354769561</c:v>
                </c:pt>
                <c:pt idx="1">
                  <c:v>0</c:v>
                </c:pt>
                <c:pt idx="2">
                  <c:v>0.95777724049000645</c:v>
                </c:pt>
                <c:pt idx="3">
                  <c:v>0.9992740471869328</c:v>
                </c:pt>
                <c:pt idx="4">
                  <c:v>0.91666666666666663</c:v>
                </c:pt>
                <c:pt idx="5">
                  <c:v>0.79042968749999998</c:v>
                </c:pt>
                <c:pt idx="6">
                  <c:v>0.29166666666666669</c:v>
                </c:pt>
                <c:pt idx="7">
                  <c:v>0.49886363636363634</c:v>
                </c:pt>
                <c:pt idx="8">
                  <c:v>0</c:v>
                </c:pt>
                <c:pt idx="9">
                  <c:v>0.16666666666666666</c:v>
                </c:pt>
                <c:pt idx="10">
                  <c:v>0</c:v>
                </c:pt>
                <c:pt idx="11">
                  <c:v>0.29118055555555555</c:v>
                </c:pt>
                <c:pt idx="12">
                  <c:v>0.16525821596244131</c:v>
                </c:pt>
                <c:pt idx="13">
                  <c:v>0.41666666666666669</c:v>
                </c:pt>
                <c:pt idx="14">
                  <c:v>0.83178191489361708</c:v>
                </c:pt>
                <c:pt idx="15">
                  <c:v>0.99848197343453515</c:v>
                </c:pt>
                <c:pt idx="16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'24'!$D$6:$D$22</c:f>
              <c:strCache>
                <c:ptCount val="16"/>
                <c:pt idx="0">
                  <c:v>BASE</c:v>
                </c:pt>
                <c:pt idx="2">
                  <c:v>STOPPER</c:v>
                </c:pt>
                <c:pt idx="3">
                  <c:v>4LEAD</c:v>
                </c:pt>
                <c:pt idx="4">
                  <c:v>BASE</c:v>
                </c:pt>
                <c:pt idx="5">
                  <c:v>SLIDER</c:v>
                </c:pt>
                <c:pt idx="6">
                  <c:v>STOPPER</c:v>
                </c:pt>
                <c:pt idx="7">
                  <c:v>BODY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STOPPER</c:v>
                </c:pt>
                <c:pt idx="12">
                  <c:v>STOPPER</c:v>
                </c:pt>
                <c:pt idx="13">
                  <c:v>COVER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'24'!$AE$6:$AE$22</c:f>
              <c:numCache>
                <c:formatCode>0%</c:formatCode>
                <c:ptCount val="17"/>
                <c:pt idx="0">
                  <c:v>0.55432355156868995</c:v>
                </c:pt>
                <c:pt idx="1">
                  <c:v>0.55432355156868995</c:v>
                </c:pt>
                <c:pt idx="2">
                  <c:v>0.55432355156868995</c:v>
                </c:pt>
                <c:pt idx="3">
                  <c:v>0.55432355156868995</c:v>
                </c:pt>
                <c:pt idx="4">
                  <c:v>0.55432355156868995</c:v>
                </c:pt>
                <c:pt idx="5">
                  <c:v>0.55432355156868995</c:v>
                </c:pt>
                <c:pt idx="6">
                  <c:v>0.55432355156868995</c:v>
                </c:pt>
                <c:pt idx="7">
                  <c:v>0.55432355156868995</c:v>
                </c:pt>
                <c:pt idx="8">
                  <c:v>0.55432355156868995</c:v>
                </c:pt>
                <c:pt idx="9">
                  <c:v>0.55432355156868995</c:v>
                </c:pt>
                <c:pt idx="10">
                  <c:v>0.55432355156868995</c:v>
                </c:pt>
                <c:pt idx="11">
                  <c:v>0.55432355156868995</c:v>
                </c:pt>
                <c:pt idx="12">
                  <c:v>0.55432355156868995</c:v>
                </c:pt>
                <c:pt idx="13">
                  <c:v>0.55432355156868995</c:v>
                </c:pt>
                <c:pt idx="14">
                  <c:v>0.55432355156868995</c:v>
                </c:pt>
                <c:pt idx="15">
                  <c:v>0.55432355156868995</c:v>
                </c:pt>
                <c:pt idx="16">
                  <c:v>0.55432355156868995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402048"/>
        <c:axId val="485309184"/>
      </c:lineChart>
      <c:catAx>
        <c:axId val="55040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5309184"/>
        <c:crosses val="autoZero"/>
        <c:auto val="1"/>
        <c:lblAlgn val="ctr"/>
        <c:lblOffset val="100"/>
        <c:noMultiLvlLbl val="0"/>
      </c:catAx>
      <c:valAx>
        <c:axId val="4853091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5040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'24'!$D$6:$D$22</c:f>
              <c:strCache>
                <c:ptCount val="16"/>
                <c:pt idx="0">
                  <c:v>BASE</c:v>
                </c:pt>
                <c:pt idx="2">
                  <c:v>STOPPER</c:v>
                </c:pt>
                <c:pt idx="3">
                  <c:v>4LEAD</c:v>
                </c:pt>
                <c:pt idx="4">
                  <c:v>BASE</c:v>
                </c:pt>
                <c:pt idx="5">
                  <c:v>SLIDER</c:v>
                </c:pt>
                <c:pt idx="6">
                  <c:v>STOPPER</c:v>
                </c:pt>
                <c:pt idx="7">
                  <c:v>BODY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STOPPER</c:v>
                </c:pt>
                <c:pt idx="12">
                  <c:v>STOPPER</c:v>
                </c:pt>
                <c:pt idx="13">
                  <c:v>COVER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'24'!$L$6:$L$22</c:f>
              <c:numCache>
                <c:formatCode>_(* #,##0_);_(* \(#,##0\);_(* "-"_);_(@_)</c:formatCode>
                <c:ptCount val="17"/>
                <c:pt idx="0">
                  <c:v>9238</c:v>
                </c:pt>
                <c:pt idx="2">
                  <c:v>5167</c:v>
                </c:pt>
                <c:pt idx="3">
                  <c:v>5506</c:v>
                </c:pt>
                <c:pt idx="4">
                  <c:v>4382</c:v>
                </c:pt>
                <c:pt idx="5">
                  <c:v>4473</c:v>
                </c:pt>
                <c:pt idx="6">
                  <c:v>2630</c:v>
                </c:pt>
                <c:pt idx="7">
                  <c:v>2195</c:v>
                </c:pt>
                <c:pt idx="9">
                  <c:v>76</c:v>
                </c:pt>
                <c:pt idx="11">
                  <c:v>1198</c:v>
                </c:pt>
                <c:pt idx="12">
                  <c:v>704</c:v>
                </c:pt>
                <c:pt idx="13">
                  <c:v>7920</c:v>
                </c:pt>
                <c:pt idx="14">
                  <c:v>3753</c:v>
                </c:pt>
                <c:pt idx="15">
                  <c:v>5262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'24'!$D$6:$D$22</c:f>
              <c:strCache>
                <c:ptCount val="16"/>
                <c:pt idx="0">
                  <c:v>BASE</c:v>
                </c:pt>
                <c:pt idx="2">
                  <c:v>STOPPER</c:v>
                </c:pt>
                <c:pt idx="3">
                  <c:v>4LEAD</c:v>
                </c:pt>
                <c:pt idx="4">
                  <c:v>BASE</c:v>
                </c:pt>
                <c:pt idx="5">
                  <c:v>SLIDER</c:v>
                </c:pt>
                <c:pt idx="6">
                  <c:v>STOPPER</c:v>
                </c:pt>
                <c:pt idx="7">
                  <c:v>BODY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STOPPER</c:v>
                </c:pt>
                <c:pt idx="12">
                  <c:v>STOPPER</c:v>
                </c:pt>
                <c:pt idx="13">
                  <c:v>COVER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'24'!$J$6:$J$22</c:f>
              <c:numCache>
                <c:formatCode>_(* #,##0_);_(* \(#,##0\);_(* "-"_);_(@_)</c:formatCode>
                <c:ptCount val="17"/>
                <c:pt idx="0">
                  <c:v>9330</c:v>
                </c:pt>
                <c:pt idx="1">
                  <c:v>1300</c:v>
                </c:pt>
                <c:pt idx="2">
                  <c:v>5170</c:v>
                </c:pt>
                <c:pt idx="3">
                  <c:v>5510</c:v>
                </c:pt>
                <c:pt idx="4">
                  <c:v>4382</c:v>
                </c:pt>
                <c:pt idx="5">
                  <c:v>4480</c:v>
                </c:pt>
                <c:pt idx="6">
                  <c:v>2630</c:v>
                </c:pt>
                <c:pt idx="7">
                  <c:v>2200</c:v>
                </c:pt>
                <c:pt idx="8">
                  <c:v>1130</c:v>
                </c:pt>
                <c:pt idx="9">
                  <c:v>76</c:v>
                </c:pt>
                <c:pt idx="10">
                  <c:v>1590</c:v>
                </c:pt>
                <c:pt idx="11">
                  <c:v>1200</c:v>
                </c:pt>
                <c:pt idx="12">
                  <c:v>710</c:v>
                </c:pt>
                <c:pt idx="13">
                  <c:v>7920</c:v>
                </c:pt>
                <c:pt idx="14">
                  <c:v>3760</c:v>
                </c:pt>
                <c:pt idx="15">
                  <c:v>5270</c:v>
                </c:pt>
                <c:pt idx="16">
                  <c:v>57600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403584"/>
        <c:axId val="487859328"/>
      </c:lineChart>
      <c:catAx>
        <c:axId val="55040358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7859328"/>
        <c:crosses val="autoZero"/>
        <c:auto val="1"/>
        <c:lblAlgn val="ctr"/>
        <c:lblOffset val="100"/>
        <c:noMultiLvlLbl val="0"/>
      </c:catAx>
      <c:valAx>
        <c:axId val="48785932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50403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'24'!$AD$6:$AD$22</c:f>
              <c:strCache>
                <c:ptCount val="1"/>
                <c:pt idx="0">
                  <c:v>99% 0% 96% 100% 92% 79% 29% 50% 0% 17% 0% 29% 17% 42% 83%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'24'!$D$6:$D$22</c:f>
              <c:strCache>
                <c:ptCount val="16"/>
                <c:pt idx="0">
                  <c:v>BASE</c:v>
                </c:pt>
                <c:pt idx="2">
                  <c:v>STOPPER</c:v>
                </c:pt>
                <c:pt idx="3">
                  <c:v>4LEAD</c:v>
                </c:pt>
                <c:pt idx="4">
                  <c:v>BASE</c:v>
                </c:pt>
                <c:pt idx="5">
                  <c:v>SLIDER</c:v>
                </c:pt>
                <c:pt idx="6">
                  <c:v>STOPPER</c:v>
                </c:pt>
                <c:pt idx="7">
                  <c:v>BODY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STOPPER</c:v>
                </c:pt>
                <c:pt idx="12">
                  <c:v>STOPPER</c:v>
                </c:pt>
                <c:pt idx="13">
                  <c:v>COVER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'24'!$AD$6:$AD$22</c:f>
              <c:numCache>
                <c:formatCode>0%</c:formatCode>
                <c:ptCount val="17"/>
                <c:pt idx="0">
                  <c:v>0.9901393354769561</c:v>
                </c:pt>
                <c:pt idx="1">
                  <c:v>0</c:v>
                </c:pt>
                <c:pt idx="2">
                  <c:v>0.95777724049000645</c:v>
                </c:pt>
                <c:pt idx="3">
                  <c:v>0.9992740471869328</c:v>
                </c:pt>
                <c:pt idx="4">
                  <c:v>0.91666666666666663</c:v>
                </c:pt>
                <c:pt idx="5">
                  <c:v>0.79042968749999998</c:v>
                </c:pt>
                <c:pt idx="6">
                  <c:v>0.29166666666666669</c:v>
                </c:pt>
                <c:pt idx="7">
                  <c:v>0.49886363636363634</c:v>
                </c:pt>
                <c:pt idx="8">
                  <c:v>0</c:v>
                </c:pt>
                <c:pt idx="9">
                  <c:v>0.16666666666666666</c:v>
                </c:pt>
                <c:pt idx="10">
                  <c:v>0</c:v>
                </c:pt>
                <c:pt idx="11">
                  <c:v>0.29118055555555555</c:v>
                </c:pt>
                <c:pt idx="12">
                  <c:v>0.16525821596244131</c:v>
                </c:pt>
                <c:pt idx="13">
                  <c:v>0.41666666666666669</c:v>
                </c:pt>
                <c:pt idx="14">
                  <c:v>0.83178191489361708</c:v>
                </c:pt>
                <c:pt idx="15">
                  <c:v>0.99848197343453515</c:v>
                </c:pt>
                <c:pt idx="16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'24'!$D$6:$D$22</c:f>
              <c:strCache>
                <c:ptCount val="16"/>
                <c:pt idx="0">
                  <c:v>BASE</c:v>
                </c:pt>
                <c:pt idx="2">
                  <c:v>STOPPER</c:v>
                </c:pt>
                <c:pt idx="3">
                  <c:v>4LEAD</c:v>
                </c:pt>
                <c:pt idx="4">
                  <c:v>BASE</c:v>
                </c:pt>
                <c:pt idx="5">
                  <c:v>SLIDER</c:v>
                </c:pt>
                <c:pt idx="6">
                  <c:v>STOPPER</c:v>
                </c:pt>
                <c:pt idx="7">
                  <c:v>BODY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STOPPER</c:v>
                </c:pt>
                <c:pt idx="12">
                  <c:v>STOPPER</c:v>
                </c:pt>
                <c:pt idx="13">
                  <c:v>COVER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'24'!$AE$6:$AE$22</c:f>
              <c:numCache>
                <c:formatCode>0%</c:formatCode>
                <c:ptCount val="17"/>
                <c:pt idx="0">
                  <c:v>0.55432355156868995</c:v>
                </c:pt>
                <c:pt idx="1">
                  <c:v>0.55432355156868995</c:v>
                </c:pt>
                <c:pt idx="2">
                  <c:v>0.55432355156868995</c:v>
                </c:pt>
                <c:pt idx="3">
                  <c:v>0.55432355156868995</c:v>
                </c:pt>
                <c:pt idx="4">
                  <c:v>0.55432355156868995</c:v>
                </c:pt>
                <c:pt idx="5">
                  <c:v>0.55432355156868995</c:v>
                </c:pt>
                <c:pt idx="6">
                  <c:v>0.55432355156868995</c:v>
                </c:pt>
                <c:pt idx="7">
                  <c:v>0.55432355156868995</c:v>
                </c:pt>
                <c:pt idx="8">
                  <c:v>0.55432355156868995</c:v>
                </c:pt>
                <c:pt idx="9">
                  <c:v>0.55432355156868995</c:v>
                </c:pt>
                <c:pt idx="10">
                  <c:v>0.55432355156868995</c:v>
                </c:pt>
                <c:pt idx="11">
                  <c:v>0.55432355156868995</c:v>
                </c:pt>
                <c:pt idx="12">
                  <c:v>0.55432355156868995</c:v>
                </c:pt>
                <c:pt idx="13">
                  <c:v>0.55432355156868995</c:v>
                </c:pt>
                <c:pt idx="14">
                  <c:v>0.55432355156868995</c:v>
                </c:pt>
                <c:pt idx="15">
                  <c:v>0.55432355156868995</c:v>
                </c:pt>
                <c:pt idx="16">
                  <c:v>0.55432355156868995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39968"/>
        <c:axId val="487861056"/>
      </c:lineChart>
      <c:catAx>
        <c:axId val="5507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7861056"/>
        <c:crosses val="autoZero"/>
        <c:auto val="1"/>
        <c:lblAlgn val="ctr"/>
        <c:lblOffset val="100"/>
        <c:noMultiLvlLbl val="0"/>
      </c:catAx>
      <c:valAx>
        <c:axId val="4878610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50739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740480"/>
        <c:axId val="48786336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40480"/>
        <c:axId val="487863360"/>
      </c:lineChart>
      <c:catAx>
        <c:axId val="55074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487863360"/>
        <c:crosses val="autoZero"/>
        <c:auto val="1"/>
        <c:lblAlgn val="ctr"/>
        <c:lblOffset val="100"/>
        <c:noMultiLvlLbl val="0"/>
      </c:catAx>
      <c:valAx>
        <c:axId val="4878633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5074048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'25'!$D$6:$D$22</c:f>
              <c:strCache>
                <c:ptCount val="16"/>
                <c:pt idx="0">
                  <c:v>BASE</c:v>
                </c:pt>
                <c:pt idx="1">
                  <c:v>LEAD GUIDE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BASE</c:v>
                </c:pt>
                <c:pt idx="6">
                  <c:v>STOPPER</c:v>
                </c:pt>
                <c:pt idx="7">
                  <c:v>SLIDER</c:v>
                </c:pt>
                <c:pt idx="8">
                  <c:v>BODY</c:v>
                </c:pt>
                <c:pt idx="9">
                  <c:v>STOPPER</c:v>
                </c:pt>
                <c:pt idx="10">
                  <c:v>BASE</c:v>
                </c:pt>
                <c:pt idx="11">
                  <c:v>F/ADAPTER</c:v>
                </c:pt>
                <c:pt idx="12">
                  <c:v>STOPPER</c:v>
                </c:pt>
                <c:pt idx="13">
                  <c:v>COVER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'25'!$L$6:$L$22</c:f>
              <c:numCache>
                <c:formatCode>_(* #,##0_);_(* \(#,##0\);_(* "-"_);_(@_)</c:formatCode>
                <c:ptCount val="17"/>
                <c:pt idx="0">
                  <c:v>5642</c:v>
                </c:pt>
                <c:pt idx="1">
                  <c:v>2531</c:v>
                </c:pt>
                <c:pt idx="2">
                  <c:v>5773</c:v>
                </c:pt>
                <c:pt idx="3">
                  <c:v>1112</c:v>
                </c:pt>
                <c:pt idx="4">
                  <c:v>3535</c:v>
                </c:pt>
                <c:pt idx="5">
                  <c:v>1242</c:v>
                </c:pt>
                <c:pt idx="6">
                  <c:v>1520</c:v>
                </c:pt>
                <c:pt idx="7">
                  <c:v>6359</c:v>
                </c:pt>
                <c:pt idx="8">
                  <c:v>4079</c:v>
                </c:pt>
                <c:pt idx="9">
                  <c:v>6060</c:v>
                </c:pt>
                <c:pt idx="12">
                  <c:v>4156</c:v>
                </c:pt>
                <c:pt idx="14">
                  <c:v>5521</c:v>
                </c:pt>
                <c:pt idx="15">
                  <c:v>2977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'25'!$D$6:$D$22</c:f>
              <c:strCache>
                <c:ptCount val="16"/>
                <c:pt idx="0">
                  <c:v>BASE</c:v>
                </c:pt>
                <c:pt idx="1">
                  <c:v>LEAD GUIDE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BASE</c:v>
                </c:pt>
                <c:pt idx="6">
                  <c:v>STOPPER</c:v>
                </c:pt>
                <c:pt idx="7">
                  <c:v>SLIDER</c:v>
                </c:pt>
                <c:pt idx="8">
                  <c:v>BODY</c:v>
                </c:pt>
                <c:pt idx="9">
                  <c:v>STOPPER</c:v>
                </c:pt>
                <c:pt idx="10">
                  <c:v>BASE</c:v>
                </c:pt>
                <c:pt idx="11">
                  <c:v>F/ADAPTER</c:v>
                </c:pt>
                <c:pt idx="12">
                  <c:v>STOPPER</c:v>
                </c:pt>
                <c:pt idx="13">
                  <c:v>COVER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'25'!$J$6:$J$22</c:f>
              <c:numCache>
                <c:formatCode>_(* #,##0_);_(* \(#,##0\);_(* "-"_);_(@_)</c:formatCode>
                <c:ptCount val="17"/>
                <c:pt idx="0">
                  <c:v>5650</c:v>
                </c:pt>
                <c:pt idx="1">
                  <c:v>2540</c:v>
                </c:pt>
                <c:pt idx="2">
                  <c:v>5780</c:v>
                </c:pt>
                <c:pt idx="3">
                  <c:v>1120</c:v>
                </c:pt>
                <c:pt idx="4">
                  <c:v>3540</c:v>
                </c:pt>
                <c:pt idx="5">
                  <c:v>1250</c:v>
                </c:pt>
                <c:pt idx="6">
                  <c:v>1520</c:v>
                </c:pt>
                <c:pt idx="7">
                  <c:v>6360</c:v>
                </c:pt>
                <c:pt idx="8">
                  <c:v>4080</c:v>
                </c:pt>
                <c:pt idx="9">
                  <c:v>6060</c:v>
                </c:pt>
                <c:pt idx="10">
                  <c:v>76</c:v>
                </c:pt>
                <c:pt idx="11">
                  <c:v>1590</c:v>
                </c:pt>
                <c:pt idx="12">
                  <c:v>4160</c:v>
                </c:pt>
                <c:pt idx="13">
                  <c:v>7920</c:v>
                </c:pt>
                <c:pt idx="14">
                  <c:v>5530</c:v>
                </c:pt>
                <c:pt idx="15">
                  <c:v>3000</c:v>
                </c:pt>
                <c:pt idx="16">
                  <c:v>57600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198208"/>
        <c:axId val="488062976"/>
      </c:lineChart>
      <c:catAx>
        <c:axId val="55119820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8062976"/>
        <c:crosses val="autoZero"/>
        <c:auto val="1"/>
        <c:lblAlgn val="ctr"/>
        <c:lblOffset val="100"/>
        <c:noMultiLvlLbl val="0"/>
      </c:catAx>
      <c:valAx>
        <c:axId val="48806297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5119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'25'!$AD$6:$AD$22</c:f>
              <c:strCache>
                <c:ptCount val="1"/>
                <c:pt idx="0">
                  <c:v>75% 58% 100% 21% 71% 25% 38% 100% 92% 75% 0% 0% 87% 0% 100% 74%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'25'!$D$6:$D$22</c:f>
              <c:strCache>
                <c:ptCount val="16"/>
                <c:pt idx="0">
                  <c:v>BASE</c:v>
                </c:pt>
                <c:pt idx="1">
                  <c:v>LEAD GUIDE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BASE</c:v>
                </c:pt>
                <c:pt idx="6">
                  <c:v>STOPPER</c:v>
                </c:pt>
                <c:pt idx="7">
                  <c:v>SLIDER</c:v>
                </c:pt>
                <c:pt idx="8">
                  <c:v>BODY</c:v>
                </c:pt>
                <c:pt idx="9">
                  <c:v>STOPPER</c:v>
                </c:pt>
                <c:pt idx="10">
                  <c:v>BASE</c:v>
                </c:pt>
                <c:pt idx="11">
                  <c:v>F/ADAPTER</c:v>
                </c:pt>
                <c:pt idx="12">
                  <c:v>STOPPER</c:v>
                </c:pt>
                <c:pt idx="13">
                  <c:v>COVER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'25'!$AD$6:$AD$22</c:f>
              <c:numCache>
                <c:formatCode>0%</c:formatCode>
                <c:ptCount val="17"/>
                <c:pt idx="0">
                  <c:v>0.74893805309734507</c:v>
                </c:pt>
                <c:pt idx="1">
                  <c:v>0.58126640419947506</c:v>
                </c:pt>
                <c:pt idx="2">
                  <c:v>0.99878892733564018</c:v>
                </c:pt>
                <c:pt idx="3">
                  <c:v>0.20684523809523811</c:v>
                </c:pt>
                <c:pt idx="4">
                  <c:v>0.70733286252354055</c:v>
                </c:pt>
                <c:pt idx="5">
                  <c:v>0.24840000000000001</c:v>
                </c:pt>
                <c:pt idx="6">
                  <c:v>0.375</c:v>
                </c:pt>
                <c:pt idx="7">
                  <c:v>0.99984276729559751</c:v>
                </c:pt>
                <c:pt idx="8">
                  <c:v>0.9164419934640522</c:v>
                </c:pt>
                <c:pt idx="9">
                  <c:v>0.75</c:v>
                </c:pt>
                <c:pt idx="10">
                  <c:v>0</c:v>
                </c:pt>
                <c:pt idx="11">
                  <c:v>0</c:v>
                </c:pt>
                <c:pt idx="12">
                  <c:v>0.87415865384615388</c:v>
                </c:pt>
                <c:pt idx="13">
                  <c:v>0</c:v>
                </c:pt>
                <c:pt idx="14">
                  <c:v>0.99837251356238699</c:v>
                </c:pt>
                <c:pt idx="15">
                  <c:v>0.74424999999999997</c:v>
                </c:pt>
                <c:pt idx="16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'25'!$D$6:$D$22</c:f>
              <c:strCache>
                <c:ptCount val="16"/>
                <c:pt idx="0">
                  <c:v>BASE</c:v>
                </c:pt>
                <c:pt idx="1">
                  <c:v>LEAD GUIDE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BASE</c:v>
                </c:pt>
                <c:pt idx="6">
                  <c:v>STOPPER</c:v>
                </c:pt>
                <c:pt idx="7">
                  <c:v>SLIDER</c:v>
                </c:pt>
                <c:pt idx="8">
                  <c:v>BODY</c:v>
                </c:pt>
                <c:pt idx="9">
                  <c:v>STOPPER</c:v>
                </c:pt>
                <c:pt idx="10">
                  <c:v>BASE</c:v>
                </c:pt>
                <c:pt idx="11">
                  <c:v>F/ADAPTER</c:v>
                </c:pt>
                <c:pt idx="12">
                  <c:v>STOPPER</c:v>
                </c:pt>
                <c:pt idx="13">
                  <c:v>COVER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'25'!$AE$6:$AE$22</c:f>
              <c:numCache>
                <c:formatCode>0%</c:formatCode>
                <c:ptCount val="17"/>
                <c:pt idx="0">
                  <c:v>0.6099758275612952</c:v>
                </c:pt>
                <c:pt idx="1">
                  <c:v>0.6099758275612952</c:v>
                </c:pt>
                <c:pt idx="2">
                  <c:v>0.6099758275612952</c:v>
                </c:pt>
                <c:pt idx="3">
                  <c:v>0.6099758275612952</c:v>
                </c:pt>
                <c:pt idx="4">
                  <c:v>0.6099758275612952</c:v>
                </c:pt>
                <c:pt idx="5">
                  <c:v>0.6099758275612952</c:v>
                </c:pt>
                <c:pt idx="6">
                  <c:v>0.6099758275612952</c:v>
                </c:pt>
                <c:pt idx="7">
                  <c:v>0.6099758275612952</c:v>
                </c:pt>
                <c:pt idx="8">
                  <c:v>0.6099758275612952</c:v>
                </c:pt>
                <c:pt idx="9">
                  <c:v>0.6099758275612952</c:v>
                </c:pt>
                <c:pt idx="10">
                  <c:v>0.6099758275612952</c:v>
                </c:pt>
                <c:pt idx="11">
                  <c:v>0.6099758275612952</c:v>
                </c:pt>
                <c:pt idx="12">
                  <c:v>0.6099758275612952</c:v>
                </c:pt>
                <c:pt idx="13">
                  <c:v>0.6099758275612952</c:v>
                </c:pt>
                <c:pt idx="14">
                  <c:v>0.6099758275612952</c:v>
                </c:pt>
                <c:pt idx="15">
                  <c:v>0.6099758275612952</c:v>
                </c:pt>
                <c:pt idx="16">
                  <c:v>0.6099758275612952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200256"/>
        <c:axId val="488064704"/>
      </c:lineChart>
      <c:catAx>
        <c:axId val="55120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8064704"/>
        <c:crosses val="autoZero"/>
        <c:auto val="1"/>
        <c:lblAlgn val="ctr"/>
        <c:lblOffset val="100"/>
        <c:noMultiLvlLbl val="0"/>
      </c:catAx>
      <c:valAx>
        <c:axId val="4880647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51200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'02'!$AD$6:$AD$21</c:f>
              <c:strCache>
                <c:ptCount val="1"/>
                <c:pt idx="0">
                  <c:v>0% 0% 100% 83% 87% 62% 67% 66% 0% 0% 0% 52% 0% 83% 75% 79%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'02'!$D$6:$D$21</c:f>
              <c:strCache>
                <c:ptCount val="15"/>
                <c:pt idx="1">
                  <c:v>COVER</c:v>
                </c:pt>
                <c:pt idx="2">
                  <c:v>STOPPER</c:v>
                </c:pt>
                <c:pt idx="3">
                  <c:v>BASE</c:v>
                </c:pt>
                <c:pt idx="4">
                  <c:v>SLIDER</c:v>
                </c:pt>
                <c:pt idx="5">
                  <c:v>TOP</c:v>
                </c:pt>
                <c:pt idx="6">
                  <c:v>BOTTOM</c:v>
                </c:pt>
                <c:pt idx="7">
                  <c:v>BASE</c:v>
                </c:pt>
                <c:pt idx="8">
                  <c:v>ACTUATOR</c:v>
                </c:pt>
                <c:pt idx="9">
                  <c:v>BASE</c:v>
                </c:pt>
                <c:pt idx="10">
                  <c:v>BOTTOM</c:v>
                </c:pt>
                <c:pt idx="11">
                  <c:v>BASE</c:v>
                </c:pt>
                <c:pt idx="12">
                  <c:v>FLOAT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'02'!$AD$6:$AD$21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0.99889298892988931</c:v>
                </c:pt>
                <c:pt idx="3">
                  <c:v>0.83288288288288292</c:v>
                </c:pt>
                <c:pt idx="4">
                  <c:v>0.87455012853470437</c:v>
                </c:pt>
                <c:pt idx="5">
                  <c:v>0.62379476584022031</c:v>
                </c:pt>
                <c:pt idx="6">
                  <c:v>0.66666666666666663</c:v>
                </c:pt>
                <c:pt idx="7">
                  <c:v>0.66447187928669404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0.51978390461997015</c:v>
                </c:pt>
                <c:pt idx="12">
                  <c:v>0</c:v>
                </c:pt>
                <c:pt idx="13">
                  <c:v>0.83333333333333337</c:v>
                </c:pt>
                <c:pt idx="14">
                  <c:v>0.74975961538461533</c:v>
                </c:pt>
                <c:pt idx="15">
                  <c:v>0.79157736416619662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'02'!$D$6:$D$21</c:f>
              <c:strCache>
                <c:ptCount val="15"/>
                <c:pt idx="1">
                  <c:v>COVER</c:v>
                </c:pt>
                <c:pt idx="2">
                  <c:v>STOPPER</c:v>
                </c:pt>
                <c:pt idx="3">
                  <c:v>BASE</c:v>
                </c:pt>
                <c:pt idx="4">
                  <c:v>SLIDER</c:v>
                </c:pt>
                <c:pt idx="5">
                  <c:v>TOP</c:v>
                </c:pt>
                <c:pt idx="6">
                  <c:v>BOTTOM</c:v>
                </c:pt>
                <c:pt idx="7">
                  <c:v>BASE</c:v>
                </c:pt>
                <c:pt idx="8">
                  <c:v>ACTUATOR</c:v>
                </c:pt>
                <c:pt idx="9">
                  <c:v>BASE</c:v>
                </c:pt>
                <c:pt idx="10">
                  <c:v>BOTTOM</c:v>
                </c:pt>
                <c:pt idx="11">
                  <c:v>BASE</c:v>
                </c:pt>
                <c:pt idx="12">
                  <c:v>FLOAT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'02'!$AE$6:$AE$21</c:f>
              <c:numCache>
                <c:formatCode>0%</c:formatCode>
                <c:ptCount val="16"/>
                <c:pt idx="0">
                  <c:v>0.50371423530967818</c:v>
                </c:pt>
                <c:pt idx="1">
                  <c:v>0.50371423530967818</c:v>
                </c:pt>
                <c:pt idx="2">
                  <c:v>0.50371423530967818</c:v>
                </c:pt>
                <c:pt idx="3">
                  <c:v>0.50371423530967818</c:v>
                </c:pt>
                <c:pt idx="4">
                  <c:v>0.50371423530967818</c:v>
                </c:pt>
                <c:pt idx="5">
                  <c:v>0.50371423530967818</c:v>
                </c:pt>
                <c:pt idx="6">
                  <c:v>0.50371423530967818</c:v>
                </c:pt>
                <c:pt idx="7">
                  <c:v>0.50371423530967818</c:v>
                </c:pt>
                <c:pt idx="8">
                  <c:v>0.50371423530967818</c:v>
                </c:pt>
                <c:pt idx="9">
                  <c:v>0.50371423530967818</c:v>
                </c:pt>
                <c:pt idx="10">
                  <c:v>0.50371423530967818</c:v>
                </c:pt>
                <c:pt idx="11">
                  <c:v>0.50371423530967818</c:v>
                </c:pt>
                <c:pt idx="12">
                  <c:v>0.50371423530967818</c:v>
                </c:pt>
                <c:pt idx="13">
                  <c:v>0.50371423530967818</c:v>
                </c:pt>
                <c:pt idx="14">
                  <c:v>0.50371423530967818</c:v>
                </c:pt>
                <c:pt idx="15">
                  <c:v>0.50371423530967818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217152"/>
        <c:axId val="662173312"/>
      </c:lineChart>
      <c:catAx>
        <c:axId val="69521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662173312"/>
        <c:crosses val="autoZero"/>
        <c:auto val="1"/>
        <c:lblAlgn val="ctr"/>
        <c:lblOffset val="100"/>
        <c:noMultiLvlLbl val="0"/>
      </c:catAx>
      <c:valAx>
        <c:axId val="66217331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69521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'25'!$D$6:$D$22</c:f>
              <c:strCache>
                <c:ptCount val="16"/>
                <c:pt idx="0">
                  <c:v>BASE</c:v>
                </c:pt>
                <c:pt idx="1">
                  <c:v>LEAD GUIDE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BASE</c:v>
                </c:pt>
                <c:pt idx="6">
                  <c:v>STOPPER</c:v>
                </c:pt>
                <c:pt idx="7">
                  <c:v>SLIDER</c:v>
                </c:pt>
                <c:pt idx="8">
                  <c:v>BODY</c:v>
                </c:pt>
                <c:pt idx="9">
                  <c:v>STOPPER</c:v>
                </c:pt>
                <c:pt idx="10">
                  <c:v>BASE</c:v>
                </c:pt>
                <c:pt idx="11">
                  <c:v>F/ADAPTER</c:v>
                </c:pt>
                <c:pt idx="12">
                  <c:v>STOPPER</c:v>
                </c:pt>
                <c:pt idx="13">
                  <c:v>COVER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'25'!$L$6:$L$22</c:f>
              <c:numCache>
                <c:formatCode>_(* #,##0_);_(* \(#,##0\);_(* "-"_);_(@_)</c:formatCode>
                <c:ptCount val="17"/>
                <c:pt idx="0">
                  <c:v>5642</c:v>
                </c:pt>
                <c:pt idx="1">
                  <c:v>2531</c:v>
                </c:pt>
                <c:pt idx="2">
                  <c:v>5773</c:v>
                </c:pt>
                <c:pt idx="3">
                  <c:v>1112</c:v>
                </c:pt>
                <c:pt idx="4">
                  <c:v>3535</c:v>
                </c:pt>
                <c:pt idx="5">
                  <c:v>1242</c:v>
                </c:pt>
                <c:pt idx="6">
                  <c:v>1520</c:v>
                </c:pt>
                <c:pt idx="7">
                  <c:v>6359</c:v>
                </c:pt>
                <c:pt idx="8">
                  <c:v>4079</c:v>
                </c:pt>
                <c:pt idx="9">
                  <c:v>6060</c:v>
                </c:pt>
                <c:pt idx="12">
                  <c:v>4156</c:v>
                </c:pt>
                <c:pt idx="14">
                  <c:v>5521</c:v>
                </c:pt>
                <c:pt idx="15">
                  <c:v>2977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'25'!$D$6:$D$22</c:f>
              <c:strCache>
                <c:ptCount val="16"/>
                <c:pt idx="0">
                  <c:v>BASE</c:v>
                </c:pt>
                <c:pt idx="1">
                  <c:v>LEAD GUIDE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BASE</c:v>
                </c:pt>
                <c:pt idx="6">
                  <c:v>STOPPER</c:v>
                </c:pt>
                <c:pt idx="7">
                  <c:v>SLIDER</c:v>
                </c:pt>
                <c:pt idx="8">
                  <c:v>BODY</c:v>
                </c:pt>
                <c:pt idx="9">
                  <c:v>STOPPER</c:v>
                </c:pt>
                <c:pt idx="10">
                  <c:v>BASE</c:v>
                </c:pt>
                <c:pt idx="11">
                  <c:v>F/ADAPTER</c:v>
                </c:pt>
                <c:pt idx="12">
                  <c:v>STOPPER</c:v>
                </c:pt>
                <c:pt idx="13">
                  <c:v>COVER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'25'!$J$6:$J$22</c:f>
              <c:numCache>
                <c:formatCode>_(* #,##0_);_(* \(#,##0\);_(* "-"_);_(@_)</c:formatCode>
                <c:ptCount val="17"/>
                <c:pt idx="0">
                  <c:v>5650</c:v>
                </c:pt>
                <c:pt idx="1">
                  <c:v>2540</c:v>
                </c:pt>
                <c:pt idx="2">
                  <c:v>5780</c:v>
                </c:pt>
                <c:pt idx="3">
                  <c:v>1120</c:v>
                </c:pt>
                <c:pt idx="4">
                  <c:v>3540</c:v>
                </c:pt>
                <c:pt idx="5">
                  <c:v>1250</c:v>
                </c:pt>
                <c:pt idx="6">
                  <c:v>1520</c:v>
                </c:pt>
                <c:pt idx="7">
                  <c:v>6360</c:v>
                </c:pt>
                <c:pt idx="8">
                  <c:v>4080</c:v>
                </c:pt>
                <c:pt idx="9">
                  <c:v>6060</c:v>
                </c:pt>
                <c:pt idx="10">
                  <c:v>76</c:v>
                </c:pt>
                <c:pt idx="11">
                  <c:v>1590</c:v>
                </c:pt>
                <c:pt idx="12">
                  <c:v>4160</c:v>
                </c:pt>
                <c:pt idx="13">
                  <c:v>7920</c:v>
                </c:pt>
                <c:pt idx="14">
                  <c:v>5530</c:v>
                </c:pt>
                <c:pt idx="15">
                  <c:v>3000</c:v>
                </c:pt>
                <c:pt idx="16">
                  <c:v>57600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200768"/>
        <c:axId val="488067008"/>
      </c:lineChart>
      <c:catAx>
        <c:axId val="55120076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8067008"/>
        <c:crosses val="autoZero"/>
        <c:auto val="1"/>
        <c:lblAlgn val="ctr"/>
        <c:lblOffset val="100"/>
        <c:noMultiLvlLbl val="0"/>
      </c:catAx>
      <c:valAx>
        <c:axId val="48806700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51200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'25'!$AD$6:$AD$22</c:f>
              <c:strCache>
                <c:ptCount val="1"/>
                <c:pt idx="0">
                  <c:v>75% 58% 100% 21% 71% 25% 38% 100% 92% 75% 0% 0% 87% 0% 100% 74%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'25'!$D$6:$D$22</c:f>
              <c:strCache>
                <c:ptCount val="16"/>
                <c:pt idx="0">
                  <c:v>BASE</c:v>
                </c:pt>
                <c:pt idx="1">
                  <c:v>LEAD GUIDE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BASE</c:v>
                </c:pt>
                <c:pt idx="6">
                  <c:v>STOPPER</c:v>
                </c:pt>
                <c:pt idx="7">
                  <c:v>SLIDER</c:v>
                </c:pt>
                <c:pt idx="8">
                  <c:v>BODY</c:v>
                </c:pt>
                <c:pt idx="9">
                  <c:v>STOPPER</c:v>
                </c:pt>
                <c:pt idx="10">
                  <c:v>BASE</c:v>
                </c:pt>
                <c:pt idx="11">
                  <c:v>F/ADAPTER</c:v>
                </c:pt>
                <c:pt idx="12">
                  <c:v>STOPPER</c:v>
                </c:pt>
                <c:pt idx="13">
                  <c:v>COVER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'25'!$AD$6:$AD$22</c:f>
              <c:numCache>
                <c:formatCode>0%</c:formatCode>
                <c:ptCount val="17"/>
                <c:pt idx="0">
                  <c:v>0.74893805309734507</c:v>
                </c:pt>
                <c:pt idx="1">
                  <c:v>0.58126640419947506</c:v>
                </c:pt>
                <c:pt idx="2">
                  <c:v>0.99878892733564018</c:v>
                </c:pt>
                <c:pt idx="3">
                  <c:v>0.20684523809523811</c:v>
                </c:pt>
                <c:pt idx="4">
                  <c:v>0.70733286252354055</c:v>
                </c:pt>
                <c:pt idx="5">
                  <c:v>0.24840000000000001</c:v>
                </c:pt>
                <c:pt idx="6">
                  <c:v>0.375</c:v>
                </c:pt>
                <c:pt idx="7">
                  <c:v>0.99984276729559751</c:v>
                </c:pt>
                <c:pt idx="8">
                  <c:v>0.9164419934640522</c:v>
                </c:pt>
                <c:pt idx="9">
                  <c:v>0.75</c:v>
                </c:pt>
                <c:pt idx="10">
                  <c:v>0</c:v>
                </c:pt>
                <c:pt idx="11">
                  <c:v>0</c:v>
                </c:pt>
                <c:pt idx="12">
                  <c:v>0.87415865384615388</c:v>
                </c:pt>
                <c:pt idx="13">
                  <c:v>0</c:v>
                </c:pt>
                <c:pt idx="14">
                  <c:v>0.99837251356238699</c:v>
                </c:pt>
                <c:pt idx="15">
                  <c:v>0.74424999999999997</c:v>
                </c:pt>
                <c:pt idx="16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'25'!$D$6:$D$22</c:f>
              <c:strCache>
                <c:ptCount val="16"/>
                <c:pt idx="0">
                  <c:v>BASE</c:v>
                </c:pt>
                <c:pt idx="1">
                  <c:v>LEAD GUIDE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BASE</c:v>
                </c:pt>
                <c:pt idx="6">
                  <c:v>STOPPER</c:v>
                </c:pt>
                <c:pt idx="7">
                  <c:v>SLIDER</c:v>
                </c:pt>
                <c:pt idx="8">
                  <c:v>BODY</c:v>
                </c:pt>
                <c:pt idx="9">
                  <c:v>STOPPER</c:v>
                </c:pt>
                <c:pt idx="10">
                  <c:v>BASE</c:v>
                </c:pt>
                <c:pt idx="11">
                  <c:v>F/ADAPTER</c:v>
                </c:pt>
                <c:pt idx="12">
                  <c:v>STOPPER</c:v>
                </c:pt>
                <c:pt idx="13">
                  <c:v>COVER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'25'!$AE$6:$AE$22</c:f>
              <c:numCache>
                <c:formatCode>0%</c:formatCode>
                <c:ptCount val="17"/>
                <c:pt idx="0">
                  <c:v>0.6099758275612952</c:v>
                </c:pt>
                <c:pt idx="1">
                  <c:v>0.6099758275612952</c:v>
                </c:pt>
                <c:pt idx="2">
                  <c:v>0.6099758275612952</c:v>
                </c:pt>
                <c:pt idx="3">
                  <c:v>0.6099758275612952</c:v>
                </c:pt>
                <c:pt idx="4">
                  <c:v>0.6099758275612952</c:v>
                </c:pt>
                <c:pt idx="5">
                  <c:v>0.6099758275612952</c:v>
                </c:pt>
                <c:pt idx="6">
                  <c:v>0.6099758275612952</c:v>
                </c:pt>
                <c:pt idx="7">
                  <c:v>0.6099758275612952</c:v>
                </c:pt>
                <c:pt idx="8">
                  <c:v>0.6099758275612952</c:v>
                </c:pt>
                <c:pt idx="9">
                  <c:v>0.6099758275612952</c:v>
                </c:pt>
                <c:pt idx="10">
                  <c:v>0.6099758275612952</c:v>
                </c:pt>
                <c:pt idx="11">
                  <c:v>0.6099758275612952</c:v>
                </c:pt>
                <c:pt idx="12">
                  <c:v>0.6099758275612952</c:v>
                </c:pt>
                <c:pt idx="13">
                  <c:v>0.6099758275612952</c:v>
                </c:pt>
                <c:pt idx="14">
                  <c:v>0.6099758275612952</c:v>
                </c:pt>
                <c:pt idx="15">
                  <c:v>0.6099758275612952</c:v>
                </c:pt>
                <c:pt idx="16">
                  <c:v>0.6099758275612952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202304"/>
        <c:axId val="488068736"/>
      </c:lineChart>
      <c:catAx>
        <c:axId val="55120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8068736"/>
        <c:crosses val="autoZero"/>
        <c:auto val="1"/>
        <c:lblAlgn val="ctr"/>
        <c:lblOffset val="100"/>
        <c:noMultiLvlLbl val="0"/>
      </c:catAx>
      <c:valAx>
        <c:axId val="4880687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51202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369600"/>
        <c:axId val="48816128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369600"/>
        <c:axId val="488161280"/>
      </c:lineChart>
      <c:catAx>
        <c:axId val="55336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488161280"/>
        <c:crosses val="autoZero"/>
        <c:auto val="1"/>
        <c:lblAlgn val="ctr"/>
        <c:lblOffset val="100"/>
        <c:noMultiLvlLbl val="0"/>
      </c:catAx>
      <c:valAx>
        <c:axId val="4881612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5336960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'26'!$L$6:$L$20</c:f>
              <c:numCache>
                <c:formatCode>_(* #,##0_);_(* \(#,##0\);_(* "-"_);_(@_)</c:formatCode>
                <c:ptCount val="15"/>
                <c:pt idx="0">
                  <c:v>1421</c:v>
                </c:pt>
                <c:pt idx="1">
                  <c:v>2311</c:v>
                </c:pt>
                <c:pt idx="2">
                  <c:v>2682</c:v>
                </c:pt>
                <c:pt idx="3">
                  <c:v>1239</c:v>
                </c:pt>
                <c:pt idx="5">
                  <c:v>2915</c:v>
                </c:pt>
                <c:pt idx="6">
                  <c:v>2153</c:v>
                </c:pt>
                <c:pt idx="7">
                  <c:v>4268</c:v>
                </c:pt>
                <c:pt idx="10">
                  <c:v>1918</c:v>
                </c:pt>
                <c:pt idx="12">
                  <c:v>2081</c:v>
                </c:pt>
                <c:pt idx="13">
                  <c:v>639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'26'!$D$6:$D$20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'26'!$J$6:$J$20</c:f>
              <c:numCache>
                <c:formatCode>_(* #,##0_);_(* \(#,##0\);_(* "-"_);_(@_)</c:formatCode>
                <c:ptCount val="15"/>
                <c:pt idx="0">
                  <c:v>1430</c:v>
                </c:pt>
                <c:pt idx="1">
                  <c:v>2320</c:v>
                </c:pt>
                <c:pt idx="2">
                  <c:v>2690</c:v>
                </c:pt>
                <c:pt idx="3">
                  <c:v>1240</c:v>
                </c:pt>
                <c:pt idx="4">
                  <c:v>1520</c:v>
                </c:pt>
                <c:pt idx="5">
                  <c:v>2920</c:v>
                </c:pt>
                <c:pt idx="6">
                  <c:v>2160</c:v>
                </c:pt>
                <c:pt idx="7">
                  <c:v>4270</c:v>
                </c:pt>
                <c:pt idx="8">
                  <c:v>76</c:v>
                </c:pt>
                <c:pt idx="9">
                  <c:v>1590</c:v>
                </c:pt>
                <c:pt idx="10">
                  <c:v>1920</c:v>
                </c:pt>
                <c:pt idx="11">
                  <c:v>7920</c:v>
                </c:pt>
                <c:pt idx="12">
                  <c:v>2081</c:v>
                </c:pt>
                <c:pt idx="13">
                  <c:v>640</c:v>
                </c:pt>
                <c:pt idx="14">
                  <c:v>57600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36096"/>
        <c:axId val="488164160"/>
      </c:lineChart>
      <c:catAx>
        <c:axId val="55603609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8164160"/>
        <c:crosses val="autoZero"/>
        <c:auto val="1"/>
        <c:lblAlgn val="ctr"/>
        <c:lblOffset val="100"/>
        <c:noMultiLvlLbl val="0"/>
      </c:catAx>
      <c:valAx>
        <c:axId val="48816416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56036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'26'!$AD$6:$AD$20</c:f>
              <c:strCache>
                <c:ptCount val="1"/>
                <c:pt idx="0">
                  <c:v>37% 42% 42% 29% 0% 42% 42% 42% 0% 0% 33% 0% 42% 17%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'26'!$D$6:$D$20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'26'!$AD$6:$AD$20</c:f>
              <c:numCache>
                <c:formatCode>0%</c:formatCode>
                <c:ptCount val="15"/>
                <c:pt idx="0">
                  <c:v>0.37263986013986017</c:v>
                </c:pt>
                <c:pt idx="1">
                  <c:v>0.41505028735632188</c:v>
                </c:pt>
                <c:pt idx="2">
                  <c:v>0.41542750929368033</c:v>
                </c:pt>
                <c:pt idx="3">
                  <c:v>0.29143145161290324</c:v>
                </c:pt>
                <c:pt idx="4">
                  <c:v>0</c:v>
                </c:pt>
                <c:pt idx="5">
                  <c:v>0.41595319634703198</c:v>
                </c:pt>
                <c:pt idx="6">
                  <c:v>0.41531635802469136</c:v>
                </c:pt>
                <c:pt idx="7">
                  <c:v>0.41647150663544108</c:v>
                </c:pt>
                <c:pt idx="8">
                  <c:v>0</c:v>
                </c:pt>
                <c:pt idx="9">
                  <c:v>0</c:v>
                </c:pt>
                <c:pt idx="10">
                  <c:v>0.33298611111111109</c:v>
                </c:pt>
                <c:pt idx="11">
                  <c:v>0</c:v>
                </c:pt>
                <c:pt idx="12">
                  <c:v>0.41666666666666669</c:v>
                </c:pt>
                <c:pt idx="13">
                  <c:v>0.16640624999999998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'26'!$D$6:$D$20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'26'!$AE$6:$AE$20</c:f>
              <c:numCache>
                <c:formatCode>0%</c:formatCode>
                <c:ptCount val="15"/>
                <c:pt idx="0">
                  <c:v>0.24388994647918052</c:v>
                </c:pt>
                <c:pt idx="1">
                  <c:v>0.24388994647918052</c:v>
                </c:pt>
                <c:pt idx="2">
                  <c:v>0.24388994647918052</c:v>
                </c:pt>
                <c:pt idx="3">
                  <c:v>0.24388994647918052</c:v>
                </c:pt>
                <c:pt idx="4">
                  <c:v>0.24388994647918052</c:v>
                </c:pt>
                <c:pt idx="5">
                  <c:v>0.24388994647918052</c:v>
                </c:pt>
                <c:pt idx="6">
                  <c:v>0.24388994647918052</c:v>
                </c:pt>
                <c:pt idx="7">
                  <c:v>0.24388994647918052</c:v>
                </c:pt>
                <c:pt idx="8">
                  <c:v>0.24388994647918052</c:v>
                </c:pt>
                <c:pt idx="9">
                  <c:v>0.24388994647918052</c:v>
                </c:pt>
                <c:pt idx="10">
                  <c:v>0.24388994647918052</c:v>
                </c:pt>
                <c:pt idx="11">
                  <c:v>0.24388994647918052</c:v>
                </c:pt>
                <c:pt idx="12">
                  <c:v>0.24388994647918052</c:v>
                </c:pt>
                <c:pt idx="13">
                  <c:v>0.24388994647918052</c:v>
                </c:pt>
                <c:pt idx="14">
                  <c:v>0.24388994647918052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37632"/>
        <c:axId val="488165888"/>
      </c:lineChart>
      <c:catAx>
        <c:axId val="55603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8165888"/>
        <c:crosses val="autoZero"/>
        <c:auto val="1"/>
        <c:lblAlgn val="ctr"/>
        <c:lblOffset val="100"/>
        <c:noMultiLvlLbl val="0"/>
      </c:catAx>
      <c:valAx>
        <c:axId val="48816588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56037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'26'!$L$6:$L$20</c:f>
              <c:numCache>
                <c:formatCode>_(* #,##0_);_(* \(#,##0\);_(* "-"_);_(@_)</c:formatCode>
                <c:ptCount val="15"/>
                <c:pt idx="0">
                  <c:v>1421</c:v>
                </c:pt>
                <c:pt idx="1">
                  <c:v>2311</c:v>
                </c:pt>
                <c:pt idx="2">
                  <c:v>2682</c:v>
                </c:pt>
                <c:pt idx="3">
                  <c:v>1239</c:v>
                </c:pt>
                <c:pt idx="5">
                  <c:v>2915</c:v>
                </c:pt>
                <c:pt idx="6">
                  <c:v>2153</c:v>
                </c:pt>
                <c:pt idx="7">
                  <c:v>4268</c:v>
                </c:pt>
                <c:pt idx="10">
                  <c:v>1918</c:v>
                </c:pt>
                <c:pt idx="12">
                  <c:v>2081</c:v>
                </c:pt>
                <c:pt idx="13">
                  <c:v>639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'26'!$D$6:$D$20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'26'!$J$6:$J$20</c:f>
              <c:numCache>
                <c:formatCode>_(* #,##0_);_(* \(#,##0\);_(* "-"_);_(@_)</c:formatCode>
                <c:ptCount val="15"/>
                <c:pt idx="0">
                  <c:v>1430</c:v>
                </c:pt>
                <c:pt idx="1">
                  <c:v>2320</c:v>
                </c:pt>
                <c:pt idx="2">
                  <c:v>2690</c:v>
                </c:pt>
                <c:pt idx="3">
                  <c:v>1240</c:v>
                </c:pt>
                <c:pt idx="4">
                  <c:v>1520</c:v>
                </c:pt>
                <c:pt idx="5">
                  <c:v>2920</c:v>
                </c:pt>
                <c:pt idx="6">
                  <c:v>2160</c:v>
                </c:pt>
                <c:pt idx="7">
                  <c:v>4270</c:v>
                </c:pt>
                <c:pt idx="8">
                  <c:v>76</c:v>
                </c:pt>
                <c:pt idx="9">
                  <c:v>1590</c:v>
                </c:pt>
                <c:pt idx="10">
                  <c:v>1920</c:v>
                </c:pt>
                <c:pt idx="11">
                  <c:v>7920</c:v>
                </c:pt>
                <c:pt idx="12">
                  <c:v>2081</c:v>
                </c:pt>
                <c:pt idx="13">
                  <c:v>640</c:v>
                </c:pt>
                <c:pt idx="14">
                  <c:v>57600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38144"/>
        <c:axId val="488168192"/>
      </c:lineChart>
      <c:catAx>
        <c:axId val="55603814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8168192"/>
        <c:crosses val="autoZero"/>
        <c:auto val="1"/>
        <c:lblAlgn val="ctr"/>
        <c:lblOffset val="100"/>
        <c:noMultiLvlLbl val="0"/>
      </c:catAx>
      <c:valAx>
        <c:axId val="48816819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56038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'26'!$AD$6:$AD$20</c:f>
              <c:strCache>
                <c:ptCount val="1"/>
                <c:pt idx="0">
                  <c:v>37% 42% 42% 29% 0% 42% 42% 42% 0% 0% 33% 0% 42% 17%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'26'!$D$6:$D$20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'26'!$AD$6:$AD$20</c:f>
              <c:numCache>
                <c:formatCode>0%</c:formatCode>
                <c:ptCount val="15"/>
                <c:pt idx="0">
                  <c:v>0.37263986013986017</c:v>
                </c:pt>
                <c:pt idx="1">
                  <c:v>0.41505028735632188</c:v>
                </c:pt>
                <c:pt idx="2">
                  <c:v>0.41542750929368033</c:v>
                </c:pt>
                <c:pt idx="3">
                  <c:v>0.29143145161290324</c:v>
                </c:pt>
                <c:pt idx="4">
                  <c:v>0</c:v>
                </c:pt>
                <c:pt idx="5">
                  <c:v>0.41595319634703198</c:v>
                </c:pt>
                <c:pt idx="6">
                  <c:v>0.41531635802469136</c:v>
                </c:pt>
                <c:pt idx="7">
                  <c:v>0.41647150663544108</c:v>
                </c:pt>
                <c:pt idx="8">
                  <c:v>0</c:v>
                </c:pt>
                <c:pt idx="9">
                  <c:v>0</c:v>
                </c:pt>
                <c:pt idx="10">
                  <c:v>0.33298611111111109</c:v>
                </c:pt>
                <c:pt idx="11">
                  <c:v>0</c:v>
                </c:pt>
                <c:pt idx="12">
                  <c:v>0.41666666666666669</c:v>
                </c:pt>
                <c:pt idx="13">
                  <c:v>0.16640624999999998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'26'!$D$6:$D$20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'26'!$AE$6:$AE$20</c:f>
              <c:numCache>
                <c:formatCode>0%</c:formatCode>
                <c:ptCount val="15"/>
                <c:pt idx="0">
                  <c:v>0.24388994647918052</c:v>
                </c:pt>
                <c:pt idx="1">
                  <c:v>0.24388994647918052</c:v>
                </c:pt>
                <c:pt idx="2">
                  <c:v>0.24388994647918052</c:v>
                </c:pt>
                <c:pt idx="3">
                  <c:v>0.24388994647918052</c:v>
                </c:pt>
                <c:pt idx="4">
                  <c:v>0.24388994647918052</c:v>
                </c:pt>
                <c:pt idx="5">
                  <c:v>0.24388994647918052</c:v>
                </c:pt>
                <c:pt idx="6">
                  <c:v>0.24388994647918052</c:v>
                </c:pt>
                <c:pt idx="7">
                  <c:v>0.24388994647918052</c:v>
                </c:pt>
                <c:pt idx="8">
                  <c:v>0.24388994647918052</c:v>
                </c:pt>
                <c:pt idx="9">
                  <c:v>0.24388994647918052</c:v>
                </c:pt>
                <c:pt idx="10">
                  <c:v>0.24388994647918052</c:v>
                </c:pt>
                <c:pt idx="11">
                  <c:v>0.24388994647918052</c:v>
                </c:pt>
                <c:pt idx="12">
                  <c:v>0.24388994647918052</c:v>
                </c:pt>
                <c:pt idx="13">
                  <c:v>0.24388994647918052</c:v>
                </c:pt>
                <c:pt idx="14">
                  <c:v>0.24388994647918052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39168"/>
        <c:axId val="486294080"/>
      </c:lineChart>
      <c:catAx>
        <c:axId val="55603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6294080"/>
        <c:crosses val="autoZero"/>
        <c:auto val="1"/>
        <c:lblAlgn val="ctr"/>
        <c:lblOffset val="100"/>
        <c:noMultiLvlLbl val="0"/>
      </c:catAx>
      <c:valAx>
        <c:axId val="4862940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5603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370112"/>
        <c:axId val="48629638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370112"/>
        <c:axId val="486296384"/>
      </c:lineChart>
      <c:catAx>
        <c:axId val="55337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486296384"/>
        <c:crosses val="autoZero"/>
        <c:auto val="1"/>
        <c:lblAlgn val="ctr"/>
        <c:lblOffset val="100"/>
        <c:noMultiLvlLbl val="0"/>
      </c:catAx>
      <c:valAx>
        <c:axId val="4862963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5337011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'27'!$L$6:$L$20</c:f>
              <c:numCache>
                <c:formatCode>_(* #,##0_);_(* \(#,##0\);_(* "-"_);_(@_)</c:formatCode>
                <c:ptCount val="15"/>
                <c:pt idx="0">
                  <c:v>4758</c:v>
                </c:pt>
                <c:pt idx="1">
                  <c:v>2994</c:v>
                </c:pt>
                <c:pt idx="2">
                  <c:v>492</c:v>
                </c:pt>
                <c:pt idx="4">
                  <c:v>2562</c:v>
                </c:pt>
                <c:pt idx="5">
                  <c:v>3334</c:v>
                </c:pt>
                <c:pt idx="6">
                  <c:v>1167</c:v>
                </c:pt>
                <c:pt idx="7">
                  <c:v>2601</c:v>
                </c:pt>
                <c:pt idx="12">
                  <c:v>2568</c:v>
                </c:pt>
                <c:pt idx="13">
                  <c:v>4828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'27'!$D$6:$D$20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'27'!$J$6:$J$20</c:f>
              <c:numCache>
                <c:formatCode>_(* #,##0_);_(* \(#,##0\);_(* "-"_);_(@_)</c:formatCode>
                <c:ptCount val="15"/>
                <c:pt idx="0">
                  <c:v>4760</c:v>
                </c:pt>
                <c:pt idx="1">
                  <c:v>3000</c:v>
                </c:pt>
                <c:pt idx="2">
                  <c:v>500</c:v>
                </c:pt>
                <c:pt idx="3">
                  <c:v>1240</c:v>
                </c:pt>
                <c:pt idx="4">
                  <c:v>2570</c:v>
                </c:pt>
                <c:pt idx="5">
                  <c:v>3340</c:v>
                </c:pt>
                <c:pt idx="6">
                  <c:v>1170</c:v>
                </c:pt>
                <c:pt idx="7">
                  <c:v>2610</c:v>
                </c:pt>
                <c:pt idx="8">
                  <c:v>76</c:v>
                </c:pt>
                <c:pt idx="9">
                  <c:v>1590</c:v>
                </c:pt>
                <c:pt idx="10">
                  <c:v>1920</c:v>
                </c:pt>
                <c:pt idx="11">
                  <c:v>7920</c:v>
                </c:pt>
                <c:pt idx="12">
                  <c:v>2570</c:v>
                </c:pt>
                <c:pt idx="13">
                  <c:v>4830</c:v>
                </c:pt>
                <c:pt idx="14">
                  <c:v>57600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60224"/>
        <c:axId val="486299264"/>
      </c:lineChart>
      <c:catAx>
        <c:axId val="55986022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6299264"/>
        <c:crosses val="autoZero"/>
        <c:auto val="1"/>
        <c:lblAlgn val="ctr"/>
        <c:lblOffset val="100"/>
        <c:noMultiLvlLbl val="0"/>
      </c:catAx>
      <c:valAx>
        <c:axId val="48629926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5986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'27'!$AD$6:$AD$20</c:f>
              <c:strCache>
                <c:ptCount val="1"/>
                <c:pt idx="0">
                  <c:v>100% 79% 16% 0% 66% 71% 25% 62% 0% 0% 0% 0% 62%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'27'!$D$6:$D$20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'27'!$AD$6:$AD$20</c:f>
              <c:numCache>
                <c:formatCode>0%</c:formatCode>
                <c:ptCount val="15"/>
                <c:pt idx="0">
                  <c:v>0.99957983193277311</c:v>
                </c:pt>
                <c:pt idx="1">
                  <c:v>0.79008333333333325</c:v>
                </c:pt>
                <c:pt idx="2">
                  <c:v>0.16399999999999998</c:v>
                </c:pt>
                <c:pt idx="3">
                  <c:v>0</c:v>
                </c:pt>
                <c:pt idx="4">
                  <c:v>0.66459143968871592</c:v>
                </c:pt>
                <c:pt idx="5">
                  <c:v>0.70706087824351294</c:v>
                </c:pt>
                <c:pt idx="6">
                  <c:v>0.24935897435897436</c:v>
                </c:pt>
                <c:pt idx="7">
                  <c:v>0.62284482758620685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0.6245136186770428</c:v>
                </c:pt>
                <c:pt idx="13">
                  <c:v>0.99958592132505175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'27'!$D$6:$D$20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'27'!$AE$6:$AE$20</c:f>
              <c:numCache>
                <c:formatCode>0%</c:formatCode>
                <c:ptCount val="15"/>
                <c:pt idx="0">
                  <c:v>0.38810792167637398</c:v>
                </c:pt>
                <c:pt idx="1">
                  <c:v>0.38810792167637398</c:v>
                </c:pt>
                <c:pt idx="2">
                  <c:v>0.38810792167637398</c:v>
                </c:pt>
                <c:pt idx="3">
                  <c:v>0.38810792167637398</c:v>
                </c:pt>
                <c:pt idx="4">
                  <c:v>0.38810792167637398</c:v>
                </c:pt>
                <c:pt idx="5">
                  <c:v>0.38810792167637398</c:v>
                </c:pt>
                <c:pt idx="6">
                  <c:v>0.38810792167637398</c:v>
                </c:pt>
                <c:pt idx="7">
                  <c:v>0.38810792167637398</c:v>
                </c:pt>
                <c:pt idx="8">
                  <c:v>0.38810792167637398</c:v>
                </c:pt>
                <c:pt idx="9">
                  <c:v>0.38810792167637398</c:v>
                </c:pt>
                <c:pt idx="10">
                  <c:v>0.38810792167637398</c:v>
                </c:pt>
                <c:pt idx="11">
                  <c:v>0.38810792167637398</c:v>
                </c:pt>
                <c:pt idx="12">
                  <c:v>0.38810792167637398</c:v>
                </c:pt>
                <c:pt idx="13">
                  <c:v>0.38810792167637398</c:v>
                </c:pt>
                <c:pt idx="14">
                  <c:v>0.38810792167637398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27808"/>
        <c:axId val="486300992"/>
      </c:lineChart>
      <c:catAx>
        <c:axId val="55992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6300992"/>
        <c:crosses val="autoZero"/>
        <c:auto val="1"/>
        <c:lblAlgn val="ctr"/>
        <c:lblOffset val="100"/>
        <c:noMultiLvlLbl val="0"/>
      </c:catAx>
      <c:valAx>
        <c:axId val="48630099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59927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500608"/>
        <c:axId val="114293836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500608"/>
        <c:axId val="1142938368"/>
      </c:lineChart>
      <c:catAx>
        <c:axId val="7305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2938368"/>
        <c:crosses val="autoZero"/>
        <c:auto val="1"/>
        <c:lblAlgn val="ctr"/>
        <c:lblOffset val="100"/>
        <c:noMultiLvlLbl val="0"/>
      </c:catAx>
      <c:valAx>
        <c:axId val="11429383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3050060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'27'!$L$6:$L$20</c:f>
              <c:numCache>
                <c:formatCode>_(* #,##0_);_(* \(#,##0\);_(* "-"_);_(@_)</c:formatCode>
                <c:ptCount val="15"/>
                <c:pt idx="0">
                  <c:v>4758</c:v>
                </c:pt>
                <c:pt idx="1">
                  <c:v>2994</c:v>
                </c:pt>
                <c:pt idx="2">
                  <c:v>492</c:v>
                </c:pt>
                <c:pt idx="4">
                  <c:v>2562</c:v>
                </c:pt>
                <c:pt idx="5">
                  <c:v>3334</c:v>
                </c:pt>
                <c:pt idx="6">
                  <c:v>1167</c:v>
                </c:pt>
                <c:pt idx="7">
                  <c:v>2601</c:v>
                </c:pt>
                <c:pt idx="12">
                  <c:v>2568</c:v>
                </c:pt>
                <c:pt idx="13">
                  <c:v>4828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'27'!$D$6:$D$20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'27'!$J$6:$J$20</c:f>
              <c:numCache>
                <c:formatCode>_(* #,##0_);_(* \(#,##0\);_(* "-"_);_(@_)</c:formatCode>
                <c:ptCount val="15"/>
                <c:pt idx="0">
                  <c:v>4760</c:v>
                </c:pt>
                <c:pt idx="1">
                  <c:v>3000</c:v>
                </c:pt>
                <c:pt idx="2">
                  <c:v>500</c:v>
                </c:pt>
                <c:pt idx="3">
                  <c:v>1240</c:v>
                </c:pt>
                <c:pt idx="4">
                  <c:v>2570</c:v>
                </c:pt>
                <c:pt idx="5">
                  <c:v>3340</c:v>
                </c:pt>
                <c:pt idx="6">
                  <c:v>1170</c:v>
                </c:pt>
                <c:pt idx="7">
                  <c:v>2610</c:v>
                </c:pt>
                <c:pt idx="8">
                  <c:v>76</c:v>
                </c:pt>
                <c:pt idx="9">
                  <c:v>1590</c:v>
                </c:pt>
                <c:pt idx="10">
                  <c:v>1920</c:v>
                </c:pt>
                <c:pt idx="11">
                  <c:v>7920</c:v>
                </c:pt>
                <c:pt idx="12">
                  <c:v>2570</c:v>
                </c:pt>
                <c:pt idx="13">
                  <c:v>4830</c:v>
                </c:pt>
                <c:pt idx="14">
                  <c:v>57600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28320"/>
        <c:axId val="488302272"/>
      </c:lineChart>
      <c:catAx>
        <c:axId val="55992832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8302272"/>
        <c:crosses val="autoZero"/>
        <c:auto val="1"/>
        <c:lblAlgn val="ctr"/>
        <c:lblOffset val="100"/>
        <c:noMultiLvlLbl val="0"/>
      </c:catAx>
      <c:valAx>
        <c:axId val="4883022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59928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'27'!$AD$6:$AD$20</c:f>
              <c:strCache>
                <c:ptCount val="1"/>
                <c:pt idx="0">
                  <c:v>100% 79% 16% 0% 66% 71% 25% 62% 0% 0% 0% 0% 62%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'27'!$D$6:$D$20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'27'!$AD$6:$AD$20</c:f>
              <c:numCache>
                <c:formatCode>0%</c:formatCode>
                <c:ptCount val="15"/>
                <c:pt idx="0">
                  <c:v>0.99957983193277311</c:v>
                </c:pt>
                <c:pt idx="1">
                  <c:v>0.79008333333333325</c:v>
                </c:pt>
                <c:pt idx="2">
                  <c:v>0.16399999999999998</c:v>
                </c:pt>
                <c:pt idx="3">
                  <c:v>0</c:v>
                </c:pt>
                <c:pt idx="4">
                  <c:v>0.66459143968871592</c:v>
                </c:pt>
                <c:pt idx="5">
                  <c:v>0.70706087824351294</c:v>
                </c:pt>
                <c:pt idx="6">
                  <c:v>0.24935897435897436</c:v>
                </c:pt>
                <c:pt idx="7">
                  <c:v>0.62284482758620685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0.6245136186770428</c:v>
                </c:pt>
                <c:pt idx="13">
                  <c:v>0.99958592132505175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'27'!$D$6:$D$20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'27'!$AE$6:$AE$20</c:f>
              <c:numCache>
                <c:formatCode>0%</c:formatCode>
                <c:ptCount val="15"/>
                <c:pt idx="0">
                  <c:v>0.38810792167637398</c:v>
                </c:pt>
                <c:pt idx="1">
                  <c:v>0.38810792167637398</c:v>
                </c:pt>
                <c:pt idx="2">
                  <c:v>0.38810792167637398</c:v>
                </c:pt>
                <c:pt idx="3">
                  <c:v>0.38810792167637398</c:v>
                </c:pt>
                <c:pt idx="4">
                  <c:v>0.38810792167637398</c:v>
                </c:pt>
                <c:pt idx="5">
                  <c:v>0.38810792167637398</c:v>
                </c:pt>
                <c:pt idx="6">
                  <c:v>0.38810792167637398</c:v>
                </c:pt>
                <c:pt idx="7">
                  <c:v>0.38810792167637398</c:v>
                </c:pt>
                <c:pt idx="8">
                  <c:v>0.38810792167637398</c:v>
                </c:pt>
                <c:pt idx="9">
                  <c:v>0.38810792167637398</c:v>
                </c:pt>
                <c:pt idx="10">
                  <c:v>0.38810792167637398</c:v>
                </c:pt>
                <c:pt idx="11">
                  <c:v>0.38810792167637398</c:v>
                </c:pt>
                <c:pt idx="12">
                  <c:v>0.38810792167637398</c:v>
                </c:pt>
                <c:pt idx="13">
                  <c:v>0.38810792167637398</c:v>
                </c:pt>
                <c:pt idx="14">
                  <c:v>0.38810792167637398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29344"/>
        <c:axId val="488304000"/>
      </c:lineChart>
      <c:catAx>
        <c:axId val="55992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8304000"/>
        <c:crosses val="autoZero"/>
        <c:auto val="1"/>
        <c:lblAlgn val="ctr"/>
        <c:lblOffset val="100"/>
        <c:noMultiLvlLbl val="0"/>
      </c:catAx>
      <c:valAx>
        <c:axId val="4883040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59929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929856"/>
        <c:axId val="48830630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29856"/>
        <c:axId val="488306304"/>
      </c:lineChart>
      <c:catAx>
        <c:axId val="55992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488306304"/>
        <c:crosses val="autoZero"/>
        <c:auto val="1"/>
        <c:lblAlgn val="ctr"/>
        <c:lblOffset val="100"/>
        <c:noMultiLvlLbl val="0"/>
      </c:catAx>
      <c:valAx>
        <c:axId val="4883063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5992985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'28'!$L$6:$L$20</c:f>
              <c:numCache>
                <c:formatCode>_(* #,##0_);_(* \(#,##0\);_(* "-"_);_(@_)</c:formatCode>
                <c:ptCount val="15"/>
                <c:pt idx="0">
                  <c:v>4494</c:v>
                </c:pt>
                <c:pt idx="1">
                  <c:v>2547</c:v>
                </c:pt>
                <c:pt idx="2">
                  <c:v>2937</c:v>
                </c:pt>
                <c:pt idx="3">
                  <c:v>3111</c:v>
                </c:pt>
                <c:pt idx="4">
                  <c:v>3442</c:v>
                </c:pt>
                <c:pt idx="5">
                  <c:v>6447</c:v>
                </c:pt>
                <c:pt idx="6">
                  <c:v>3886</c:v>
                </c:pt>
                <c:pt idx="7">
                  <c:v>5722</c:v>
                </c:pt>
                <c:pt idx="8">
                  <c:v>2664</c:v>
                </c:pt>
                <c:pt idx="10">
                  <c:v>2216</c:v>
                </c:pt>
                <c:pt idx="12">
                  <c:v>5446</c:v>
                </c:pt>
                <c:pt idx="13">
                  <c:v>5314</c:v>
                </c:pt>
                <c:pt idx="14">
                  <c:v>13586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'28'!$D$6:$D$20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'28'!$J$6:$J$20</c:f>
              <c:numCache>
                <c:formatCode>_(* #,##0_);_(* \(#,##0\);_(* "-"_);_(@_)</c:formatCode>
                <c:ptCount val="15"/>
                <c:pt idx="0">
                  <c:v>4500</c:v>
                </c:pt>
                <c:pt idx="1">
                  <c:v>2550</c:v>
                </c:pt>
                <c:pt idx="2">
                  <c:v>3000</c:v>
                </c:pt>
                <c:pt idx="3">
                  <c:v>3120</c:v>
                </c:pt>
                <c:pt idx="4">
                  <c:v>3450</c:v>
                </c:pt>
                <c:pt idx="5">
                  <c:v>6450</c:v>
                </c:pt>
                <c:pt idx="6">
                  <c:v>3890</c:v>
                </c:pt>
                <c:pt idx="7">
                  <c:v>5730</c:v>
                </c:pt>
                <c:pt idx="8">
                  <c:v>2670</c:v>
                </c:pt>
                <c:pt idx="9">
                  <c:v>1590</c:v>
                </c:pt>
                <c:pt idx="10">
                  <c:v>2220</c:v>
                </c:pt>
                <c:pt idx="11">
                  <c:v>7920</c:v>
                </c:pt>
                <c:pt idx="12">
                  <c:v>5450</c:v>
                </c:pt>
                <c:pt idx="13">
                  <c:v>5320</c:v>
                </c:pt>
                <c:pt idx="14">
                  <c:v>13590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13984"/>
        <c:axId val="489243200"/>
      </c:lineChart>
      <c:catAx>
        <c:axId val="56151398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9243200"/>
        <c:crosses val="autoZero"/>
        <c:auto val="1"/>
        <c:lblAlgn val="ctr"/>
        <c:lblOffset val="100"/>
        <c:noMultiLvlLbl val="0"/>
      </c:catAx>
      <c:valAx>
        <c:axId val="48924320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61513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'28'!$AD$6:$AD$20</c:f>
              <c:strCache>
                <c:ptCount val="1"/>
                <c:pt idx="0">
                  <c:v>100% 58% 61% 71% 79% 100% 87% 100% 29% 0% 50% 0% 100% 100% 83%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'28'!$D$6:$D$20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'28'!$AD$6:$AD$20</c:f>
              <c:numCache>
                <c:formatCode>0%</c:formatCode>
                <c:ptCount val="15"/>
                <c:pt idx="0">
                  <c:v>0.9986666666666667</c:v>
                </c:pt>
                <c:pt idx="1">
                  <c:v>0.58264705882352941</c:v>
                </c:pt>
                <c:pt idx="2">
                  <c:v>0.61187499999999995</c:v>
                </c:pt>
                <c:pt idx="3">
                  <c:v>0.70629006410256412</c:v>
                </c:pt>
                <c:pt idx="4">
                  <c:v>0.78983091787439619</c:v>
                </c:pt>
                <c:pt idx="5">
                  <c:v>0.99953488372093025</c:v>
                </c:pt>
                <c:pt idx="6">
                  <c:v>0.87410025706940875</c:v>
                </c:pt>
                <c:pt idx="7">
                  <c:v>0.99860383944153575</c:v>
                </c:pt>
                <c:pt idx="8">
                  <c:v>0.29101123595505618</c:v>
                </c:pt>
                <c:pt idx="9">
                  <c:v>0</c:v>
                </c:pt>
                <c:pt idx="10">
                  <c:v>0.49909909909909911</c:v>
                </c:pt>
                <c:pt idx="11">
                  <c:v>0</c:v>
                </c:pt>
                <c:pt idx="12">
                  <c:v>0.99926605504587152</c:v>
                </c:pt>
                <c:pt idx="13">
                  <c:v>0.9988721804511278</c:v>
                </c:pt>
                <c:pt idx="14">
                  <c:v>0.8330880549423596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'28'!$D$6:$D$20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'28'!$AE$6:$AE$20</c:f>
              <c:numCache>
                <c:formatCode>0%</c:formatCode>
                <c:ptCount val="15"/>
                <c:pt idx="0">
                  <c:v>0.67885902087950312</c:v>
                </c:pt>
                <c:pt idx="1">
                  <c:v>0.67885902087950312</c:v>
                </c:pt>
                <c:pt idx="2">
                  <c:v>0.67885902087950312</c:v>
                </c:pt>
                <c:pt idx="3">
                  <c:v>0.67885902087950312</c:v>
                </c:pt>
                <c:pt idx="4">
                  <c:v>0.67885902087950312</c:v>
                </c:pt>
                <c:pt idx="5">
                  <c:v>0.67885902087950312</c:v>
                </c:pt>
                <c:pt idx="6">
                  <c:v>0.67885902087950312</c:v>
                </c:pt>
                <c:pt idx="7">
                  <c:v>0.67885902087950312</c:v>
                </c:pt>
                <c:pt idx="8">
                  <c:v>0.67885902087950312</c:v>
                </c:pt>
                <c:pt idx="9">
                  <c:v>0.67885902087950312</c:v>
                </c:pt>
                <c:pt idx="10">
                  <c:v>0.67885902087950312</c:v>
                </c:pt>
                <c:pt idx="11">
                  <c:v>0.67885902087950312</c:v>
                </c:pt>
                <c:pt idx="12">
                  <c:v>0.67885902087950312</c:v>
                </c:pt>
                <c:pt idx="13">
                  <c:v>0.67885902087950312</c:v>
                </c:pt>
                <c:pt idx="14">
                  <c:v>0.67885902087950312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15008"/>
        <c:axId val="489244928"/>
      </c:lineChart>
      <c:catAx>
        <c:axId val="56151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9244928"/>
        <c:crosses val="autoZero"/>
        <c:auto val="1"/>
        <c:lblAlgn val="ctr"/>
        <c:lblOffset val="100"/>
        <c:noMultiLvlLbl val="0"/>
      </c:catAx>
      <c:valAx>
        <c:axId val="48924492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6151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'28'!$L$6:$L$20</c:f>
              <c:numCache>
                <c:formatCode>_(* #,##0_);_(* \(#,##0\);_(* "-"_);_(@_)</c:formatCode>
                <c:ptCount val="15"/>
                <c:pt idx="0">
                  <c:v>4494</c:v>
                </c:pt>
                <c:pt idx="1">
                  <c:v>2547</c:v>
                </c:pt>
                <c:pt idx="2">
                  <c:v>2937</c:v>
                </c:pt>
                <c:pt idx="3">
                  <c:v>3111</c:v>
                </c:pt>
                <c:pt idx="4">
                  <c:v>3442</c:v>
                </c:pt>
                <c:pt idx="5">
                  <c:v>6447</c:v>
                </c:pt>
                <c:pt idx="6">
                  <c:v>3886</c:v>
                </c:pt>
                <c:pt idx="7">
                  <c:v>5722</c:v>
                </c:pt>
                <c:pt idx="8">
                  <c:v>2664</c:v>
                </c:pt>
                <c:pt idx="10">
                  <c:v>2216</c:v>
                </c:pt>
                <c:pt idx="12">
                  <c:v>5446</c:v>
                </c:pt>
                <c:pt idx="13">
                  <c:v>5314</c:v>
                </c:pt>
                <c:pt idx="14">
                  <c:v>13586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'28'!$D$6:$D$20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'28'!$J$6:$J$20</c:f>
              <c:numCache>
                <c:formatCode>_(* #,##0_);_(* \(#,##0\);_(* "-"_);_(@_)</c:formatCode>
                <c:ptCount val="15"/>
                <c:pt idx="0">
                  <c:v>4500</c:v>
                </c:pt>
                <c:pt idx="1">
                  <c:v>2550</c:v>
                </c:pt>
                <c:pt idx="2">
                  <c:v>3000</c:v>
                </c:pt>
                <c:pt idx="3">
                  <c:v>3120</c:v>
                </c:pt>
                <c:pt idx="4">
                  <c:v>3450</c:v>
                </c:pt>
                <c:pt idx="5">
                  <c:v>6450</c:v>
                </c:pt>
                <c:pt idx="6">
                  <c:v>3890</c:v>
                </c:pt>
                <c:pt idx="7">
                  <c:v>5730</c:v>
                </c:pt>
                <c:pt idx="8">
                  <c:v>2670</c:v>
                </c:pt>
                <c:pt idx="9">
                  <c:v>1590</c:v>
                </c:pt>
                <c:pt idx="10">
                  <c:v>2220</c:v>
                </c:pt>
                <c:pt idx="11">
                  <c:v>7920</c:v>
                </c:pt>
                <c:pt idx="12">
                  <c:v>5450</c:v>
                </c:pt>
                <c:pt idx="13">
                  <c:v>5320</c:v>
                </c:pt>
                <c:pt idx="14">
                  <c:v>13590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16032"/>
        <c:axId val="489247232"/>
      </c:lineChart>
      <c:catAx>
        <c:axId val="56151603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9247232"/>
        <c:crosses val="autoZero"/>
        <c:auto val="1"/>
        <c:lblAlgn val="ctr"/>
        <c:lblOffset val="100"/>
        <c:noMultiLvlLbl val="0"/>
      </c:catAx>
      <c:valAx>
        <c:axId val="48924723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61516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'28'!$AD$6:$AD$20</c:f>
              <c:strCache>
                <c:ptCount val="1"/>
                <c:pt idx="0">
                  <c:v>100% 58% 61% 71% 79% 100% 87% 100% 29% 0% 50% 0% 100% 100% 83%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'28'!$D$6:$D$20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'28'!$AD$6:$AD$20</c:f>
              <c:numCache>
                <c:formatCode>0%</c:formatCode>
                <c:ptCount val="15"/>
                <c:pt idx="0">
                  <c:v>0.9986666666666667</c:v>
                </c:pt>
                <c:pt idx="1">
                  <c:v>0.58264705882352941</c:v>
                </c:pt>
                <c:pt idx="2">
                  <c:v>0.61187499999999995</c:v>
                </c:pt>
                <c:pt idx="3">
                  <c:v>0.70629006410256412</c:v>
                </c:pt>
                <c:pt idx="4">
                  <c:v>0.78983091787439619</c:v>
                </c:pt>
                <c:pt idx="5">
                  <c:v>0.99953488372093025</c:v>
                </c:pt>
                <c:pt idx="6">
                  <c:v>0.87410025706940875</c:v>
                </c:pt>
                <c:pt idx="7">
                  <c:v>0.99860383944153575</c:v>
                </c:pt>
                <c:pt idx="8">
                  <c:v>0.29101123595505618</c:v>
                </c:pt>
                <c:pt idx="9">
                  <c:v>0</c:v>
                </c:pt>
                <c:pt idx="10">
                  <c:v>0.49909909909909911</c:v>
                </c:pt>
                <c:pt idx="11">
                  <c:v>0</c:v>
                </c:pt>
                <c:pt idx="12">
                  <c:v>0.99926605504587152</c:v>
                </c:pt>
                <c:pt idx="13">
                  <c:v>0.9988721804511278</c:v>
                </c:pt>
                <c:pt idx="14">
                  <c:v>0.8330880549423596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'28'!$D$6:$D$20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'28'!$AE$6:$AE$20</c:f>
              <c:numCache>
                <c:formatCode>0%</c:formatCode>
                <c:ptCount val="15"/>
                <c:pt idx="0">
                  <c:v>0.67885902087950312</c:v>
                </c:pt>
                <c:pt idx="1">
                  <c:v>0.67885902087950312</c:v>
                </c:pt>
                <c:pt idx="2">
                  <c:v>0.67885902087950312</c:v>
                </c:pt>
                <c:pt idx="3">
                  <c:v>0.67885902087950312</c:v>
                </c:pt>
                <c:pt idx="4">
                  <c:v>0.67885902087950312</c:v>
                </c:pt>
                <c:pt idx="5">
                  <c:v>0.67885902087950312</c:v>
                </c:pt>
                <c:pt idx="6">
                  <c:v>0.67885902087950312</c:v>
                </c:pt>
                <c:pt idx="7">
                  <c:v>0.67885902087950312</c:v>
                </c:pt>
                <c:pt idx="8">
                  <c:v>0.67885902087950312</c:v>
                </c:pt>
                <c:pt idx="9">
                  <c:v>0.67885902087950312</c:v>
                </c:pt>
                <c:pt idx="10">
                  <c:v>0.67885902087950312</c:v>
                </c:pt>
                <c:pt idx="11">
                  <c:v>0.67885902087950312</c:v>
                </c:pt>
                <c:pt idx="12">
                  <c:v>0.67885902087950312</c:v>
                </c:pt>
                <c:pt idx="13">
                  <c:v>0.67885902087950312</c:v>
                </c:pt>
                <c:pt idx="14">
                  <c:v>0.67885902087950312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07360"/>
        <c:axId val="489248960"/>
      </c:lineChart>
      <c:catAx>
        <c:axId val="56180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9248960"/>
        <c:crosses val="autoZero"/>
        <c:auto val="1"/>
        <c:lblAlgn val="ctr"/>
        <c:lblOffset val="100"/>
        <c:noMultiLvlLbl val="0"/>
      </c:catAx>
      <c:valAx>
        <c:axId val="48924896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6180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807872"/>
        <c:axId val="48904659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07872"/>
        <c:axId val="489046592"/>
      </c:lineChart>
      <c:catAx>
        <c:axId val="56180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489046592"/>
        <c:crosses val="autoZero"/>
        <c:auto val="1"/>
        <c:lblAlgn val="ctr"/>
        <c:lblOffset val="100"/>
        <c:noMultiLvlLbl val="0"/>
      </c:catAx>
      <c:valAx>
        <c:axId val="4890465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180787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'29'!$D$6:$D$21</c:f>
              <c:strCache>
                <c:ptCount val="15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SAM</c:v>
                </c:pt>
                <c:pt idx="12">
                  <c:v>ACTUATOR</c:v>
                </c:pt>
                <c:pt idx="13">
                  <c:v>BODY</c:v>
                </c:pt>
                <c:pt idx="14">
                  <c:v>BASE</c:v>
                </c:pt>
              </c:strCache>
            </c:strRef>
          </c:cat>
          <c:val>
            <c:numRef>
              <c:f>'29'!$L$6:$L$21</c:f>
              <c:numCache>
                <c:formatCode>_(* #,##0_);_(* \(#,##0\);_(* "-"_);_(@_)</c:formatCode>
                <c:ptCount val="16"/>
                <c:pt idx="0">
                  <c:v>5219</c:v>
                </c:pt>
                <c:pt idx="1">
                  <c:v>2806</c:v>
                </c:pt>
                <c:pt idx="2">
                  <c:v>5935</c:v>
                </c:pt>
                <c:pt idx="3">
                  <c:v>414</c:v>
                </c:pt>
                <c:pt idx="4">
                  <c:v>3199</c:v>
                </c:pt>
                <c:pt idx="5">
                  <c:v>2772</c:v>
                </c:pt>
                <c:pt idx="6">
                  <c:v>317</c:v>
                </c:pt>
                <c:pt idx="7">
                  <c:v>4026</c:v>
                </c:pt>
                <c:pt idx="10">
                  <c:v>5538</c:v>
                </c:pt>
                <c:pt idx="11">
                  <c:v>9006</c:v>
                </c:pt>
                <c:pt idx="12">
                  <c:v>900</c:v>
                </c:pt>
                <c:pt idx="13">
                  <c:v>7230</c:v>
                </c:pt>
                <c:pt idx="14">
                  <c:v>5225</c:v>
                </c:pt>
                <c:pt idx="15">
                  <c:v>7938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'29'!$D$6:$D$21</c:f>
              <c:strCache>
                <c:ptCount val="15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SAM</c:v>
                </c:pt>
                <c:pt idx="12">
                  <c:v>ACTUATOR</c:v>
                </c:pt>
                <c:pt idx="13">
                  <c:v>BODY</c:v>
                </c:pt>
                <c:pt idx="14">
                  <c:v>BASE</c:v>
                </c:pt>
              </c:strCache>
            </c:strRef>
          </c:cat>
          <c:val>
            <c:numRef>
              <c:f>'29'!$J$6:$J$21</c:f>
              <c:numCache>
                <c:formatCode>_(* #,##0_);_(* \(#,##0\);_(* "-"_);_(@_)</c:formatCode>
                <c:ptCount val="16"/>
                <c:pt idx="0">
                  <c:v>5220</c:v>
                </c:pt>
                <c:pt idx="1">
                  <c:v>2810</c:v>
                </c:pt>
                <c:pt idx="2">
                  <c:v>5940</c:v>
                </c:pt>
                <c:pt idx="3">
                  <c:v>420</c:v>
                </c:pt>
                <c:pt idx="4">
                  <c:v>3200</c:v>
                </c:pt>
                <c:pt idx="5">
                  <c:v>2780</c:v>
                </c:pt>
                <c:pt idx="6">
                  <c:v>320</c:v>
                </c:pt>
                <c:pt idx="7">
                  <c:v>4030</c:v>
                </c:pt>
                <c:pt idx="8">
                  <c:v>2670</c:v>
                </c:pt>
                <c:pt idx="9">
                  <c:v>1590</c:v>
                </c:pt>
                <c:pt idx="10">
                  <c:v>5540</c:v>
                </c:pt>
                <c:pt idx="11">
                  <c:v>9010</c:v>
                </c:pt>
                <c:pt idx="12">
                  <c:v>900</c:v>
                </c:pt>
                <c:pt idx="13">
                  <c:v>7230</c:v>
                </c:pt>
                <c:pt idx="14">
                  <c:v>5230</c:v>
                </c:pt>
                <c:pt idx="15">
                  <c:v>7940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523648"/>
        <c:axId val="489049472"/>
      </c:lineChart>
      <c:catAx>
        <c:axId val="56252364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9049472"/>
        <c:crosses val="autoZero"/>
        <c:auto val="1"/>
        <c:lblAlgn val="ctr"/>
        <c:lblOffset val="100"/>
        <c:noMultiLvlLbl val="0"/>
      </c:catAx>
      <c:valAx>
        <c:axId val="4890494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62523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'29'!$AD$6:$AD$21</c:f>
              <c:strCache>
                <c:ptCount val="1"/>
                <c:pt idx="0">
                  <c:v>100% 62% 100% 12% 79% 54% 8% 87% 0% 0% 100% 83% 21% 79% 100% 79%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'29'!$D$6:$D$21</c:f>
              <c:strCache>
                <c:ptCount val="15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SAM</c:v>
                </c:pt>
                <c:pt idx="12">
                  <c:v>ACTUATOR</c:v>
                </c:pt>
                <c:pt idx="13">
                  <c:v>BODY</c:v>
                </c:pt>
                <c:pt idx="14">
                  <c:v>BASE</c:v>
                </c:pt>
              </c:strCache>
            </c:strRef>
          </c:cat>
          <c:val>
            <c:numRef>
              <c:f>'29'!$AD$6:$AD$21</c:f>
              <c:numCache>
                <c:formatCode>0%</c:formatCode>
                <c:ptCount val="16"/>
                <c:pt idx="0">
                  <c:v>0.99980842911877399</c:v>
                </c:pt>
                <c:pt idx="1">
                  <c:v>0.62411032028469748</c:v>
                </c:pt>
                <c:pt idx="2">
                  <c:v>0.99915824915824913</c:v>
                </c:pt>
                <c:pt idx="3">
                  <c:v>0.12321428571428572</c:v>
                </c:pt>
                <c:pt idx="4">
                  <c:v>0.7914192708333333</c:v>
                </c:pt>
                <c:pt idx="5">
                  <c:v>0.54010791366906474</c:v>
                </c:pt>
                <c:pt idx="6">
                  <c:v>8.2552083333333331E-2</c:v>
                </c:pt>
                <c:pt idx="7">
                  <c:v>0.87413151364764263</c:v>
                </c:pt>
                <c:pt idx="8">
                  <c:v>0</c:v>
                </c:pt>
                <c:pt idx="9">
                  <c:v>0</c:v>
                </c:pt>
                <c:pt idx="10">
                  <c:v>0.99963898916967509</c:v>
                </c:pt>
                <c:pt idx="11">
                  <c:v>0.8329633740288569</c:v>
                </c:pt>
                <c:pt idx="12">
                  <c:v>0.20833333333333334</c:v>
                </c:pt>
                <c:pt idx="13">
                  <c:v>0.79166666666666663</c:v>
                </c:pt>
                <c:pt idx="14">
                  <c:v>0.99904397705544934</c:v>
                </c:pt>
                <c:pt idx="15">
                  <c:v>0.79146725440806043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'29'!$D$6:$D$21</c:f>
              <c:strCache>
                <c:ptCount val="15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SAM</c:v>
                </c:pt>
                <c:pt idx="12">
                  <c:v>ACTUATOR</c:v>
                </c:pt>
                <c:pt idx="13">
                  <c:v>BODY</c:v>
                </c:pt>
                <c:pt idx="14">
                  <c:v>BASE</c:v>
                </c:pt>
              </c:strCache>
            </c:strRef>
          </c:cat>
          <c:val>
            <c:numRef>
              <c:f>'29'!$AE$6:$AE$21</c:f>
              <c:numCache>
                <c:formatCode>0%</c:formatCode>
                <c:ptCount val="16"/>
                <c:pt idx="0">
                  <c:v>0.64384104402809483</c:v>
                </c:pt>
                <c:pt idx="1">
                  <c:v>0.64384104402809483</c:v>
                </c:pt>
                <c:pt idx="2">
                  <c:v>0.64384104402809483</c:v>
                </c:pt>
                <c:pt idx="3">
                  <c:v>0.64384104402809483</c:v>
                </c:pt>
                <c:pt idx="4">
                  <c:v>0.64384104402809483</c:v>
                </c:pt>
                <c:pt idx="5">
                  <c:v>0.64384104402809483</c:v>
                </c:pt>
                <c:pt idx="6">
                  <c:v>0.64384104402809483</c:v>
                </c:pt>
                <c:pt idx="7">
                  <c:v>0.64384104402809483</c:v>
                </c:pt>
                <c:pt idx="8">
                  <c:v>0.64384104402809483</c:v>
                </c:pt>
                <c:pt idx="9">
                  <c:v>0.64384104402809483</c:v>
                </c:pt>
                <c:pt idx="10">
                  <c:v>0.64384104402809483</c:v>
                </c:pt>
                <c:pt idx="11">
                  <c:v>0.64384104402809483</c:v>
                </c:pt>
                <c:pt idx="12">
                  <c:v>0.64384104402809483</c:v>
                </c:pt>
                <c:pt idx="13">
                  <c:v>0.64384104402809483</c:v>
                </c:pt>
                <c:pt idx="14">
                  <c:v>0.64384104402809483</c:v>
                </c:pt>
                <c:pt idx="15">
                  <c:v>0.64384104402809483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529792"/>
        <c:axId val="489051200"/>
      </c:lineChart>
      <c:catAx>
        <c:axId val="5625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9051200"/>
        <c:crosses val="autoZero"/>
        <c:auto val="1"/>
        <c:lblAlgn val="ctr"/>
        <c:lblOffset val="100"/>
        <c:noMultiLvlLbl val="0"/>
      </c:catAx>
      <c:valAx>
        <c:axId val="4890512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6252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'03'!$D$6:$D$22</c:f>
              <c:strCache>
                <c:ptCount val="16"/>
                <c:pt idx="1">
                  <c:v>COVER</c:v>
                </c:pt>
                <c:pt idx="2">
                  <c:v>STOPPER</c:v>
                </c:pt>
                <c:pt idx="3">
                  <c:v>BASE</c:v>
                </c:pt>
                <c:pt idx="4">
                  <c:v>SLIDER</c:v>
                </c:pt>
                <c:pt idx="5">
                  <c:v>SLIDER</c:v>
                </c:pt>
                <c:pt idx="6">
                  <c:v>TOP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BOTTOM</c:v>
                </c:pt>
                <c:pt idx="11">
                  <c:v>BASE</c:v>
                </c:pt>
                <c:pt idx="12">
                  <c:v>PLATE</c:v>
                </c:pt>
                <c:pt idx="13">
                  <c:v>ADAPTER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'03'!$L$6:$L$22</c:f>
              <c:numCache>
                <c:formatCode>_(* #,##0_);_(* \(#,##0\);_(* "-"_);_(@_)</c:formatCode>
                <c:ptCount val="17"/>
                <c:pt idx="2">
                  <c:v>5383</c:v>
                </c:pt>
                <c:pt idx="3">
                  <c:v>2240</c:v>
                </c:pt>
                <c:pt idx="4">
                  <c:v>2113</c:v>
                </c:pt>
                <c:pt idx="5">
                  <c:v>5695</c:v>
                </c:pt>
                <c:pt idx="6">
                  <c:v>6580</c:v>
                </c:pt>
                <c:pt idx="7">
                  <c:v>2930</c:v>
                </c:pt>
                <c:pt idx="8">
                  <c:v>1257</c:v>
                </c:pt>
                <c:pt idx="9">
                  <c:v>456</c:v>
                </c:pt>
                <c:pt idx="11">
                  <c:v>4958</c:v>
                </c:pt>
                <c:pt idx="12">
                  <c:v>2090</c:v>
                </c:pt>
                <c:pt idx="13">
                  <c:v>506</c:v>
                </c:pt>
                <c:pt idx="14">
                  <c:v>5108</c:v>
                </c:pt>
                <c:pt idx="15">
                  <c:v>5128</c:v>
                </c:pt>
                <c:pt idx="16">
                  <c:v>63764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'03'!$D$6:$D$22</c:f>
              <c:strCache>
                <c:ptCount val="16"/>
                <c:pt idx="1">
                  <c:v>COVER</c:v>
                </c:pt>
                <c:pt idx="2">
                  <c:v>STOPPER</c:v>
                </c:pt>
                <c:pt idx="3">
                  <c:v>BASE</c:v>
                </c:pt>
                <c:pt idx="4">
                  <c:v>SLIDER</c:v>
                </c:pt>
                <c:pt idx="5">
                  <c:v>SLIDER</c:v>
                </c:pt>
                <c:pt idx="6">
                  <c:v>TOP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BOTTOM</c:v>
                </c:pt>
                <c:pt idx="11">
                  <c:v>BASE</c:v>
                </c:pt>
                <c:pt idx="12">
                  <c:v>PLATE</c:v>
                </c:pt>
                <c:pt idx="13">
                  <c:v>ADAPTER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'03'!$J$6:$J$22</c:f>
              <c:numCache>
                <c:formatCode>_(* #,##0_);_(* \(#,##0\);_(* "-"_);_(@_)</c:formatCode>
                <c:ptCount val="17"/>
                <c:pt idx="1">
                  <c:v>1320</c:v>
                </c:pt>
                <c:pt idx="2">
                  <c:v>5390</c:v>
                </c:pt>
                <c:pt idx="3">
                  <c:v>2240</c:v>
                </c:pt>
                <c:pt idx="4">
                  <c:v>2120</c:v>
                </c:pt>
                <c:pt idx="5">
                  <c:v>5700</c:v>
                </c:pt>
                <c:pt idx="6">
                  <c:v>6580</c:v>
                </c:pt>
                <c:pt idx="7">
                  <c:v>2930</c:v>
                </c:pt>
                <c:pt idx="8">
                  <c:v>1260</c:v>
                </c:pt>
                <c:pt idx="9">
                  <c:v>456</c:v>
                </c:pt>
                <c:pt idx="10">
                  <c:v>15880</c:v>
                </c:pt>
                <c:pt idx="11">
                  <c:v>4960</c:v>
                </c:pt>
                <c:pt idx="12">
                  <c:v>2090</c:v>
                </c:pt>
                <c:pt idx="13">
                  <c:v>510</c:v>
                </c:pt>
                <c:pt idx="14">
                  <c:v>5110</c:v>
                </c:pt>
                <c:pt idx="15">
                  <c:v>5130</c:v>
                </c:pt>
                <c:pt idx="16">
                  <c:v>63770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403968"/>
        <c:axId val="1094362816"/>
      </c:lineChart>
      <c:catAx>
        <c:axId val="74440396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094362816"/>
        <c:crosses val="autoZero"/>
        <c:auto val="1"/>
        <c:lblAlgn val="ctr"/>
        <c:lblOffset val="100"/>
        <c:noMultiLvlLbl val="0"/>
      </c:catAx>
      <c:valAx>
        <c:axId val="109436281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44403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'29'!$D$6:$D$21</c:f>
              <c:strCache>
                <c:ptCount val="15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SAM</c:v>
                </c:pt>
                <c:pt idx="12">
                  <c:v>ACTUATOR</c:v>
                </c:pt>
                <c:pt idx="13">
                  <c:v>BODY</c:v>
                </c:pt>
                <c:pt idx="14">
                  <c:v>BASE</c:v>
                </c:pt>
              </c:strCache>
            </c:strRef>
          </c:cat>
          <c:val>
            <c:numRef>
              <c:f>'29'!$L$6:$L$21</c:f>
              <c:numCache>
                <c:formatCode>_(* #,##0_);_(* \(#,##0\);_(* "-"_);_(@_)</c:formatCode>
                <c:ptCount val="16"/>
                <c:pt idx="0">
                  <c:v>5219</c:v>
                </c:pt>
                <c:pt idx="1">
                  <c:v>2806</c:v>
                </c:pt>
                <c:pt idx="2">
                  <c:v>5935</c:v>
                </c:pt>
                <c:pt idx="3">
                  <c:v>414</c:v>
                </c:pt>
                <c:pt idx="4">
                  <c:v>3199</c:v>
                </c:pt>
                <c:pt idx="5">
                  <c:v>2772</c:v>
                </c:pt>
                <c:pt idx="6">
                  <c:v>317</c:v>
                </c:pt>
                <c:pt idx="7">
                  <c:v>4026</c:v>
                </c:pt>
                <c:pt idx="10">
                  <c:v>5538</c:v>
                </c:pt>
                <c:pt idx="11">
                  <c:v>9006</c:v>
                </c:pt>
                <c:pt idx="12">
                  <c:v>900</c:v>
                </c:pt>
                <c:pt idx="13">
                  <c:v>7230</c:v>
                </c:pt>
                <c:pt idx="14">
                  <c:v>5225</c:v>
                </c:pt>
                <c:pt idx="15">
                  <c:v>7938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'29'!$D$6:$D$21</c:f>
              <c:strCache>
                <c:ptCount val="15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SAM</c:v>
                </c:pt>
                <c:pt idx="12">
                  <c:v>ACTUATOR</c:v>
                </c:pt>
                <c:pt idx="13">
                  <c:v>BODY</c:v>
                </c:pt>
                <c:pt idx="14">
                  <c:v>BASE</c:v>
                </c:pt>
              </c:strCache>
            </c:strRef>
          </c:cat>
          <c:val>
            <c:numRef>
              <c:f>'29'!$J$6:$J$21</c:f>
              <c:numCache>
                <c:formatCode>_(* #,##0_);_(* \(#,##0\);_(* "-"_);_(@_)</c:formatCode>
                <c:ptCount val="16"/>
                <c:pt idx="0">
                  <c:v>5220</c:v>
                </c:pt>
                <c:pt idx="1">
                  <c:v>2810</c:v>
                </c:pt>
                <c:pt idx="2">
                  <c:v>5940</c:v>
                </c:pt>
                <c:pt idx="3">
                  <c:v>420</c:v>
                </c:pt>
                <c:pt idx="4">
                  <c:v>3200</c:v>
                </c:pt>
                <c:pt idx="5">
                  <c:v>2780</c:v>
                </c:pt>
                <c:pt idx="6">
                  <c:v>320</c:v>
                </c:pt>
                <c:pt idx="7">
                  <c:v>4030</c:v>
                </c:pt>
                <c:pt idx="8">
                  <c:v>2670</c:v>
                </c:pt>
                <c:pt idx="9">
                  <c:v>1590</c:v>
                </c:pt>
                <c:pt idx="10">
                  <c:v>5540</c:v>
                </c:pt>
                <c:pt idx="11">
                  <c:v>9010</c:v>
                </c:pt>
                <c:pt idx="12">
                  <c:v>900</c:v>
                </c:pt>
                <c:pt idx="13">
                  <c:v>7230</c:v>
                </c:pt>
                <c:pt idx="14">
                  <c:v>5230</c:v>
                </c:pt>
                <c:pt idx="15">
                  <c:v>7940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530304"/>
        <c:axId val="489053504"/>
      </c:lineChart>
      <c:catAx>
        <c:axId val="56253030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9053504"/>
        <c:crosses val="autoZero"/>
        <c:auto val="1"/>
        <c:lblAlgn val="ctr"/>
        <c:lblOffset val="100"/>
        <c:noMultiLvlLbl val="0"/>
      </c:catAx>
      <c:valAx>
        <c:axId val="48905350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62530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'29'!$AD$6:$AD$21</c:f>
              <c:strCache>
                <c:ptCount val="1"/>
                <c:pt idx="0">
                  <c:v>100% 62% 100% 12% 79% 54% 8% 87% 0% 0% 100% 83% 21% 79% 100% 79%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'29'!$D$6:$D$21</c:f>
              <c:strCache>
                <c:ptCount val="15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SAM</c:v>
                </c:pt>
                <c:pt idx="12">
                  <c:v>ACTUATOR</c:v>
                </c:pt>
                <c:pt idx="13">
                  <c:v>BODY</c:v>
                </c:pt>
                <c:pt idx="14">
                  <c:v>BASE</c:v>
                </c:pt>
              </c:strCache>
            </c:strRef>
          </c:cat>
          <c:val>
            <c:numRef>
              <c:f>'29'!$AD$6:$AD$21</c:f>
              <c:numCache>
                <c:formatCode>0%</c:formatCode>
                <c:ptCount val="16"/>
                <c:pt idx="0">
                  <c:v>0.99980842911877399</c:v>
                </c:pt>
                <c:pt idx="1">
                  <c:v>0.62411032028469748</c:v>
                </c:pt>
                <c:pt idx="2">
                  <c:v>0.99915824915824913</c:v>
                </c:pt>
                <c:pt idx="3">
                  <c:v>0.12321428571428572</c:v>
                </c:pt>
                <c:pt idx="4">
                  <c:v>0.7914192708333333</c:v>
                </c:pt>
                <c:pt idx="5">
                  <c:v>0.54010791366906474</c:v>
                </c:pt>
                <c:pt idx="6">
                  <c:v>8.2552083333333331E-2</c:v>
                </c:pt>
                <c:pt idx="7">
                  <c:v>0.87413151364764263</c:v>
                </c:pt>
                <c:pt idx="8">
                  <c:v>0</c:v>
                </c:pt>
                <c:pt idx="9">
                  <c:v>0</c:v>
                </c:pt>
                <c:pt idx="10">
                  <c:v>0.99963898916967509</c:v>
                </c:pt>
                <c:pt idx="11">
                  <c:v>0.8329633740288569</c:v>
                </c:pt>
                <c:pt idx="12">
                  <c:v>0.20833333333333334</c:v>
                </c:pt>
                <c:pt idx="13">
                  <c:v>0.79166666666666663</c:v>
                </c:pt>
                <c:pt idx="14">
                  <c:v>0.99904397705544934</c:v>
                </c:pt>
                <c:pt idx="15">
                  <c:v>0.79146725440806043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'29'!$D$6:$D$21</c:f>
              <c:strCache>
                <c:ptCount val="15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SAM</c:v>
                </c:pt>
                <c:pt idx="12">
                  <c:v>ACTUATOR</c:v>
                </c:pt>
                <c:pt idx="13">
                  <c:v>BODY</c:v>
                </c:pt>
                <c:pt idx="14">
                  <c:v>BASE</c:v>
                </c:pt>
              </c:strCache>
            </c:strRef>
          </c:cat>
          <c:val>
            <c:numRef>
              <c:f>'29'!$AE$6:$AE$21</c:f>
              <c:numCache>
                <c:formatCode>0%</c:formatCode>
                <c:ptCount val="16"/>
                <c:pt idx="0">
                  <c:v>0.64384104402809483</c:v>
                </c:pt>
                <c:pt idx="1">
                  <c:v>0.64384104402809483</c:v>
                </c:pt>
                <c:pt idx="2">
                  <c:v>0.64384104402809483</c:v>
                </c:pt>
                <c:pt idx="3">
                  <c:v>0.64384104402809483</c:v>
                </c:pt>
                <c:pt idx="4">
                  <c:v>0.64384104402809483</c:v>
                </c:pt>
                <c:pt idx="5">
                  <c:v>0.64384104402809483</c:v>
                </c:pt>
                <c:pt idx="6">
                  <c:v>0.64384104402809483</c:v>
                </c:pt>
                <c:pt idx="7">
                  <c:v>0.64384104402809483</c:v>
                </c:pt>
                <c:pt idx="8">
                  <c:v>0.64384104402809483</c:v>
                </c:pt>
                <c:pt idx="9">
                  <c:v>0.64384104402809483</c:v>
                </c:pt>
                <c:pt idx="10">
                  <c:v>0.64384104402809483</c:v>
                </c:pt>
                <c:pt idx="11">
                  <c:v>0.64384104402809483</c:v>
                </c:pt>
                <c:pt idx="12">
                  <c:v>0.64384104402809483</c:v>
                </c:pt>
                <c:pt idx="13">
                  <c:v>0.64384104402809483</c:v>
                </c:pt>
                <c:pt idx="14">
                  <c:v>0.64384104402809483</c:v>
                </c:pt>
                <c:pt idx="15">
                  <c:v>0.64384104402809483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531840"/>
        <c:axId val="487834752"/>
      </c:lineChart>
      <c:catAx>
        <c:axId val="56253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7834752"/>
        <c:crosses val="autoZero"/>
        <c:auto val="1"/>
        <c:lblAlgn val="ctr"/>
        <c:lblOffset val="100"/>
        <c:noMultiLvlLbl val="0"/>
      </c:catAx>
      <c:valAx>
        <c:axId val="48783475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62531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081216"/>
        <c:axId val="48783705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81216"/>
        <c:axId val="487837056"/>
      </c:lineChart>
      <c:catAx>
        <c:axId val="56308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487837056"/>
        <c:crosses val="autoZero"/>
        <c:auto val="1"/>
        <c:lblAlgn val="ctr"/>
        <c:lblOffset val="100"/>
        <c:noMultiLvlLbl val="0"/>
      </c:catAx>
      <c:valAx>
        <c:axId val="4878370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30812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10">
                  <c:v>STOPPER</c:v>
                </c:pt>
                <c:pt idx="11">
                  <c:v>SAM</c:v>
                </c:pt>
                <c:pt idx="12">
                  <c:v>BODY</c:v>
                </c:pt>
                <c:pt idx="13">
                  <c:v>BASE</c:v>
                </c:pt>
              </c:strCache>
            </c:strRef>
          </c:cat>
          <c:val>
            <c:numRef>
              <c:f>'30'!$L$6:$L$20</c:f>
              <c:numCache>
                <c:formatCode>_(* #,##0_);_(* \(#,##0\);_(* "-"_);_(@_)</c:formatCode>
                <c:ptCount val="15"/>
                <c:pt idx="0">
                  <c:v>3049</c:v>
                </c:pt>
                <c:pt idx="1">
                  <c:v>3612</c:v>
                </c:pt>
                <c:pt idx="2">
                  <c:v>5967</c:v>
                </c:pt>
                <c:pt idx="4">
                  <c:v>784</c:v>
                </c:pt>
                <c:pt idx="5">
                  <c:v>6384</c:v>
                </c:pt>
                <c:pt idx="7">
                  <c:v>4922</c:v>
                </c:pt>
                <c:pt idx="8">
                  <c:v>1667</c:v>
                </c:pt>
                <c:pt idx="9">
                  <c:v>3835</c:v>
                </c:pt>
                <c:pt idx="10">
                  <c:v>5563</c:v>
                </c:pt>
                <c:pt idx="11">
                  <c:v>12350</c:v>
                </c:pt>
                <c:pt idx="12">
                  <c:v>12652</c:v>
                </c:pt>
                <c:pt idx="13">
                  <c:v>5129</c:v>
                </c:pt>
                <c:pt idx="14">
                  <c:v>10812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'30'!$D$6:$D$20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10">
                  <c:v>STOPPER</c:v>
                </c:pt>
                <c:pt idx="11">
                  <c:v>SAM</c:v>
                </c:pt>
                <c:pt idx="12">
                  <c:v>BODY</c:v>
                </c:pt>
                <c:pt idx="13">
                  <c:v>BASE</c:v>
                </c:pt>
              </c:strCache>
            </c:strRef>
          </c:cat>
          <c:val>
            <c:numRef>
              <c:f>'30'!$J$6:$J$20</c:f>
              <c:numCache>
                <c:formatCode>_(* #,##0_);_(* \(#,##0\);_(* "-"_);_(@_)</c:formatCode>
                <c:ptCount val="15"/>
                <c:pt idx="0">
                  <c:v>3050</c:v>
                </c:pt>
                <c:pt idx="1">
                  <c:v>3620</c:v>
                </c:pt>
                <c:pt idx="2">
                  <c:v>5970</c:v>
                </c:pt>
                <c:pt idx="3">
                  <c:v>420</c:v>
                </c:pt>
                <c:pt idx="4">
                  <c:v>790</c:v>
                </c:pt>
                <c:pt idx="5">
                  <c:v>6390</c:v>
                </c:pt>
                <c:pt idx="6">
                  <c:v>320</c:v>
                </c:pt>
                <c:pt idx="7">
                  <c:v>4930</c:v>
                </c:pt>
                <c:pt idx="8">
                  <c:v>1670</c:v>
                </c:pt>
                <c:pt idx="9">
                  <c:v>3840</c:v>
                </c:pt>
                <c:pt idx="10">
                  <c:v>5570</c:v>
                </c:pt>
                <c:pt idx="11">
                  <c:v>12350</c:v>
                </c:pt>
                <c:pt idx="12">
                  <c:v>12660</c:v>
                </c:pt>
                <c:pt idx="13">
                  <c:v>5130</c:v>
                </c:pt>
                <c:pt idx="14">
                  <c:v>10820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679232"/>
        <c:axId val="487839936"/>
      </c:lineChart>
      <c:catAx>
        <c:axId val="56367923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7839936"/>
        <c:crosses val="autoZero"/>
        <c:auto val="1"/>
        <c:lblAlgn val="ctr"/>
        <c:lblOffset val="100"/>
        <c:noMultiLvlLbl val="0"/>
      </c:catAx>
      <c:valAx>
        <c:axId val="48783993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63679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'30'!$AD$6:$AD$20</c:f>
              <c:strCache>
                <c:ptCount val="1"/>
                <c:pt idx="0">
                  <c:v>71% 79% 100% 0% 17% 100% 0% 92% 42% 83% 100% 100% 100% 100% 83%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10">
                  <c:v>STOPPER</c:v>
                </c:pt>
                <c:pt idx="11">
                  <c:v>SAM</c:v>
                </c:pt>
                <c:pt idx="12">
                  <c:v>BODY</c:v>
                </c:pt>
                <c:pt idx="13">
                  <c:v>BASE</c:v>
                </c:pt>
              </c:strCache>
            </c:strRef>
          </c:cat>
          <c:val>
            <c:numRef>
              <c:f>'30'!$AD$6:$AD$20</c:f>
              <c:numCache>
                <c:formatCode>0%</c:formatCode>
                <c:ptCount val="15"/>
                <c:pt idx="0">
                  <c:v>0.70810109289617484</c:v>
                </c:pt>
                <c:pt idx="1">
                  <c:v>0.78991712707182316</c:v>
                </c:pt>
                <c:pt idx="2">
                  <c:v>0.99949748743718592</c:v>
                </c:pt>
                <c:pt idx="3">
                  <c:v>0</c:v>
                </c:pt>
                <c:pt idx="4">
                  <c:v>0.16540084388185652</c:v>
                </c:pt>
                <c:pt idx="5">
                  <c:v>0.99906103286384973</c:v>
                </c:pt>
                <c:pt idx="6">
                  <c:v>0</c:v>
                </c:pt>
                <c:pt idx="7">
                  <c:v>0.91517917511832314</c:v>
                </c:pt>
                <c:pt idx="8">
                  <c:v>0.41591816367265466</c:v>
                </c:pt>
                <c:pt idx="9">
                  <c:v>0.83224826388888884</c:v>
                </c:pt>
                <c:pt idx="10">
                  <c:v>0.99874326750448839</c:v>
                </c:pt>
                <c:pt idx="11">
                  <c:v>1</c:v>
                </c:pt>
                <c:pt idx="12">
                  <c:v>0.99936808846761449</c:v>
                </c:pt>
                <c:pt idx="13">
                  <c:v>0.99980506822612081</c:v>
                </c:pt>
                <c:pt idx="14">
                  <c:v>0.83271719038817016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'30'!$D$6:$D$20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10">
                  <c:v>STOPPER</c:v>
                </c:pt>
                <c:pt idx="11">
                  <c:v>SAM</c:v>
                </c:pt>
                <c:pt idx="12">
                  <c:v>BODY</c:v>
                </c:pt>
                <c:pt idx="13">
                  <c:v>BASE</c:v>
                </c:pt>
              </c:strCache>
            </c:strRef>
          </c:cat>
          <c:val>
            <c:numRef>
              <c:f>'30'!$AE$6:$AE$20</c:f>
              <c:numCache>
                <c:formatCode>0%</c:formatCode>
                <c:ptCount val="15"/>
                <c:pt idx="0">
                  <c:v>0.71039712009447664</c:v>
                </c:pt>
                <c:pt idx="1">
                  <c:v>0.71039712009447664</c:v>
                </c:pt>
                <c:pt idx="2">
                  <c:v>0.71039712009447664</c:v>
                </c:pt>
                <c:pt idx="3">
                  <c:v>0.71039712009447664</c:v>
                </c:pt>
                <c:pt idx="4">
                  <c:v>0.71039712009447664</c:v>
                </c:pt>
                <c:pt idx="5">
                  <c:v>0.71039712009447664</c:v>
                </c:pt>
                <c:pt idx="6">
                  <c:v>0.71039712009447664</c:v>
                </c:pt>
                <c:pt idx="7">
                  <c:v>0.71039712009447664</c:v>
                </c:pt>
                <c:pt idx="8">
                  <c:v>0.71039712009447664</c:v>
                </c:pt>
                <c:pt idx="9">
                  <c:v>0.71039712009447664</c:v>
                </c:pt>
                <c:pt idx="10">
                  <c:v>0.71039712009447664</c:v>
                </c:pt>
                <c:pt idx="11">
                  <c:v>0.71039712009447664</c:v>
                </c:pt>
                <c:pt idx="12">
                  <c:v>0.71039712009447664</c:v>
                </c:pt>
                <c:pt idx="13">
                  <c:v>0.71039712009447664</c:v>
                </c:pt>
                <c:pt idx="14">
                  <c:v>0.71039712009447664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680768"/>
        <c:axId val="488570880"/>
      </c:lineChart>
      <c:catAx>
        <c:axId val="5636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8570880"/>
        <c:crosses val="autoZero"/>
        <c:auto val="1"/>
        <c:lblAlgn val="ctr"/>
        <c:lblOffset val="100"/>
        <c:noMultiLvlLbl val="0"/>
      </c:catAx>
      <c:valAx>
        <c:axId val="4885708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63680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10">
                  <c:v>STOPPER</c:v>
                </c:pt>
                <c:pt idx="11">
                  <c:v>SAM</c:v>
                </c:pt>
                <c:pt idx="12">
                  <c:v>BODY</c:v>
                </c:pt>
                <c:pt idx="13">
                  <c:v>BASE</c:v>
                </c:pt>
              </c:strCache>
            </c:strRef>
          </c:cat>
          <c:val>
            <c:numRef>
              <c:f>'30'!$L$6:$L$20</c:f>
              <c:numCache>
                <c:formatCode>_(* #,##0_);_(* \(#,##0\);_(* "-"_);_(@_)</c:formatCode>
                <c:ptCount val="15"/>
                <c:pt idx="0">
                  <c:v>3049</c:v>
                </c:pt>
                <c:pt idx="1">
                  <c:v>3612</c:v>
                </c:pt>
                <c:pt idx="2">
                  <c:v>5967</c:v>
                </c:pt>
                <c:pt idx="4">
                  <c:v>784</c:v>
                </c:pt>
                <c:pt idx="5">
                  <c:v>6384</c:v>
                </c:pt>
                <c:pt idx="7">
                  <c:v>4922</c:v>
                </c:pt>
                <c:pt idx="8">
                  <c:v>1667</c:v>
                </c:pt>
                <c:pt idx="9">
                  <c:v>3835</c:v>
                </c:pt>
                <c:pt idx="10">
                  <c:v>5563</c:v>
                </c:pt>
                <c:pt idx="11">
                  <c:v>12350</c:v>
                </c:pt>
                <c:pt idx="12">
                  <c:v>12652</c:v>
                </c:pt>
                <c:pt idx="13">
                  <c:v>5129</c:v>
                </c:pt>
                <c:pt idx="14">
                  <c:v>10812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'30'!$D$6:$D$20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10">
                  <c:v>STOPPER</c:v>
                </c:pt>
                <c:pt idx="11">
                  <c:v>SAM</c:v>
                </c:pt>
                <c:pt idx="12">
                  <c:v>BODY</c:v>
                </c:pt>
                <c:pt idx="13">
                  <c:v>BASE</c:v>
                </c:pt>
              </c:strCache>
            </c:strRef>
          </c:cat>
          <c:val>
            <c:numRef>
              <c:f>'30'!$J$6:$J$20</c:f>
              <c:numCache>
                <c:formatCode>_(* #,##0_);_(* \(#,##0\);_(* "-"_);_(@_)</c:formatCode>
                <c:ptCount val="15"/>
                <c:pt idx="0">
                  <c:v>3050</c:v>
                </c:pt>
                <c:pt idx="1">
                  <c:v>3620</c:v>
                </c:pt>
                <c:pt idx="2">
                  <c:v>5970</c:v>
                </c:pt>
                <c:pt idx="3">
                  <c:v>420</c:v>
                </c:pt>
                <c:pt idx="4">
                  <c:v>790</c:v>
                </c:pt>
                <c:pt idx="5">
                  <c:v>6390</c:v>
                </c:pt>
                <c:pt idx="6">
                  <c:v>320</c:v>
                </c:pt>
                <c:pt idx="7">
                  <c:v>4930</c:v>
                </c:pt>
                <c:pt idx="8">
                  <c:v>1670</c:v>
                </c:pt>
                <c:pt idx="9">
                  <c:v>3840</c:v>
                </c:pt>
                <c:pt idx="10">
                  <c:v>5570</c:v>
                </c:pt>
                <c:pt idx="11">
                  <c:v>12350</c:v>
                </c:pt>
                <c:pt idx="12">
                  <c:v>12660</c:v>
                </c:pt>
                <c:pt idx="13">
                  <c:v>5130</c:v>
                </c:pt>
                <c:pt idx="14">
                  <c:v>10820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681280"/>
        <c:axId val="488573184"/>
      </c:lineChart>
      <c:catAx>
        <c:axId val="56368128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8573184"/>
        <c:crosses val="autoZero"/>
        <c:auto val="1"/>
        <c:lblAlgn val="ctr"/>
        <c:lblOffset val="100"/>
        <c:noMultiLvlLbl val="0"/>
      </c:catAx>
      <c:valAx>
        <c:axId val="48857318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63681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'30'!$AD$6:$AD$20</c:f>
              <c:strCache>
                <c:ptCount val="1"/>
                <c:pt idx="0">
                  <c:v>71% 79% 100% 0% 17% 100% 0% 92% 42% 83% 100% 100% 100% 100% 83%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10">
                  <c:v>STOPPER</c:v>
                </c:pt>
                <c:pt idx="11">
                  <c:v>SAM</c:v>
                </c:pt>
                <c:pt idx="12">
                  <c:v>BODY</c:v>
                </c:pt>
                <c:pt idx="13">
                  <c:v>BASE</c:v>
                </c:pt>
              </c:strCache>
            </c:strRef>
          </c:cat>
          <c:val>
            <c:numRef>
              <c:f>'30'!$AD$6:$AD$20</c:f>
              <c:numCache>
                <c:formatCode>0%</c:formatCode>
                <c:ptCount val="15"/>
                <c:pt idx="0">
                  <c:v>0.70810109289617484</c:v>
                </c:pt>
                <c:pt idx="1">
                  <c:v>0.78991712707182316</c:v>
                </c:pt>
                <c:pt idx="2">
                  <c:v>0.99949748743718592</c:v>
                </c:pt>
                <c:pt idx="3">
                  <c:v>0</c:v>
                </c:pt>
                <c:pt idx="4">
                  <c:v>0.16540084388185652</c:v>
                </c:pt>
                <c:pt idx="5">
                  <c:v>0.99906103286384973</c:v>
                </c:pt>
                <c:pt idx="6">
                  <c:v>0</c:v>
                </c:pt>
                <c:pt idx="7">
                  <c:v>0.91517917511832314</c:v>
                </c:pt>
                <c:pt idx="8">
                  <c:v>0.41591816367265466</c:v>
                </c:pt>
                <c:pt idx="9">
                  <c:v>0.83224826388888884</c:v>
                </c:pt>
                <c:pt idx="10">
                  <c:v>0.99874326750448839</c:v>
                </c:pt>
                <c:pt idx="11">
                  <c:v>1</c:v>
                </c:pt>
                <c:pt idx="12">
                  <c:v>0.99936808846761449</c:v>
                </c:pt>
                <c:pt idx="13">
                  <c:v>0.99980506822612081</c:v>
                </c:pt>
                <c:pt idx="14">
                  <c:v>0.83271719038817016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'30'!$D$6:$D$20</c:f>
              <c:strCache>
                <c:ptCount val="14"/>
                <c:pt idx="0">
                  <c:v>STOPPER</c:v>
                </c:pt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10">
                  <c:v>STOPPER</c:v>
                </c:pt>
                <c:pt idx="11">
                  <c:v>SAM</c:v>
                </c:pt>
                <c:pt idx="12">
                  <c:v>BODY</c:v>
                </c:pt>
                <c:pt idx="13">
                  <c:v>BASE</c:v>
                </c:pt>
              </c:strCache>
            </c:strRef>
          </c:cat>
          <c:val>
            <c:numRef>
              <c:f>'30'!$AE$6:$AE$20</c:f>
              <c:numCache>
                <c:formatCode>0%</c:formatCode>
                <c:ptCount val="15"/>
                <c:pt idx="0">
                  <c:v>0.71039712009447664</c:v>
                </c:pt>
                <c:pt idx="1">
                  <c:v>0.71039712009447664</c:v>
                </c:pt>
                <c:pt idx="2">
                  <c:v>0.71039712009447664</c:v>
                </c:pt>
                <c:pt idx="3">
                  <c:v>0.71039712009447664</c:v>
                </c:pt>
                <c:pt idx="4">
                  <c:v>0.71039712009447664</c:v>
                </c:pt>
                <c:pt idx="5">
                  <c:v>0.71039712009447664</c:v>
                </c:pt>
                <c:pt idx="6">
                  <c:v>0.71039712009447664</c:v>
                </c:pt>
                <c:pt idx="7">
                  <c:v>0.71039712009447664</c:v>
                </c:pt>
                <c:pt idx="8">
                  <c:v>0.71039712009447664</c:v>
                </c:pt>
                <c:pt idx="9">
                  <c:v>0.71039712009447664</c:v>
                </c:pt>
                <c:pt idx="10">
                  <c:v>0.71039712009447664</c:v>
                </c:pt>
                <c:pt idx="11">
                  <c:v>0.71039712009447664</c:v>
                </c:pt>
                <c:pt idx="12">
                  <c:v>0.71039712009447664</c:v>
                </c:pt>
                <c:pt idx="13">
                  <c:v>0.71039712009447664</c:v>
                </c:pt>
                <c:pt idx="14">
                  <c:v>0.71039712009447664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682304"/>
        <c:axId val="488574912"/>
      </c:lineChart>
      <c:catAx>
        <c:axId val="5636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8574912"/>
        <c:crosses val="autoZero"/>
        <c:auto val="1"/>
        <c:lblAlgn val="ctr"/>
        <c:lblOffset val="100"/>
        <c:noMultiLvlLbl val="0"/>
      </c:catAx>
      <c:valAx>
        <c:axId val="48857491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63682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081728"/>
        <c:axId val="48857721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81728"/>
        <c:axId val="488577216"/>
      </c:lineChart>
      <c:catAx>
        <c:axId val="5630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488577216"/>
        <c:crosses val="autoZero"/>
        <c:auto val="1"/>
        <c:lblAlgn val="ctr"/>
        <c:lblOffset val="100"/>
        <c:noMultiLvlLbl val="0"/>
      </c:catAx>
      <c:valAx>
        <c:axId val="4885772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308172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'03'!$AD$6:$AD$22</c:f>
              <c:strCache>
                <c:ptCount val="1"/>
                <c:pt idx="0">
                  <c:v>0% 0% 96% 46% 46% 100% 63% 75% 33% 33% 0% 100% 25% 17% 92% 100%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'03'!$D$6:$D$22</c:f>
              <c:strCache>
                <c:ptCount val="16"/>
                <c:pt idx="1">
                  <c:v>COVER</c:v>
                </c:pt>
                <c:pt idx="2">
                  <c:v>STOPPER</c:v>
                </c:pt>
                <c:pt idx="3">
                  <c:v>BASE</c:v>
                </c:pt>
                <c:pt idx="4">
                  <c:v>SLIDER</c:v>
                </c:pt>
                <c:pt idx="5">
                  <c:v>SLIDER</c:v>
                </c:pt>
                <c:pt idx="6">
                  <c:v>TOP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BOTTOM</c:v>
                </c:pt>
                <c:pt idx="11">
                  <c:v>BASE</c:v>
                </c:pt>
                <c:pt idx="12">
                  <c:v>PLATE</c:v>
                </c:pt>
                <c:pt idx="13">
                  <c:v>ADAPTER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'03'!$AD$6:$AD$22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0.95708874458874471</c:v>
                </c:pt>
                <c:pt idx="3">
                  <c:v>0.45833333333333331</c:v>
                </c:pt>
                <c:pt idx="4">
                  <c:v>0.45681996855345913</c:v>
                </c:pt>
                <c:pt idx="5">
                  <c:v>0.99912280701754386</c:v>
                </c:pt>
                <c:pt idx="6">
                  <c:v>0.625</c:v>
                </c:pt>
                <c:pt idx="7">
                  <c:v>0.75</c:v>
                </c:pt>
                <c:pt idx="8">
                  <c:v>0.33253968253968252</c:v>
                </c:pt>
                <c:pt idx="9">
                  <c:v>0.33333333333333331</c:v>
                </c:pt>
                <c:pt idx="10">
                  <c:v>0</c:v>
                </c:pt>
                <c:pt idx="11">
                  <c:v>0.99959677419354842</c:v>
                </c:pt>
                <c:pt idx="12">
                  <c:v>0.25</c:v>
                </c:pt>
                <c:pt idx="13">
                  <c:v>0.165359477124183</c:v>
                </c:pt>
                <c:pt idx="14">
                  <c:v>0.91630789302022175</c:v>
                </c:pt>
                <c:pt idx="15">
                  <c:v>0.99961013645224173</c:v>
                </c:pt>
                <c:pt idx="16">
                  <c:v>0.99990591187078559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'03'!$D$6:$D$22</c:f>
              <c:strCache>
                <c:ptCount val="16"/>
                <c:pt idx="1">
                  <c:v>COVER</c:v>
                </c:pt>
                <c:pt idx="2">
                  <c:v>STOPPER</c:v>
                </c:pt>
                <c:pt idx="3">
                  <c:v>BASE</c:v>
                </c:pt>
                <c:pt idx="4">
                  <c:v>SLIDER</c:v>
                </c:pt>
                <c:pt idx="5">
                  <c:v>SLIDER</c:v>
                </c:pt>
                <c:pt idx="6">
                  <c:v>TOP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BOTTOM</c:v>
                </c:pt>
                <c:pt idx="11">
                  <c:v>BASE</c:v>
                </c:pt>
                <c:pt idx="12">
                  <c:v>PLATE</c:v>
                </c:pt>
                <c:pt idx="13">
                  <c:v>ADAPTER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'03'!$AE$6:$AE$22</c:f>
              <c:numCache>
                <c:formatCode>0%</c:formatCode>
                <c:ptCount val="17"/>
                <c:pt idx="0">
                  <c:v>0.61620120413513846</c:v>
                </c:pt>
                <c:pt idx="1">
                  <c:v>0.61620120413513846</c:v>
                </c:pt>
                <c:pt idx="2">
                  <c:v>0.61620120413513846</c:v>
                </c:pt>
                <c:pt idx="3">
                  <c:v>0.61620120413513846</c:v>
                </c:pt>
                <c:pt idx="4">
                  <c:v>0.61620120413513846</c:v>
                </c:pt>
                <c:pt idx="5">
                  <c:v>0.61620120413513846</c:v>
                </c:pt>
                <c:pt idx="6">
                  <c:v>0.61620120413513846</c:v>
                </c:pt>
                <c:pt idx="7">
                  <c:v>0.61620120413513846</c:v>
                </c:pt>
                <c:pt idx="8">
                  <c:v>0.61620120413513846</c:v>
                </c:pt>
                <c:pt idx="9">
                  <c:v>0.61620120413513846</c:v>
                </c:pt>
                <c:pt idx="10">
                  <c:v>0.61620120413513846</c:v>
                </c:pt>
                <c:pt idx="11">
                  <c:v>0.61620120413513846</c:v>
                </c:pt>
                <c:pt idx="12">
                  <c:v>0.61620120413513846</c:v>
                </c:pt>
                <c:pt idx="13">
                  <c:v>0.61620120413513846</c:v>
                </c:pt>
                <c:pt idx="14">
                  <c:v>0.61620120413513846</c:v>
                </c:pt>
                <c:pt idx="15">
                  <c:v>0.61620120413513846</c:v>
                </c:pt>
                <c:pt idx="16">
                  <c:v>0.61620120413513846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405504"/>
        <c:axId val="1094364544"/>
      </c:lineChart>
      <c:catAx>
        <c:axId val="7444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094364544"/>
        <c:crosses val="autoZero"/>
        <c:auto val="1"/>
        <c:lblAlgn val="ctr"/>
        <c:lblOffset val="100"/>
        <c:noMultiLvlLbl val="0"/>
      </c:catAx>
      <c:valAx>
        <c:axId val="10943645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44405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'03'!$D$6:$D$22</c:f>
              <c:strCache>
                <c:ptCount val="16"/>
                <c:pt idx="1">
                  <c:v>COVER</c:v>
                </c:pt>
                <c:pt idx="2">
                  <c:v>STOPPER</c:v>
                </c:pt>
                <c:pt idx="3">
                  <c:v>BASE</c:v>
                </c:pt>
                <c:pt idx="4">
                  <c:v>SLIDER</c:v>
                </c:pt>
                <c:pt idx="5">
                  <c:v>SLIDER</c:v>
                </c:pt>
                <c:pt idx="6">
                  <c:v>TOP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BOTTOM</c:v>
                </c:pt>
                <c:pt idx="11">
                  <c:v>BASE</c:v>
                </c:pt>
                <c:pt idx="12">
                  <c:v>PLATE</c:v>
                </c:pt>
                <c:pt idx="13">
                  <c:v>ADAPTER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'03'!$L$6:$L$22</c:f>
              <c:numCache>
                <c:formatCode>_(* #,##0_);_(* \(#,##0\);_(* "-"_);_(@_)</c:formatCode>
                <c:ptCount val="17"/>
                <c:pt idx="2">
                  <c:v>5383</c:v>
                </c:pt>
                <c:pt idx="3">
                  <c:v>2240</c:v>
                </c:pt>
                <c:pt idx="4">
                  <c:v>2113</c:v>
                </c:pt>
                <c:pt idx="5">
                  <c:v>5695</c:v>
                </c:pt>
                <c:pt idx="6">
                  <c:v>6580</c:v>
                </c:pt>
                <c:pt idx="7">
                  <c:v>2930</c:v>
                </c:pt>
                <c:pt idx="8">
                  <c:v>1257</c:v>
                </c:pt>
                <c:pt idx="9">
                  <c:v>456</c:v>
                </c:pt>
                <c:pt idx="11">
                  <c:v>4958</c:v>
                </c:pt>
                <c:pt idx="12">
                  <c:v>2090</c:v>
                </c:pt>
                <c:pt idx="13">
                  <c:v>506</c:v>
                </c:pt>
                <c:pt idx="14">
                  <c:v>5108</c:v>
                </c:pt>
                <c:pt idx="15">
                  <c:v>5128</c:v>
                </c:pt>
                <c:pt idx="16">
                  <c:v>63764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'03'!$D$6:$D$22</c:f>
              <c:strCache>
                <c:ptCount val="16"/>
                <c:pt idx="1">
                  <c:v>COVER</c:v>
                </c:pt>
                <c:pt idx="2">
                  <c:v>STOPPER</c:v>
                </c:pt>
                <c:pt idx="3">
                  <c:v>BASE</c:v>
                </c:pt>
                <c:pt idx="4">
                  <c:v>SLIDER</c:v>
                </c:pt>
                <c:pt idx="5">
                  <c:v>SLIDER</c:v>
                </c:pt>
                <c:pt idx="6">
                  <c:v>TOP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BOTTOM</c:v>
                </c:pt>
                <c:pt idx="11">
                  <c:v>BASE</c:v>
                </c:pt>
                <c:pt idx="12">
                  <c:v>PLATE</c:v>
                </c:pt>
                <c:pt idx="13">
                  <c:v>ADAPTER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'03'!$J$6:$J$22</c:f>
              <c:numCache>
                <c:formatCode>_(* #,##0_);_(* \(#,##0\);_(* "-"_);_(@_)</c:formatCode>
                <c:ptCount val="17"/>
                <c:pt idx="1">
                  <c:v>1320</c:v>
                </c:pt>
                <c:pt idx="2">
                  <c:v>5390</c:v>
                </c:pt>
                <c:pt idx="3">
                  <c:v>2240</c:v>
                </c:pt>
                <c:pt idx="4">
                  <c:v>2120</c:v>
                </c:pt>
                <c:pt idx="5">
                  <c:v>5700</c:v>
                </c:pt>
                <c:pt idx="6">
                  <c:v>6580</c:v>
                </c:pt>
                <c:pt idx="7">
                  <c:v>2930</c:v>
                </c:pt>
                <c:pt idx="8">
                  <c:v>1260</c:v>
                </c:pt>
                <c:pt idx="9">
                  <c:v>456</c:v>
                </c:pt>
                <c:pt idx="10">
                  <c:v>15880</c:v>
                </c:pt>
                <c:pt idx="11">
                  <c:v>4960</c:v>
                </c:pt>
                <c:pt idx="12">
                  <c:v>2090</c:v>
                </c:pt>
                <c:pt idx="13">
                  <c:v>510</c:v>
                </c:pt>
                <c:pt idx="14">
                  <c:v>5110</c:v>
                </c:pt>
                <c:pt idx="15">
                  <c:v>5130</c:v>
                </c:pt>
                <c:pt idx="16">
                  <c:v>63770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847104"/>
        <c:axId val="1094366848"/>
      </c:lineChart>
      <c:catAx>
        <c:axId val="74884710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094366848"/>
        <c:crosses val="autoZero"/>
        <c:auto val="1"/>
        <c:lblAlgn val="ctr"/>
        <c:lblOffset val="100"/>
        <c:noMultiLvlLbl val="0"/>
      </c:catAx>
      <c:valAx>
        <c:axId val="10943668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48847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'03'!$AD$6:$AD$22</c:f>
              <c:strCache>
                <c:ptCount val="1"/>
                <c:pt idx="0">
                  <c:v>0% 0% 96% 46% 46% 100% 63% 75% 33% 33% 0% 100% 25% 17% 92% 100%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'03'!$D$6:$D$22</c:f>
              <c:strCache>
                <c:ptCount val="16"/>
                <c:pt idx="1">
                  <c:v>COVER</c:v>
                </c:pt>
                <c:pt idx="2">
                  <c:v>STOPPER</c:v>
                </c:pt>
                <c:pt idx="3">
                  <c:v>BASE</c:v>
                </c:pt>
                <c:pt idx="4">
                  <c:v>SLIDER</c:v>
                </c:pt>
                <c:pt idx="5">
                  <c:v>SLIDER</c:v>
                </c:pt>
                <c:pt idx="6">
                  <c:v>TOP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BOTTOM</c:v>
                </c:pt>
                <c:pt idx="11">
                  <c:v>BASE</c:v>
                </c:pt>
                <c:pt idx="12">
                  <c:v>PLATE</c:v>
                </c:pt>
                <c:pt idx="13">
                  <c:v>ADAPTER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'03'!$AD$6:$AD$22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0.95708874458874471</c:v>
                </c:pt>
                <c:pt idx="3">
                  <c:v>0.45833333333333331</c:v>
                </c:pt>
                <c:pt idx="4">
                  <c:v>0.45681996855345913</c:v>
                </c:pt>
                <c:pt idx="5">
                  <c:v>0.99912280701754386</c:v>
                </c:pt>
                <c:pt idx="6">
                  <c:v>0.625</c:v>
                </c:pt>
                <c:pt idx="7">
                  <c:v>0.75</c:v>
                </c:pt>
                <c:pt idx="8">
                  <c:v>0.33253968253968252</c:v>
                </c:pt>
                <c:pt idx="9">
                  <c:v>0.33333333333333331</c:v>
                </c:pt>
                <c:pt idx="10">
                  <c:v>0</c:v>
                </c:pt>
                <c:pt idx="11">
                  <c:v>0.99959677419354842</c:v>
                </c:pt>
                <c:pt idx="12">
                  <c:v>0.25</c:v>
                </c:pt>
                <c:pt idx="13">
                  <c:v>0.165359477124183</c:v>
                </c:pt>
                <c:pt idx="14">
                  <c:v>0.91630789302022175</c:v>
                </c:pt>
                <c:pt idx="15">
                  <c:v>0.99961013645224173</c:v>
                </c:pt>
                <c:pt idx="16">
                  <c:v>0.99990591187078559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'03'!$D$6:$D$22</c:f>
              <c:strCache>
                <c:ptCount val="16"/>
                <c:pt idx="1">
                  <c:v>COVER</c:v>
                </c:pt>
                <c:pt idx="2">
                  <c:v>STOPPER</c:v>
                </c:pt>
                <c:pt idx="3">
                  <c:v>BASE</c:v>
                </c:pt>
                <c:pt idx="4">
                  <c:v>SLIDER</c:v>
                </c:pt>
                <c:pt idx="5">
                  <c:v>SLIDER</c:v>
                </c:pt>
                <c:pt idx="6">
                  <c:v>TOP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BOTTOM</c:v>
                </c:pt>
                <c:pt idx="11">
                  <c:v>BASE</c:v>
                </c:pt>
                <c:pt idx="12">
                  <c:v>PLATE</c:v>
                </c:pt>
                <c:pt idx="13">
                  <c:v>ADAPTER</c:v>
                </c:pt>
                <c:pt idx="14">
                  <c:v>SLIDER</c:v>
                </c:pt>
                <c:pt idx="15">
                  <c:v>BASE</c:v>
                </c:pt>
              </c:strCache>
            </c:strRef>
          </c:cat>
          <c:val>
            <c:numRef>
              <c:f>'03'!$AE$6:$AE$22</c:f>
              <c:numCache>
                <c:formatCode>0%</c:formatCode>
                <c:ptCount val="17"/>
                <c:pt idx="0">
                  <c:v>0.61620120413513846</c:v>
                </c:pt>
                <c:pt idx="1">
                  <c:v>0.61620120413513846</c:v>
                </c:pt>
                <c:pt idx="2">
                  <c:v>0.61620120413513846</c:v>
                </c:pt>
                <c:pt idx="3">
                  <c:v>0.61620120413513846</c:v>
                </c:pt>
                <c:pt idx="4">
                  <c:v>0.61620120413513846</c:v>
                </c:pt>
                <c:pt idx="5">
                  <c:v>0.61620120413513846</c:v>
                </c:pt>
                <c:pt idx="6">
                  <c:v>0.61620120413513846</c:v>
                </c:pt>
                <c:pt idx="7">
                  <c:v>0.61620120413513846</c:v>
                </c:pt>
                <c:pt idx="8">
                  <c:v>0.61620120413513846</c:v>
                </c:pt>
                <c:pt idx="9">
                  <c:v>0.61620120413513846</c:v>
                </c:pt>
                <c:pt idx="10">
                  <c:v>0.61620120413513846</c:v>
                </c:pt>
                <c:pt idx="11">
                  <c:v>0.61620120413513846</c:v>
                </c:pt>
                <c:pt idx="12">
                  <c:v>0.61620120413513846</c:v>
                </c:pt>
                <c:pt idx="13">
                  <c:v>0.61620120413513846</c:v>
                </c:pt>
                <c:pt idx="14">
                  <c:v>0.61620120413513846</c:v>
                </c:pt>
                <c:pt idx="15">
                  <c:v>0.61620120413513846</c:v>
                </c:pt>
                <c:pt idx="16">
                  <c:v>0.61620120413513846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848640"/>
        <c:axId val="1094368576"/>
      </c:lineChart>
      <c:catAx>
        <c:axId val="74884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094368576"/>
        <c:crosses val="autoZero"/>
        <c:auto val="1"/>
        <c:lblAlgn val="ctr"/>
        <c:lblOffset val="100"/>
        <c:noMultiLvlLbl val="0"/>
      </c:catAx>
      <c:valAx>
        <c:axId val="10943685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48848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544512"/>
        <c:axId val="110729798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544512"/>
        <c:axId val="1107297984"/>
      </c:lineChart>
      <c:catAx>
        <c:axId val="73254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7297984"/>
        <c:crosses val="autoZero"/>
        <c:auto val="1"/>
        <c:lblAlgn val="ctr"/>
        <c:lblOffset val="100"/>
        <c:noMultiLvlLbl val="0"/>
      </c:catAx>
      <c:valAx>
        <c:axId val="11072979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3254451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STOPPER</c:v>
                </c:pt>
                <c:pt idx="11">
                  <c:v>PLATE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'04'!$L$6:$L$20</c:f>
              <c:numCache>
                <c:formatCode>_(* #,##0_);_(* \(#,##0\);_(* "-"_);_(@_)</c:formatCode>
                <c:ptCount val="15"/>
                <c:pt idx="0">
                  <c:v>1024</c:v>
                </c:pt>
                <c:pt idx="2">
                  <c:v>3788</c:v>
                </c:pt>
                <c:pt idx="3">
                  <c:v>4827</c:v>
                </c:pt>
                <c:pt idx="4">
                  <c:v>4220</c:v>
                </c:pt>
                <c:pt idx="5">
                  <c:v>6313</c:v>
                </c:pt>
                <c:pt idx="6">
                  <c:v>4783</c:v>
                </c:pt>
                <c:pt idx="8">
                  <c:v>649</c:v>
                </c:pt>
                <c:pt idx="9">
                  <c:v>5046</c:v>
                </c:pt>
                <c:pt idx="10">
                  <c:v>4961</c:v>
                </c:pt>
                <c:pt idx="12">
                  <c:v>3013</c:v>
                </c:pt>
                <c:pt idx="13">
                  <c:v>4796</c:v>
                </c:pt>
                <c:pt idx="14">
                  <c:v>63820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'04'!$D$6:$D$20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STOPPER</c:v>
                </c:pt>
                <c:pt idx="11">
                  <c:v>PLATE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'04'!$J$6:$J$20</c:f>
              <c:numCache>
                <c:formatCode>_(* #,##0_);_(* \(#,##0\);_(* "-"_);_(@_)</c:formatCode>
                <c:ptCount val="15"/>
                <c:pt idx="0">
                  <c:v>1030</c:v>
                </c:pt>
                <c:pt idx="1">
                  <c:v>1320</c:v>
                </c:pt>
                <c:pt idx="2">
                  <c:v>3790</c:v>
                </c:pt>
                <c:pt idx="3">
                  <c:v>4830</c:v>
                </c:pt>
                <c:pt idx="4">
                  <c:v>4220</c:v>
                </c:pt>
                <c:pt idx="5">
                  <c:v>6320</c:v>
                </c:pt>
                <c:pt idx="6">
                  <c:v>4890</c:v>
                </c:pt>
                <c:pt idx="7">
                  <c:v>1260</c:v>
                </c:pt>
                <c:pt idx="8">
                  <c:v>650</c:v>
                </c:pt>
                <c:pt idx="9">
                  <c:v>5050</c:v>
                </c:pt>
                <c:pt idx="10">
                  <c:v>4970</c:v>
                </c:pt>
                <c:pt idx="11">
                  <c:v>2090</c:v>
                </c:pt>
                <c:pt idx="12">
                  <c:v>3020</c:v>
                </c:pt>
                <c:pt idx="13">
                  <c:v>4800</c:v>
                </c:pt>
                <c:pt idx="14">
                  <c:v>63820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401920"/>
        <c:axId val="1107300864"/>
      </c:lineChart>
      <c:catAx>
        <c:axId val="25640192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07300864"/>
        <c:crosses val="autoZero"/>
        <c:auto val="1"/>
        <c:lblAlgn val="ctr"/>
        <c:lblOffset val="100"/>
        <c:noMultiLvlLbl val="0"/>
      </c:catAx>
      <c:valAx>
        <c:axId val="110730086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56401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'04'!$AD$6:$AD$20</c:f>
              <c:strCache>
                <c:ptCount val="1"/>
                <c:pt idx="0">
                  <c:v>37% 0% 75% 100% 83% 100% 98% 0% 33% 100% 100% 0% 75% 96%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'04'!$D$6:$D$20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STOPPER</c:v>
                </c:pt>
                <c:pt idx="11">
                  <c:v>PLATE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'04'!$AD$6:$AD$20</c:f>
              <c:numCache>
                <c:formatCode>0%</c:formatCode>
                <c:ptCount val="15"/>
                <c:pt idx="0">
                  <c:v>0.37281553398058254</c:v>
                </c:pt>
                <c:pt idx="1">
                  <c:v>0</c:v>
                </c:pt>
                <c:pt idx="2">
                  <c:v>0.74960422163588392</c:v>
                </c:pt>
                <c:pt idx="3">
                  <c:v>0.99937888198757763</c:v>
                </c:pt>
                <c:pt idx="4">
                  <c:v>0.83333333333333337</c:v>
                </c:pt>
                <c:pt idx="5">
                  <c:v>0.99889240506329113</c:v>
                </c:pt>
                <c:pt idx="6">
                  <c:v>0.97811860940695294</c:v>
                </c:pt>
                <c:pt idx="7">
                  <c:v>0</c:v>
                </c:pt>
                <c:pt idx="8">
                  <c:v>0.33282051282051284</c:v>
                </c:pt>
                <c:pt idx="9">
                  <c:v>0.99920792079207921</c:v>
                </c:pt>
                <c:pt idx="10">
                  <c:v>0.99818913480885307</c:v>
                </c:pt>
                <c:pt idx="11">
                  <c:v>0</c:v>
                </c:pt>
                <c:pt idx="12">
                  <c:v>0.74826158940397347</c:v>
                </c:pt>
                <c:pt idx="13">
                  <c:v>0.95753472222222225</c:v>
                </c:pt>
                <c:pt idx="14">
                  <c:v>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'04'!$D$6:$D$20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STOPPER</c:v>
                </c:pt>
                <c:pt idx="11">
                  <c:v>PLATE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'04'!$AE$6:$AE$20</c:f>
              <c:numCache>
                <c:formatCode>0%</c:formatCode>
                <c:ptCount val="15"/>
                <c:pt idx="0">
                  <c:v>0.66454379103035088</c:v>
                </c:pt>
                <c:pt idx="1">
                  <c:v>0.66454379103035088</c:v>
                </c:pt>
                <c:pt idx="2">
                  <c:v>0.66454379103035088</c:v>
                </c:pt>
                <c:pt idx="3">
                  <c:v>0.66454379103035088</c:v>
                </c:pt>
                <c:pt idx="4">
                  <c:v>0.66454379103035088</c:v>
                </c:pt>
                <c:pt idx="5">
                  <c:v>0.66454379103035088</c:v>
                </c:pt>
                <c:pt idx="6">
                  <c:v>0.66454379103035088</c:v>
                </c:pt>
                <c:pt idx="7">
                  <c:v>0.66454379103035088</c:v>
                </c:pt>
                <c:pt idx="8">
                  <c:v>0.66454379103035088</c:v>
                </c:pt>
                <c:pt idx="9">
                  <c:v>0.66454379103035088</c:v>
                </c:pt>
                <c:pt idx="10">
                  <c:v>0.66454379103035088</c:v>
                </c:pt>
                <c:pt idx="11">
                  <c:v>0.66454379103035088</c:v>
                </c:pt>
                <c:pt idx="12">
                  <c:v>0.66454379103035088</c:v>
                </c:pt>
                <c:pt idx="13">
                  <c:v>0.66454379103035088</c:v>
                </c:pt>
                <c:pt idx="14">
                  <c:v>0.66454379103035088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403968"/>
        <c:axId val="1107302592"/>
      </c:lineChart>
      <c:catAx>
        <c:axId val="25640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07302592"/>
        <c:crosses val="autoZero"/>
        <c:auto val="1"/>
        <c:lblAlgn val="ctr"/>
        <c:lblOffset val="100"/>
        <c:noMultiLvlLbl val="0"/>
      </c:catAx>
      <c:valAx>
        <c:axId val="110730259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56403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11</a:t>
            </a:r>
            <a:r>
              <a:rPr lang="ko-KR" altLang="en-US"/>
              <a:t>월 호기별 가동율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총괄!$AG$2</c:f>
              <c:strCache>
                <c:ptCount val="1"/>
                <c:pt idx="0">
                  <c:v>평균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총괄!$A$3:$A$17</c:f>
              <c:strCache>
                <c:ptCount val="15"/>
                <c:pt idx="0">
                  <c:v>1호기</c:v>
                </c:pt>
                <c:pt idx="1">
                  <c:v>2호기</c:v>
                </c:pt>
                <c:pt idx="2">
                  <c:v>3호기</c:v>
                </c:pt>
                <c:pt idx="3">
                  <c:v>4호기</c:v>
                </c:pt>
                <c:pt idx="4">
                  <c:v>5호기</c:v>
                </c:pt>
                <c:pt idx="5">
                  <c:v>6호기</c:v>
                </c:pt>
                <c:pt idx="6">
                  <c:v>7호기</c:v>
                </c:pt>
                <c:pt idx="7">
                  <c:v>8호기</c:v>
                </c:pt>
                <c:pt idx="8">
                  <c:v>9호기</c:v>
                </c:pt>
                <c:pt idx="9">
                  <c:v>10호기</c:v>
                </c:pt>
                <c:pt idx="10">
                  <c:v>11호기</c:v>
                </c:pt>
                <c:pt idx="11">
                  <c:v>12호기</c:v>
                </c:pt>
                <c:pt idx="12">
                  <c:v>13호기</c:v>
                </c:pt>
                <c:pt idx="13">
                  <c:v>14호기</c:v>
                </c:pt>
                <c:pt idx="14">
                  <c:v>15호기</c:v>
                </c:pt>
              </c:strCache>
            </c:strRef>
          </c:cat>
          <c:val>
            <c:numRef>
              <c:f>총괄!$AG$3:$AG$17</c:f>
              <c:numCache>
                <c:formatCode>0%</c:formatCode>
                <c:ptCount val="15"/>
                <c:pt idx="0">
                  <c:v>0.48255164061197792</c:v>
                </c:pt>
                <c:pt idx="1">
                  <c:v>0.40091155403720108</c:v>
                </c:pt>
                <c:pt idx="2">
                  <c:v>0.68613759832748944</c:v>
                </c:pt>
                <c:pt idx="3">
                  <c:v>0.66161667216171205</c:v>
                </c:pt>
                <c:pt idx="4">
                  <c:v>0.5481693898527219</c:v>
                </c:pt>
                <c:pt idx="5">
                  <c:v>0.54650105996654641</c:v>
                </c:pt>
                <c:pt idx="6">
                  <c:v>0.49583274694437068</c:v>
                </c:pt>
                <c:pt idx="7">
                  <c:v>0.37861480198475983</c:v>
                </c:pt>
                <c:pt idx="8">
                  <c:v>0.18967792223749011</c:v>
                </c:pt>
                <c:pt idx="9">
                  <c:v>0.45499492782978196</c:v>
                </c:pt>
                <c:pt idx="10">
                  <c:v>0.50146860580007169</c:v>
                </c:pt>
                <c:pt idx="11">
                  <c:v>0.39415737074936091</c:v>
                </c:pt>
                <c:pt idx="12">
                  <c:v>0.74915836713715989</c:v>
                </c:pt>
                <c:pt idx="13">
                  <c:v>0.75734588408050396</c:v>
                </c:pt>
                <c:pt idx="14">
                  <c:v>0.71098339856464188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50816"/>
        <c:axId val="633451008"/>
      </c:barChart>
      <c:catAx>
        <c:axId val="20605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633451008"/>
        <c:crosses val="autoZero"/>
        <c:auto val="1"/>
        <c:lblAlgn val="ctr"/>
        <c:lblOffset val="100"/>
        <c:noMultiLvlLbl val="0"/>
      </c:catAx>
      <c:valAx>
        <c:axId val="6334510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6050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STOPPER</c:v>
                </c:pt>
                <c:pt idx="11">
                  <c:v>PLATE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'04'!$L$6:$L$20</c:f>
              <c:numCache>
                <c:formatCode>_(* #,##0_);_(* \(#,##0\);_(* "-"_);_(@_)</c:formatCode>
                <c:ptCount val="15"/>
                <c:pt idx="0">
                  <c:v>1024</c:v>
                </c:pt>
                <c:pt idx="2">
                  <c:v>3788</c:v>
                </c:pt>
                <c:pt idx="3">
                  <c:v>4827</c:v>
                </c:pt>
                <c:pt idx="4">
                  <c:v>4220</c:v>
                </c:pt>
                <c:pt idx="5">
                  <c:v>6313</c:v>
                </c:pt>
                <c:pt idx="6">
                  <c:v>4783</c:v>
                </c:pt>
                <c:pt idx="8">
                  <c:v>649</c:v>
                </c:pt>
                <c:pt idx="9">
                  <c:v>5046</c:v>
                </c:pt>
                <c:pt idx="10">
                  <c:v>4961</c:v>
                </c:pt>
                <c:pt idx="12">
                  <c:v>3013</c:v>
                </c:pt>
                <c:pt idx="13">
                  <c:v>4796</c:v>
                </c:pt>
                <c:pt idx="14">
                  <c:v>63820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'04'!$D$6:$D$20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STOPPER</c:v>
                </c:pt>
                <c:pt idx="11">
                  <c:v>PLATE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'04'!$J$6:$J$20</c:f>
              <c:numCache>
                <c:formatCode>_(* #,##0_);_(* \(#,##0\);_(* "-"_);_(@_)</c:formatCode>
                <c:ptCount val="15"/>
                <c:pt idx="0">
                  <c:v>1030</c:v>
                </c:pt>
                <c:pt idx="1">
                  <c:v>1320</c:v>
                </c:pt>
                <c:pt idx="2">
                  <c:v>3790</c:v>
                </c:pt>
                <c:pt idx="3">
                  <c:v>4830</c:v>
                </c:pt>
                <c:pt idx="4">
                  <c:v>4220</c:v>
                </c:pt>
                <c:pt idx="5">
                  <c:v>6320</c:v>
                </c:pt>
                <c:pt idx="6">
                  <c:v>4890</c:v>
                </c:pt>
                <c:pt idx="7">
                  <c:v>1260</c:v>
                </c:pt>
                <c:pt idx="8">
                  <c:v>650</c:v>
                </c:pt>
                <c:pt idx="9">
                  <c:v>5050</c:v>
                </c:pt>
                <c:pt idx="10">
                  <c:v>4970</c:v>
                </c:pt>
                <c:pt idx="11">
                  <c:v>2090</c:v>
                </c:pt>
                <c:pt idx="12">
                  <c:v>3020</c:v>
                </c:pt>
                <c:pt idx="13">
                  <c:v>4800</c:v>
                </c:pt>
                <c:pt idx="14">
                  <c:v>63820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404480"/>
        <c:axId val="1133208128"/>
      </c:lineChart>
      <c:catAx>
        <c:axId val="25640448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33208128"/>
        <c:crosses val="autoZero"/>
        <c:auto val="1"/>
        <c:lblAlgn val="ctr"/>
        <c:lblOffset val="100"/>
        <c:noMultiLvlLbl val="0"/>
      </c:catAx>
      <c:valAx>
        <c:axId val="113320812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56404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'04'!$AD$6:$AD$20</c:f>
              <c:strCache>
                <c:ptCount val="1"/>
                <c:pt idx="0">
                  <c:v>37% 0% 75% 100% 83% 100% 98% 0% 33% 100% 100% 0% 75% 96%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'04'!$D$6:$D$20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STOPPER</c:v>
                </c:pt>
                <c:pt idx="11">
                  <c:v>PLATE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'04'!$AD$6:$AD$20</c:f>
              <c:numCache>
                <c:formatCode>0%</c:formatCode>
                <c:ptCount val="15"/>
                <c:pt idx="0">
                  <c:v>0.37281553398058254</c:v>
                </c:pt>
                <c:pt idx="1">
                  <c:v>0</c:v>
                </c:pt>
                <c:pt idx="2">
                  <c:v>0.74960422163588392</c:v>
                </c:pt>
                <c:pt idx="3">
                  <c:v>0.99937888198757763</c:v>
                </c:pt>
                <c:pt idx="4">
                  <c:v>0.83333333333333337</c:v>
                </c:pt>
                <c:pt idx="5">
                  <c:v>0.99889240506329113</c:v>
                </c:pt>
                <c:pt idx="6">
                  <c:v>0.97811860940695294</c:v>
                </c:pt>
                <c:pt idx="7">
                  <c:v>0</c:v>
                </c:pt>
                <c:pt idx="8">
                  <c:v>0.33282051282051284</c:v>
                </c:pt>
                <c:pt idx="9">
                  <c:v>0.99920792079207921</c:v>
                </c:pt>
                <c:pt idx="10">
                  <c:v>0.99818913480885307</c:v>
                </c:pt>
                <c:pt idx="11">
                  <c:v>0</c:v>
                </c:pt>
                <c:pt idx="12">
                  <c:v>0.74826158940397347</c:v>
                </c:pt>
                <c:pt idx="13">
                  <c:v>0.95753472222222225</c:v>
                </c:pt>
                <c:pt idx="14">
                  <c:v>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'04'!$D$6:$D$20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STOPPER</c:v>
                </c:pt>
                <c:pt idx="11">
                  <c:v>PLATE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'04'!$AE$6:$AE$20</c:f>
              <c:numCache>
                <c:formatCode>0%</c:formatCode>
                <c:ptCount val="15"/>
                <c:pt idx="0">
                  <c:v>0.66454379103035088</c:v>
                </c:pt>
                <c:pt idx="1">
                  <c:v>0.66454379103035088</c:v>
                </c:pt>
                <c:pt idx="2">
                  <c:v>0.66454379103035088</c:v>
                </c:pt>
                <c:pt idx="3">
                  <c:v>0.66454379103035088</c:v>
                </c:pt>
                <c:pt idx="4">
                  <c:v>0.66454379103035088</c:v>
                </c:pt>
                <c:pt idx="5">
                  <c:v>0.66454379103035088</c:v>
                </c:pt>
                <c:pt idx="6">
                  <c:v>0.66454379103035088</c:v>
                </c:pt>
                <c:pt idx="7">
                  <c:v>0.66454379103035088</c:v>
                </c:pt>
                <c:pt idx="8">
                  <c:v>0.66454379103035088</c:v>
                </c:pt>
                <c:pt idx="9">
                  <c:v>0.66454379103035088</c:v>
                </c:pt>
                <c:pt idx="10">
                  <c:v>0.66454379103035088</c:v>
                </c:pt>
                <c:pt idx="11">
                  <c:v>0.66454379103035088</c:v>
                </c:pt>
                <c:pt idx="12">
                  <c:v>0.66454379103035088</c:v>
                </c:pt>
                <c:pt idx="13">
                  <c:v>0.66454379103035088</c:v>
                </c:pt>
                <c:pt idx="14">
                  <c:v>0.66454379103035088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075008"/>
        <c:axId val="1133209856"/>
      </c:lineChart>
      <c:catAx>
        <c:axId val="3960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33209856"/>
        <c:crosses val="autoZero"/>
        <c:auto val="1"/>
        <c:lblAlgn val="ctr"/>
        <c:lblOffset val="100"/>
        <c:noMultiLvlLbl val="0"/>
      </c:catAx>
      <c:valAx>
        <c:axId val="11332098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9607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075520"/>
        <c:axId val="113321216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075520"/>
        <c:axId val="1133212160"/>
      </c:lineChart>
      <c:catAx>
        <c:axId val="39607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3212160"/>
        <c:crosses val="autoZero"/>
        <c:auto val="1"/>
        <c:lblAlgn val="ctr"/>
        <c:lblOffset val="100"/>
        <c:noMultiLvlLbl val="0"/>
      </c:catAx>
      <c:valAx>
        <c:axId val="11332121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607552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SLIDER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'05'!$L$6:$L$20</c:f>
              <c:numCache>
                <c:formatCode>_(* #,##0_);_(* \(#,##0\);_(* "-"_);_(@_)</c:formatCode>
                <c:ptCount val="15"/>
                <c:pt idx="2">
                  <c:v>2222</c:v>
                </c:pt>
                <c:pt idx="3">
                  <c:v>1915</c:v>
                </c:pt>
                <c:pt idx="4">
                  <c:v>2388</c:v>
                </c:pt>
                <c:pt idx="5">
                  <c:v>2730</c:v>
                </c:pt>
                <c:pt idx="6">
                  <c:v>1827</c:v>
                </c:pt>
                <c:pt idx="7">
                  <c:v>2854</c:v>
                </c:pt>
                <c:pt idx="8">
                  <c:v>281</c:v>
                </c:pt>
                <c:pt idx="9">
                  <c:v>1137</c:v>
                </c:pt>
                <c:pt idx="10">
                  <c:v>1142</c:v>
                </c:pt>
                <c:pt idx="11">
                  <c:v>1388</c:v>
                </c:pt>
                <c:pt idx="12">
                  <c:v>1873</c:v>
                </c:pt>
                <c:pt idx="13">
                  <c:v>2117</c:v>
                </c:pt>
                <c:pt idx="14">
                  <c:v>27408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'05'!$D$6:$D$20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SLIDER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'05'!$J$6:$J$20</c:f>
              <c:numCache>
                <c:formatCode>_(* #,##0_);_(* \(#,##0\);_(* "-"_);_(@_)</c:formatCode>
                <c:ptCount val="15"/>
                <c:pt idx="0">
                  <c:v>1030</c:v>
                </c:pt>
                <c:pt idx="1">
                  <c:v>1320</c:v>
                </c:pt>
                <c:pt idx="2">
                  <c:v>2230</c:v>
                </c:pt>
                <c:pt idx="3">
                  <c:v>1920</c:v>
                </c:pt>
                <c:pt idx="4">
                  <c:v>2390</c:v>
                </c:pt>
                <c:pt idx="5">
                  <c:v>2730</c:v>
                </c:pt>
                <c:pt idx="6">
                  <c:v>1830</c:v>
                </c:pt>
                <c:pt idx="7">
                  <c:v>2855</c:v>
                </c:pt>
                <c:pt idx="8">
                  <c:v>290</c:v>
                </c:pt>
                <c:pt idx="9">
                  <c:v>1140</c:v>
                </c:pt>
                <c:pt idx="10">
                  <c:v>1150</c:v>
                </c:pt>
                <c:pt idx="11">
                  <c:v>1390</c:v>
                </c:pt>
                <c:pt idx="12">
                  <c:v>1880</c:v>
                </c:pt>
                <c:pt idx="13">
                  <c:v>2120</c:v>
                </c:pt>
                <c:pt idx="14">
                  <c:v>27410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868544"/>
        <c:axId val="1133215040"/>
      </c:lineChart>
      <c:catAx>
        <c:axId val="42986854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33215040"/>
        <c:crosses val="autoZero"/>
        <c:auto val="1"/>
        <c:lblAlgn val="ctr"/>
        <c:lblOffset val="100"/>
        <c:noMultiLvlLbl val="0"/>
      </c:catAx>
      <c:valAx>
        <c:axId val="113321504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429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'05'!$AD$6:$AD$20</c:f>
              <c:strCache>
                <c:ptCount val="1"/>
                <c:pt idx="0">
                  <c:v>0% 0% 37% 42% 42% 33% 42% 33% 32% 25% 29% 33% 37% 42% 42%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'05'!$D$6:$D$20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SLIDER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0.37365470852017935</c:v>
                </c:pt>
                <c:pt idx="3">
                  <c:v>0.41558159722222227</c:v>
                </c:pt>
                <c:pt idx="4">
                  <c:v>0.41631799163179917</c:v>
                </c:pt>
                <c:pt idx="5">
                  <c:v>0.33333333333333331</c:v>
                </c:pt>
                <c:pt idx="6">
                  <c:v>0.41598360655737709</c:v>
                </c:pt>
                <c:pt idx="7">
                  <c:v>0.33321657910099239</c:v>
                </c:pt>
                <c:pt idx="8">
                  <c:v>0.32298850574712645</c:v>
                </c:pt>
                <c:pt idx="9">
                  <c:v>0.24934210526315789</c:v>
                </c:pt>
                <c:pt idx="10">
                  <c:v>0.28963768115942029</c:v>
                </c:pt>
                <c:pt idx="11">
                  <c:v>0.33285371702637889</c:v>
                </c:pt>
                <c:pt idx="12">
                  <c:v>0.37360372340425529</c:v>
                </c:pt>
                <c:pt idx="13">
                  <c:v>0.41607704402515727</c:v>
                </c:pt>
                <c:pt idx="14">
                  <c:v>0.41663626413717625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'05'!$D$6:$D$20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SLIDER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'05'!$AE$6:$AE$20</c:f>
              <c:numCache>
                <c:formatCode>0%</c:formatCode>
                <c:ptCount val="15"/>
                <c:pt idx="0">
                  <c:v>0.3126151238085717</c:v>
                </c:pt>
                <c:pt idx="1">
                  <c:v>0.3126151238085717</c:v>
                </c:pt>
                <c:pt idx="2">
                  <c:v>0.3126151238085717</c:v>
                </c:pt>
                <c:pt idx="3">
                  <c:v>0.3126151238085717</c:v>
                </c:pt>
                <c:pt idx="4">
                  <c:v>0.3126151238085717</c:v>
                </c:pt>
                <c:pt idx="5">
                  <c:v>0.3126151238085717</c:v>
                </c:pt>
                <c:pt idx="6">
                  <c:v>0.3126151238085717</c:v>
                </c:pt>
                <c:pt idx="7">
                  <c:v>0.3126151238085717</c:v>
                </c:pt>
                <c:pt idx="8">
                  <c:v>0.3126151238085717</c:v>
                </c:pt>
                <c:pt idx="9">
                  <c:v>0.3126151238085717</c:v>
                </c:pt>
                <c:pt idx="10">
                  <c:v>0.3126151238085717</c:v>
                </c:pt>
                <c:pt idx="11">
                  <c:v>0.3126151238085717</c:v>
                </c:pt>
                <c:pt idx="12">
                  <c:v>0.3126151238085717</c:v>
                </c:pt>
                <c:pt idx="13">
                  <c:v>0.3126151238085717</c:v>
                </c:pt>
                <c:pt idx="14">
                  <c:v>0.3126151238085717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869568"/>
        <c:axId val="208471168"/>
      </c:lineChart>
      <c:catAx>
        <c:axId val="42986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08471168"/>
        <c:crosses val="autoZero"/>
        <c:auto val="1"/>
        <c:lblAlgn val="ctr"/>
        <c:lblOffset val="100"/>
        <c:noMultiLvlLbl val="0"/>
      </c:catAx>
      <c:valAx>
        <c:axId val="2084711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429869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SLIDER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'05'!$L$6:$L$20</c:f>
              <c:numCache>
                <c:formatCode>_(* #,##0_);_(* \(#,##0\);_(* "-"_);_(@_)</c:formatCode>
                <c:ptCount val="15"/>
                <c:pt idx="2">
                  <c:v>2222</c:v>
                </c:pt>
                <c:pt idx="3">
                  <c:v>1915</c:v>
                </c:pt>
                <c:pt idx="4">
                  <c:v>2388</c:v>
                </c:pt>
                <c:pt idx="5">
                  <c:v>2730</c:v>
                </c:pt>
                <c:pt idx="6">
                  <c:v>1827</c:v>
                </c:pt>
                <c:pt idx="7">
                  <c:v>2854</c:v>
                </c:pt>
                <c:pt idx="8">
                  <c:v>281</c:v>
                </c:pt>
                <c:pt idx="9">
                  <c:v>1137</c:v>
                </c:pt>
                <c:pt idx="10">
                  <c:v>1142</c:v>
                </c:pt>
                <c:pt idx="11">
                  <c:v>1388</c:v>
                </c:pt>
                <c:pt idx="12">
                  <c:v>1873</c:v>
                </c:pt>
                <c:pt idx="13">
                  <c:v>2117</c:v>
                </c:pt>
                <c:pt idx="14">
                  <c:v>27408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'05'!$D$6:$D$20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SLIDER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'05'!$J$6:$J$20</c:f>
              <c:numCache>
                <c:formatCode>_(* #,##0_);_(* \(#,##0\);_(* "-"_);_(@_)</c:formatCode>
                <c:ptCount val="15"/>
                <c:pt idx="0">
                  <c:v>1030</c:v>
                </c:pt>
                <c:pt idx="1">
                  <c:v>1320</c:v>
                </c:pt>
                <c:pt idx="2">
                  <c:v>2230</c:v>
                </c:pt>
                <c:pt idx="3">
                  <c:v>1920</c:v>
                </c:pt>
                <c:pt idx="4">
                  <c:v>2390</c:v>
                </c:pt>
                <c:pt idx="5">
                  <c:v>2730</c:v>
                </c:pt>
                <c:pt idx="6">
                  <c:v>1830</c:v>
                </c:pt>
                <c:pt idx="7">
                  <c:v>2855</c:v>
                </c:pt>
                <c:pt idx="8">
                  <c:v>290</c:v>
                </c:pt>
                <c:pt idx="9">
                  <c:v>1140</c:v>
                </c:pt>
                <c:pt idx="10">
                  <c:v>1150</c:v>
                </c:pt>
                <c:pt idx="11">
                  <c:v>1390</c:v>
                </c:pt>
                <c:pt idx="12">
                  <c:v>1880</c:v>
                </c:pt>
                <c:pt idx="13">
                  <c:v>2120</c:v>
                </c:pt>
                <c:pt idx="14">
                  <c:v>27410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870592"/>
        <c:axId val="208473472"/>
      </c:lineChart>
      <c:catAx>
        <c:axId val="42987059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208473472"/>
        <c:crosses val="autoZero"/>
        <c:auto val="1"/>
        <c:lblAlgn val="ctr"/>
        <c:lblOffset val="100"/>
        <c:noMultiLvlLbl val="0"/>
      </c:catAx>
      <c:valAx>
        <c:axId val="2084734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429870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'05'!$AD$6:$AD$20</c:f>
              <c:strCache>
                <c:ptCount val="1"/>
                <c:pt idx="0">
                  <c:v>0% 0% 37% 42% 42% 33% 42% 33% 32% 25% 29% 33% 37% 42% 42%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'05'!$D$6:$D$20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SLIDER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0.37365470852017935</c:v>
                </c:pt>
                <c:pt idx="3">
                  <c:v>0.41558159722222227</c:v>
                </c:pt>
                <c:pt idx="4">
                  <c:v>0.41631799163179917</c:v>
                </c:pt>
                <c:pt idx="5">
                  <c:v>0.33333333333333331</c:v>
                </c:pt>
                <c:pt idx="6">
                  <c:v>0.41598360655737709</c:v>
                </c:pt>
                <c:pt idx="7">
                  <c:v>0.33321657910099239</c:v>
                </c:pt>
                <c:pt idx="8">
                  <c:v>0.32298850574712645</c:v>
                </c:pt>
                <c:pt idx="9">
                  <c:v>0.24934210526315789</c:v>
                </c:pt>
                <c:pt idx="10">
                  <c:v>0.28963768115942029</c:v>
                </c:pt>
                <c:pt idx="11">
                  <c:v>0.33285371702637889</c:v>
                </c:pt>
                <c:pt idx="12">
                  <c:v>0.37360372340425529</c:v>
                </c:pt>
                <c:pt idx="13">
                  <c:v>0.41607704402515727</c:v>
                </c:pt>
                <c:pt idx="14">
                  <c:v>0.41663626413717625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'05'!$D$6:$D$20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SLIDER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'05'!$AE$6:$AE$20</c:f>
              <c:numCache>
                <c:formatCode>0%</c:formatCode>
                <c:ptCount val="15"/>
                <c:pt idx="0">
                  <c:v>0.3126151238085717</c:v>
                </c:pt>
                <c:pt idx="1">
                  <c:v>0.3126151238085717</c:v>
                </c:pt>
                <c:pt idx="2">
                  <c:v>0.3126151238085717</c:v>
                </c:pt>
                <c:pt idx="3">
                  <c:v>0.3126151238085717</c:v>
                </c:pt>
                <c:pt idx="4">
                  <c:v>0.3126151238085717</c:v>
                </c:pt>
                <c:pt idx="5">
                  <c:v>0.3126151238085717</c:v>
                </c:pt>
                <c:pt idx="6">
                  <c:v>0.3126151238085717</c:v>
                </c:pt>
                <c:pt idx="7">
                  <c:v>0.3126151238085717</c:v>
                </c:pt>
                <c:pt idx="8">
                  <c:v>0.3126151238085717</c:v>
                </c:pt>
                <c:pt idx="9">
                  <c:v>0.3126151238085717</c:v>
                </c:pt>
                <c:pt idx="10">
                  <c:v>0.3126151238085717</c:v>
                </c:pt>
                <c:pt idx="11">
                  <c:v>0.3126151238085717</c:v>
                </c:pt>
                <c:pt idx="12">
                  <c:v>0.3126151238085717</c:v>
                </c:pt>
                <c:pt idx="13">
                  <c:v>0.3126151238085717</c:v>
                </c:pt>
                <c:pt idx="14">
                  <c:v>0.3126151238085717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481408"/>
        <c:axId val="208475200"/>
      </c:lineChart>
      <c:catAx>
        <c:axId val="4304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08475200"/>
        <c:crosses val="autoZero"/>
        <c:auto val="1"/>
        <c:lblAlgn val="ctr"/>
        <c:lblOffset val="100"/>
        <c:noMultiLvlLbl val="0"/>
      </c:catAx>
      <c:valAx>
        <c:axId val="2084752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430481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481920"/>
        <c:axId val="20847750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481920"/>
        <c:axId val="208477504"/>
      </c:lineChart>
      <c:catAx>
        <c:axId val="43048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77504"/>
        <c:crosses val="autoZero"/>
        <c:auto val="1"/>
        <c:lblAlgn val="ctr"/>
        <c:lblOffset val="100"/>
        <c:noMultiLvlLbl val="0"/>
      </c:catAx>
      <c:valAx>
        <c:axId val="208477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3048192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'06'!$D$6:$D$21</c:f>
              <c:strCache>
                <c:ptCount val="15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COVER</c:v>
                </c:pt>
                <c:pt idx="10">
                  <c:v>SAM</c:v>
                </c:pt>
                <c:pt idx="11">
                  <c:v>BASE</c:v>
                </c:pt>
                <c:pt idx="12">
                  <c:v>IC GUIDE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'06'!$L$6:$L$21</c:f>
              <c:numCache>
                <c:formatCode>_(* #,##0_);_(* \(#,##0\);_(* "-"_);_(@_)</c:formatCode>
                <c:ptCount val="16"/>
                <c:pt idx="2">
                  <c:v>5252</c:v>
                </c:pt>
                <c:pt idx="3">
                  <c:v>4846</c:v>
                </c:pt>
                <c:pt idx="4">
                  <c:v>554</c:v>
                </c:pt>
                <c:pt idx="5">
                  <c:v>10958</c:v>
                </c:pt>
                <c:pt idx="6">
                  <c:v>2695</c:v>
                </c:pt>
                <c:pt idx="8">
                  <c:v>374</c:v>
                </c:pt>
                <c:pt idx="9">
                  <c:v>2030</c:v>
                </c:pt>
                <c:pt idx="10">
                  <c:v>2754</c:v>
                </c:pt>
                <c:pt idx="11">
                  <c:v>2667</c:v>
                </c:pt>
                <c:pt idx="12">
                  <c:v>5172</c:v>
                </c:pt>
                <c:pt idx="13">
                  <c:v>2963</c:v>
                </c:pt>
                <c:pt idx="14">
                  <c:v>7502</c:v>
                </c:pt>
                <c:pt idx="15">
                  <c:v>58684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'06'!$D$6:$D$21</c:f>
              <c:strCache>
                <c:ptCount val="15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COVER</c:v>
                </c:pt>
                <c:pt idx="10">
                  <c:v>SAM</c:v>
                </c:pt>
                <c:pt idx="11">
                  <c:v>BASE</c:v>
                </c:pt>
                <c:pt idx="12">
                  <c:v>IC GUIDE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'06'!$J$6:$J$21</c:f>
              <c:numCache>
                <c:formatCode>_(* #,##0_);_(* \(#,##0\);_(* "-"_);_(@_)</c:formatCode>
                <c:ptCount val="16"/>
                <c:pt idx="0">
                  <c:v>1030</c:v>
                </c:pt>
                <c:pt idx="1">
                  <c:v>1320</c:v>
                </c:pt>
                <c:pt idx="2">
                  <c:v>5260</c:v>
                </c:pt>
                <c:pt idx="3">
                  <c:v>4850</c:v>
                </c:pt>
                <c:pt idx="4">
                  <c:v>554</c:v>
                </c:pt>
                <c:pt idx="5">
                  <c:v>10960</c:v>
                </c:pt>
                <c:pt idx="6">
                  <c:v>2700</c:v>
                </c:pt>
                <c:pt idx="7">
                  <c:v>2855</c:v>
                </c:pt>
                <c:pt idx="8">
                  <c:v>375</c:v>
                </c:pt>
                <c:pt idx="9">
                  <c:v>2030</c:v>
                </c:pt>
                <c:pt idx="10">
                  <c:v>2760</c:v>
                </c:pt>
                <c:pt idx="11">
                  <c:v>2670</c:v>
                </c:pt>
                <c:pt idx="12">
                  <c:v>5180</c:v>
                </c:pt>
                <c:pt idx="13">
                  <c:v>2970</c:v>
                </c:pt>
                <c:pt idx="14">
                  <c:v>7510</c:v>
                </c:pt>
                <c:pt idx="15">
                  <c:v>58690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042048"/>
        <c:axId val="368470272"/>
      </c:lineChart>
      <c:catAx>
        <c:axId val="43104204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68470272"/>
        <c:crosses val="autoZero"/>
        <c:auto val="1"/>
        <c:lblAlgn val="ctr"/>
        <c:lblOffset val="100"/>
        <c:noMultiLvlLbl val="0"/>
      </c:catAx>
      <c:valAx>
        <c:axId val="3684702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431042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'06'!$AD$6:$AD$21</c:f>
              <c:strCache>
                <c:ptCount val="1"/>
                <c:pt idx="0">
                  <c:v>0% 0% 100% 96% 17% 100% 71% 0% 37% 50% 71% 67% 100% 79% 92%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'06'!$D$6:$D$21</c:f>
              <c:strCache>
                <c:ptCount val="15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COVER</c:v>
                </c:pt>
                <c:pt idx="10">
                  <c:v>SAM</c:v>
                </c:pt>
                <c:pt idx="11">
                  <c:v>BASE</c:v>
                </c:pt>
                <c:pt idx="12">
                  <c:v>IC GUIDE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'06'!$AD$6:$AD$21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0.99847908745247149</c:v>
                </c:pt>
                <c:pt idx="3">
                  <c:v>0.95754295532646061</c:v>
                </c:pt>
                <c:pt idx="4">
                  <c:v>0.16666666666666666</c:v>
                </c:pt>
                <c:pt idx="5">
                  <c:v>0.99981751824817522</c:v>
                </c:pt>
                <c:pt idx="6">
                  <c:v>0.7070216049382716</c:v>
                </c:pt>
                <c:pt idx="7">
                  <c:v>0</c:v>
                </c:pt>
                <c:pt idx="8">
                  <c:v>0.374</c:v>
                </c:pt>
                <c:pt idx="9">
                  <c:v>0.5</c:v>
                </c:pt>
                <c:pt idx="10">
                  <c:v>0.70679347826086958</c:v>
                </c:pt>
                <c:pt idx="11">
                  <c:v>0.66591760299625458</c:v>
                </c:pt>
                <c:pt idx="12">
                  <c:v>0.9984555984555985</c:v>
                </c:pt>
                <c:pt idx="13">
                  <c:v>0.78980078563411893</c:v>
                </c:pt>
                <c:pt idx="14">
                  <c:v>0.91569019085663561</c:v>
                </c:pt>
                <c:pt idx="15">
                  <c:v>0.99989776793320839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'06'!$D$6:$D$21</c:f>
              <c:strCache>
                <c:ptCount val="15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COVER</c:v>
                </c:pt>
                <c:pt idx="10">
                  <c:v>SAM</c:v>
                </c:pt>
                <c:pt idx="11">
                  <c:v>BASE</c:v>
                </c:pt>
                <c:pt idx="12">
                  <c:v>IC GUIDE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'06'!$AE$6:$AE$21</c:f>
              <c:numCache>
                <c:formatCode>0%</c:formatCode>
                <c:ptCount val="16"/>
                <c:pt idx="0">
                  <c:v>0.65200555045124864</c:v>
                </c:pt>
                <c:pt idx="1">
                  <c:v>0.65200555045124864</c:v>
                </c:pt>
                <c:pt idx="2">
                  <c:v>0.65200555045124864</c:v>
                </c:pt>
                <c:pt idx="3">
                  <c:v>0.65200555045124864</c:v>
                </c:pt>
                <c:pt idx="4">
                  <c:v>0.65200555045124864</c:v>
                </c:pt>
                <c:pt idx="5">
                  <c:v>0.65200555045124864</c:v>
                </c:pt>
                <c:pt idx="6">
                  <c:v>0.65200555045124864</c:v>
                </c:pt>
                <c:pt idx="7">
                  <c:v>0.65200555045124864</c:v>
                </c:pt>
                <c:pt idx="8">
                  <c:v>0.65200555045124864</c:v>
                </c:pt>
                <c:pt idx="9">
                  <c:v>0.65200555045124864</c:v>
                </c:pt>
                <c:pt idx="10">
                  <c:v>0.65200555045124864</c:v>
                </c:pt>
                <c:pt idx="11">
                  <c:v>0.65200555045124864</c:v>
                </c:pt>
                <c:pt idx="12">
                  <c:v>0.65200555045124864</c:v>
                </c:pt>
                <c:pt idx="13">
                  <c:v>0.65200555045124864</c:v>
                </c:pt>
                <c:pt idx="14">
                  <c:v>0.65200555045124864</c:v>
                </c:pt>
                <c:pt idx="15">
                  <c:v>0.65200555045124864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044096"/>
        <c:axId val="368472000"/>
      </c:lineChart>
      <c:catAx>
        <c:axId val="4310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68472000"/>
        <c:crosses val="autoZero"/>
        <c:auto val="1"/>
        <c:lblAlgn val="ctr"/>
        <c:lblOffset val="100"/>
        <c:noMultiLvlLbl val="0"/>
      </c:catAx>
      <c:valAx>
        <c:axId val="3684720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431044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'01'!$D$6:$D$21</c:f>
              <c:strCache>
                <c:ptCount val="15"/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TOP</c:v>
                </c:pt>
                <c:pt idx="6">
                  <c:v>BOTTOM</c:v>
                </c:pt>
                <c:pt idx="7">
                  <c:v>BASE</c:v>
                </c:pt>
                <c:pt idx="8">
                  <c:v>ACTUATOR</c:v>
                </c:pt>
                <c:pt idx="9">
                  <c:v>BASE</c:v>
                </c:pt>
                <c:pt idx="10">
                  <c:v>BOTTOM</c:v>
                </c:pt>
                <c:pt idx="11">
                  <c:v>LATCH</c:v>
                </c:pt>
                <c:pt idx="12">
                  <c:v>FLOAT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'01'!$L$6:$L$21</c:f>
              <c:numCache>
                <c:formatCode>_(* #,##0_);_(* \(#,##0\);_(* "-"_);_(@_)</c:formatCode>
                <c:ptCount val="16"/>
                <c:pt idx="1">
                  <c:v>1319</c:v>
                </c:pt>
                <c:pt idx="2">
                  <c:v>3955</c:v>
                </c:pt>
                <c:pt idx="3">
                  <c:v>4690</c:v>
                </c:pt>
                <c:pt idx="4">
                  <c:v>3623</c:v>
                </c:pt>
                <c:pt idx="5">
                  <c:v>326</c:v>
                </c:pt>
                <c:pt idx="6">
                  <c:v>2872</c:v>
                </c:pt>
                <c:pt idx="7">
                  <c:v>4201</c:v>
                </c:pt>
                <c:pt idx="9">
                  <c:v>240</c:v>
                </c:pt>
                <c:pt idx="11">
                  <c:v>6710</c:v>
                </c:pt>
                <c:pt idx="12">
                  <c:v>2150</c:v>
                </c:pt>
                <c:pt idx="13">
                  <c:v>1609</c:v>
                </c:pt>
                <c:pt idx="14">
                  <c:v>5390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'01'!$D$6:$D$21</c:f>
              <c:strCache>
                <c:ptCount val="15"/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TOP</c:v>
                </c:pt>
                <c:pt idx="6">
                  <c:v>BOTTOM</c:v>
                </c:pt>
                <c:pt idx="7">
                  <c:v>BASE</c:v>
                </c:pt>
                <c:pt idx="8">
                  <c:v>ACTUATOR</c:v>
                </c:pt>
                <c:pt idx="9">
                  <c:v>BASE</c:v>
                </c:pt>
                <c:pt idx="10">
                  <c:v>BOTTOM</c:v>
                </c:pt>
                <c:pt idx="11">
                  <c:v>LATCH</c:v>
                </c:pt>
                <c:pt idx="12">
                  <c:v>FLOAT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'01'!$J$6:$J$21</c:f>
              <c:numCache>
                <c:formatCode>_(* #,##0_);_(* \(#,##0\);_(* "-"_);_(@_)</c:formatCode>
                <c:ptCount val="16"/>
                <c:pt idx="1">
                  <c:v>1320</c:v>
                </c:pt>
                <c:pt idx="2">
                  <c:v>3960</c:v>
                </c:pt>
                <c:pt idx="3">
                  <c:v>4690</c:v>
                </c:pt>
                <c:pt idx="4">
                  <c:v>3630</c:v>
                </c:pt>
                <c:pt idx="5">
                  <c:v>330</c:v>
                </c:pt>
                <c:pt idx="6">
                  <c:v>2880</c:v>
                </c:pt>
                <c:pt idx="7">
                  <c:v>4210</c:v>
                </c:pt>
                <c:pt idx="8">
                  <c:v>1750</c:v>
                </c:pt>
                <c:pt idx="9">
                  <c:v>240</c:v>
                </c:pt>
                <c:pt idx="10">
                  <c:v>15880</c:v>
                </c:pt>
                <c:pt idx="11">
                  <c:v>6710</c:v>
                </c:pt>
                <c:pt idx="12">
                  <c:v>2150</c:v>
                </c:pt>
                <c:pt idx="13">
                  <c:v>1610</c:v>
                </c:pt>
                <c:pt idx="14">
                  <c:v>5390</c:v>
                </c:pt>
                <c:pt idx="15">
                  <c:v>32870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574528"/>
        <c:axId val="633452736"/>
      </c:lineChart>
      <c:catAx>
        <c:axId val="25557452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633452736"/>
        <c:crosses val="autoZero"/>
        <c:auto val="1"/>
        <c:lblAlgn val="ctr"/>
        <c:lblOffset val="100"/>
        <c:noMultiLvlLbl val="0"/>
      </c:catAx>
      <c:valAx>
        <c:axId val="63345273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55574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'06'!$D$6:$D$21</c:f>
              <c:strCache>
                <c:ptCount val="15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COVER</c:v>
                </c:pt>
                <c:pt idx="10">
                  <c:v>SAM</c:v>
                </c:pt>
                <c:pt idx="11">
                  <c:v>BASE</c:v>
                </c:pt>
                <c:pt idx="12">
                  <c:v>IC GUIDE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'06'!$L$6:$L$21</c:f>
              <c:numCache>
                <c:formatCode>_(* #,##0_);_(* \(#,##0\);_(* "-"_);_(@_)</c:formatCode>
                <c:ptCount val="16"/>
                <c:pt idx="2">
                  <c:v>5252</c:v>
                </c:pt>
                <c:pt idx="3">
                  <c:v>4846</c:v>
                </c:pt>
                <c:pt idx="4">
                  <c:v>554</c:v>
                </c:pt>
                <c:pt idx="5">
                  <c:v>10958</c:v>
                </c:pt>
                <c:pt idx="6">
                  <c:v>2695</c:v>
                </c:pt>
                <c:pt idx="8">
                  <c:v>374</c:v>
                </c:pt>
                <c:pt idx="9">
                  <c:v>2030</c:v>
                </c:pt>
                <c:pt idx="10">
                  <c:v>2754</c:v>
                </c:pt>
                <c:pt idx="11">
                  <c:v>2667</c:v>
                </c:pt>
                <c:pt idx="12">
                  <c:v>5172</c:v>
                </c:pt>
                <c:pt idx="13">
                  <c:v>2963</c:v>
                </c:pt>
                <c:pt idx="14">
                  <c:v>7502</c:v>
                </c:pt>
                <c:pt idx="15">
                  <c:v>58684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'06'!$D$6:$D$21</c:f>
              <c:strCache>
                <c:ptCount val="15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COVER</c:v>
                </c:pt>
                <c:pt idx="10">
                  <c:v>SAM</c:v>
                </c:pt>
                <c:pt idx="11">
                  <c:v>BASE</c:v>
                </c:pt>
                <c:pt idx="12">
                  <c:v>IC GUIDE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'06'!$J$6:$J$21</c:f>
              <c:numCache>
                <c:formatCode>_(* #,##0_);_(* \(#,##0\);_(* "-"_);_(@_)</c:formatCode>
                <c:ptCount val="16"/>
                <c:pt idx="0">
                  <c:v>1030</c:v>
                </c:pt>
                <c:pt idx="1">
                  <c:v>1320</c:v>
                </c:pt>
                <c:pt idx="2">
                  <c:v>5260</c:v>
                </c:pt>
                <c:pt idx="3">
                  <c:v>4850</c:v>
                </c:pt>
                <c:pt idx="4">
                  <c:v>554</c:v>
                </c:pt>
                <c:pt idx="5">
                  <c:v>10960</c:v>
                </c:pt>
                <c:pt idx="6">
                  <c:v>2700</c:v>
                </c:pt>
                <c:pt idx="7">
                  <c:v>2855</c:v>
                </c:pt>
                <c:pt idx="8">
                  <c:v>375</c:v>
                </c:pt>
                <c:pt idx="9">
                  <c:v>2030</c:v>
                </c:pt>
                <c:pt idx="10">
                  <c:v>2760</c:v>
                </c:pt>
                <c:pt idx="11">
                  <c:v>2670</c:v>
                </c:pt>
                <c:pt idx="12">
                  <c:v>5180</c:v>
                </c:pt>
                <c:pt idx="13">
                  <c:v>2970</c:v>
                </c:pt>
                <c:pt idx="14">
                  <c:v>7510</c:v>
                </c:pt>
                <c:pt idx="15">
                  <c:v>58690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044608"/>
        <c:axId val="368474304"/>
      </c:lineChart>
      <c:catAx>
        <c:axId val="43104460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68474304"/>
        <c:crosses val="autoZero"/>
        <c:auto val="1"/>
        <c:lblAlgn val="ctr"/>
        <c:lblOffset val="100"/>
        <c:noMultiLvlLbl val="0"/>
      </c:catAx>
      <c:valAx>
        <c:axId val="36847430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431044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'06'!$AD$6:$AD$21</c:f>
              <c:strCache>
                <c:ptCount val="1"/>
                <c:pt idx="0">
                  <c:v>0% 0% 100% 96% 17% 100% 71% 0% 37% 50% 71% 67% 100% 79% 92%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'06'!$D$6:$D$21</c:f>
              <c:strCache>
                <c:ptCount val="15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COVER</c:v>
                </c:pt>
                <c:pt idx="10">
                  <c:v>SAM</c:v>
                </c:pt>
                <c:pt idx="11">
                  <c:v>BASE</c:v>
                </c:pt>
                <c:pt idx="12">
                  <c:v>IC GUIDE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'06'!$AD$6:$AD$21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0.99847908745247149</c:v>
                </c:pt>
                <c:pt idx="3">
                  <c:v>0.95754295532646061</c:v>
                </c:pt>
                <c:pt idx="4">
                  <c:v>0.16666666666666666</c:v>
                </c:pt>
                <c:pt idx="5">
                  <c:v>0.99981751824817522</c:v>
                </c:pt>
                <c:pt idx="6">
                  <c:v>0.7070216049382716</c:v>
                </c:pt>
                <c:pt idx="7">
                  <c:v>0</c:v>
                </c:pt>
                <c:pt idx="8">
                  <c:v>0.374</c:v>
                </c:pt>
                <c:pt idx="9">
                  <c:v>0.5</c:v>
                </c:pt>
                <c:pt idx="10">
                  <c:v>0.70679347826086958</c:v>
                </c:pt>
                <c:pt idx="11">
                  <c:v>0.66591760299625458</c:v>
                </c:pt>
                <c:pt idx="12">
                  <c:v>0.9984555984555985</c:v>
                </c:pt>
                <c:pt idx="13">
                  <c:v>0.78980078563411893</c:v>
                </c:pt>
                <c:pt idx="14">
                  <c:v>0.91569019085663561</c:v>
                </c:pt>
                <c:pt idx="15">
                  <c:v>0.99989776793320839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'06'!$D$6:$D$21</c:f>
              <c:strCache>
                <c:ptCount val="15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COVER</c:v>
                </c:pt>
                <c:pt idx="10">
                  <c:v>SAM</c:v>
                </c:pt>
                <c:pt idx="11">
                  <c:v>BASE</c:v>
                </c:pt>
                <c:pt idx="12">
                  <c:v>IC GUIDE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'06'!$AE$6:$AE$21</c:f>
              <c:numCache>
                <c:formatCode>0%</c:formatCode>
                <c:ptCount val="16"/>
                <c:pt idx="0">
                  <c:v>0.65200555045124864</c:v>
                </c:pt>
                <c:pt idx="1">
                  <c:v>0.65200555045124864</c:v>
                </c:pt>
                <c:pt idx="2">
                  <c:v>0.65200555045124864</c:v>
                </c:pt>
                <c:pt idx="3">
                  <c:v>0.65200555045124864</c:v>
                </c:pt>
                <c:pt idx="4">
                  <c:v>0.65200555045124864</c:v>
                </c:pt>
                <c:pt idx="5">
                  <c:v>0.65200555045124864</c:v>
                </c:pt>
                <c:pt idx="6">
                  <c:v>0.65200555045124864</c:v>
                </c:pt>
                <c:pt idx="7">
                  <c:v>0.65200555045124864</c:v>
                </c:pt>
                <c:pt idx="8">
                  <c:v>0.65200555045124864</c:v>
                </c:pt>
                <c:pt idx="9">
                  <c:v>0.65200555045124864</c:v>
                </c:pt>
                <c:pt idx="10">
                  <c:v>0.65200555045124864</c:v>
                </c:pt>
                <c:pt idx="11">
                  <c:v>0.65200555045124864</c:v>
                </c:pt>
                <c:pt idx="12">
                  <c:v>0.65200555045124864</c:v>
                </c:pt>
                <c:pt idx="13">
                  <c:v>0.65200555045124864</c:v>
                </c:pt>
                <c:pt idx="14">
                  <c:v>0.65200555045124864</c:v>
                </c:pt>
                <c:pt idx="15">
                  <c:v>0.65200555045124864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046144"/>
        <c:axId val="488374272"/>
      </c:lineChart>
      <c:catAx>
        <c:axId val="4310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8374272"/>
        <c:crosses val="autoZero"/>
        <c:auto val="1"/>
        <c:lblAlgn val="ctr"/>
        <c:lblOffset val="100"/>
        <c:noMultiLvlLbl val="0"/>
      </c:catAx>
      <c:valAx>
        <c:axId val="4883742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431046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865856"/>
        <c:axId val="48837657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865856"/>
        <c:axId val="488376576"/>
      </c:lineChart>
      <c:catAx>
        <c:axId val="43186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488376576"/>
        <c:crosses val="autoZero"/>
        <c:auto val="1"/>
        <c:lblAlgn val="ctr"/>
        <c:lblOffset val="100"/>
        <c:noMultiLvlLbl val="0"/>
      </c:catAx>
      <c:valAx>
        <c:axId val="488376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3186585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BOTTOM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9">
                  <c:v>SAM</c:v>
                </c:pt>
                <c:pt idx="10">
                  <c:v>BASE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'07'!$L$6:$L$20</c:f>
              <c:numCache>
                <c:formatCode>_(* #,##0_);_(* \(#,##0\);_(* "-"_);_(@_)</c:formatCode>
                <c:ptCount val="15"/>
                <c:pt idx="1">
                  <c:v>2330</c:v>
                </c:pt>
                <c:pt idx="2">
                  <c:v>4546</c:v>
                </c:pt>
                <c:pt idx="3">
                  <c:v>2903</c:v>
                </c:pt>
                <c:pt idx="4">
                  <c:v>5420</c:v>
                </c:pt>
                <c:pt idx="5">
                  <c:v>650</c:v>
                </c:pt>
                <c:pt idx="6">
                  <c:v>1564</c:v>
                </c:pt>
                <c:pt idx="7">
                  <c:v>816</c:v>
                </c:pt>
                <c:pt idx="8">
                  <c:v>3617</c:v>
                </c:pt>
                <c:pt idx="9">
                  <c:v>4879</c:v>
                </c:pt>
                <c:pt idx="10">
                  <c:v>5460</c:v>
                </c:pt>
                <c:pt idx="11">
                  <c:v>5128</c:v>
                </c:pt>
                <c:pt idx="12">
                  <c:v>4922</c:v>
                </c:pt>
                <c:pt idx="13">
                  <c:v>7794</c:v>
                </c:pt>
                <c:pt idx="14">
                  <c:v>66568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'07'!$D$6:$D$20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BOTTOM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9">
                  <c:v>SAM</c:v>
                </c:pt>
                <c:pt idx="10">
                  <c:v>BASE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'07'!$J$6:$J$20</c:f>
              <c:numCache>
                <c:formatCode>_(* #,##0_);_(* \(#,##0\);_(* "-"_);_(@_)</c:formatCode>
                <c:ptCount val="15"/>
                <c:pt idx="0">
                  <c:v>1030</c:v>
                </c:pt>
                <c:pt idx="1">
                  <c:v>2330</c:v>
                </c:pt>
                <c:pt idx="2">
                  <c:v>4550</c:v>
                </c:pt>
                <c:pt idx="3">
                  <c:v>2910</c:v>
                </c:pt>
                <c:pt idx="4">
                  <c:v>5420</c:v>
                </c:pt>
                <c:pt idx="5">
                  <c:v>650</c:v>
                </c:pt>
                <c:pt idx="6">
                  <c:v>1570</c:v>
                </c:pt>
                <c:pt idx="7">
                  <c:v>820</c:v>
                </c:pt>
                <c:pt idx="8">
                  <c:v>3620</c:v>
                </c:pt>
                <c:pt idx="9">
                  <c:v>4880</c:v>
                </c:pt>
                <c:pt idx="10">
                  <c:v>5460</c:v>
                </c:pt>
                <c:pt idx="11">
                  <c:v>5130</c:v>
                </c:pt>
                <c:pt idx="12">
                  <c:v>4930</c:v>
                </c:pt>
                <c:pt idx="13">
                  <c:v>7800</c:v>
                </c:pt>
                <c:pt idx="14">
                  <c:v>66570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24928"/>
        <c:axId val="488380608"/>
      </c:lineChart>
      <c:catAx>
        <c:axId val="47852492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8380608"/>
        <c:crosses val="autoZero"/>
        <c:auto val="1"/>
        <c:lblAlgn val="ctr"/>
        <c:lblOffset val="100"/>
        <c:noMultiLvlLbl val="0"/>
      </c:catAx>
      <c:valAx>
        <c:axId val="48838060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478524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'07'!$AD$6:$AD$20</c:f>
              <c:strCache>
                <c:ptCount val="1"/>
                <c:pt idx="0">
                  <c:v>0% 50% 92% 75% 100% 21% 33% 25% 79% 100% 100% 100% 100% 92%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'07'!$D$6:$D$20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BOTTOM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9">
                  <c:v>SAM</c:v>
                </c:pt>
                <c:pt idx="10">
                  <c:v>BASE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'07'!$AD$6:$AD$20</c:f>
              <c:numCache>
                <c:formatCode>0%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0.91586080586080576</c:v>
                </c:pt>
                <c:pt idx="3">
                  <c:v>0.7481958762886598</c:v>
                </c:pt>
                <c:pt idx="4">
                  <c:v>1</c:v>
                </c:pt>
                <c:pt idx="5">
                  <c:v>0.20833333333333334</c:v>
                </c:pt>
                <c:pt idx="6">
                  <c:v>0.33205944798301484</c:v>
                </c:pt>
                <c:pt idx="7">
                  <c:v>0.24878048780487805</c:v>
                </c:pt>
                <c:pt idx="8">
                  <c:v>0.79101058931860035</c:v>
                </c:pt>
                <c:pt idx="9">
                  <c:v>0.99979508196721312</c:v>
                </c:pt>
                <c:pt idx="10">
                  <c:v>1</c:v>
                </c:pt>
                <c:pt idx="11">
                  <c:v>0.99961013645224173</c:v>
                </c:pt>
                <c:pt idx="12">
                  <c:v>0.99837728194726161</c:v>
                </c:pt>
                <c:pt idx="13">
                  <c:v>0.91596153846153849</c:v>
                </c:pt>
                <c:pt idx="14">
                  <c:v>0.9999699564368334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'07'!$D$6:$D$20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BOTTOM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9">
                  <c:v>SAM</c:v>
                </c:pt>
                <c:pt idx="10">
                  <c:v>BASE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'07'!$AE$6:$AE$20</c:f>
              <c:numCache>
                <c:formatCode>0%</c:formatCode>
                <c:ptCount val="15"/>
                <c:pt idx="0">
                  <c:v>0.71053030239029213</c:v>
                </c:pt>
                <c:pt idx="1">
                  <c:v>0.71053030239029213</c:v>
                </c:pt>
                <c:pt idx="2">
                  <c:v>0.71053030239029213</c:v>
                </c:pt>
                <c:pt idx="3">
                  <c:v>0.71053030239029213</c:v>
                </c:pt>
                <c:pt idx="4">
                  <c:v>0.71053030239029213</c:v>
                </c:pt>
                <c:pt idx="5">
                  <c:v>0.71053030239029213</c:v>
                </c:pt>
                <c:pt idx="6">
                  <c:v>0.71053030239029213</c:v>
                </c:pt>
                <c:pt idx="7">
                  <c:v>0.71053030239029213</c:v>
                </c:pt>
                <c:pt idx="8">
                  <c:v>0.71053030239029213</c:v>
                </c:pt>
                <c:pt idx="9">
                  <c:v>0.71053030239029213</c:v>
                </c:pt>
                <c:pt idx="10">
                  <c:v>0.71053030239029213</c:v>
                </c:pt>
                <c:pt idx="11">
                  <c:v>0.71053030239029213</c:v>
                </c:pt>
                <c:pt idx="12">
                  <c:v>0.71053030239029213</c:v>
                </c:pt>
                <c:pt idx="13">
                  <c:v>0.71053030239029213</c:v>
                </c:pt>
                <c:pt idx="14">
                  <c:v>0.71053030239029213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26976"/>
        <c:axId val="48545792"/>
      </c:lineChart>
      <c:catAx>
        <c:axId val="47852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545792"/>
        <c:crosses val="autoZero"/>
        <c:auto val="1"/>
        <c:lblAlgn val="ctr"/>
        <c:lblOffset val="100"/>
        <c:noMultiLvlLbl val="0"/>
      </c:catAx>
      <c:valAx>
        <c:axId val="4854579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47852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BOTTOM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9">
                  <c:v>SAM</c:v>
                </c:pt>
                <c:pt idx="10">
                  <c:v>BASE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'07'!$L$6:$L$20</c:f>
              <c:numCache>
                <c:formatCode>_(* #,##0_);_(* \(#,##0\);_(* "-"_);_(@_)</c:formatCode>
                <c:ptCount val="15"/>
                <c:pt idx="1">
                  <c:v>2330</c:v>
                </c:pt>
                <c:pt idx="2">
                  <c:v>4546</c:v>
                </c:pt>
                <c:pt idx="3">
                  <c:v>2903</c:v>
                </c:pt>
                <c:pt idx="4">
                  <c:v>5420</c:v>
                </c:pt>
                <c:pt idx="5">
                  <c:v>650</c:v>
                </c:pt>
                <c:pt idx="6">
                  <c:v>1564</c:v>
                </c:pt>
                <c:pt idx="7">
                  <c:v>816</c:v>
                </c:pt>
                <c:pt idx="8">
                  <c:v>3617</c:v>
                </c:pt>
                <c:pt idx="9">
                  <c:v>4879</c:v>
                </c:pt>
                <c:pt idx="10">
                  <c:v>5460</c:v>
                </c:pt>
                <c:pt idx="11">
                  <c:v>5128</c:v>
                </c:pt>
                <c:pt idx="12">
                  <c:v>4922</c:v>
                </c:pt>
                <c:pt idx="13">
                  <c:v>7794</c:v>
                </c:pt>
                <c:pt idx="14">
                  <c:v>66568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'07'!$D$6:$D$20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BOTTOM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9">
                  <c:v>SAM</c:v>
                </c:pt>
                <c:pt idx="10">
                  <c:v>BASE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'07'!$J$6:$J$20</c:f>
              <c:numCache>
                <c:formatCode>_(* #,##0_);_(* \(#,##0\);_(* "-"_);_(@_)</c:formatCode>
                <c:ptCount val="15"/>
                <c:pt idx="0">
                  <c:v>1030</c:v>
                </c:pt>
                <c:pt idx="1">
                  <c:v>2330</c:v>
                </c:pt>
                <c:pt idx="2">
                  <c:v>4550</c:v>
                </c:pt>
                <c:pt idx="3">
                  <c:v>2910</c:v>
                </c:pt>
                <c:pt idx="4">
                  <c:v>5420</c:v>
                </c:pt>
                <c:pt idx="5">
                  <c:v>650</c:v>
                </c:pt>
                <c:pt idx="6">
                  <c:v>1570</c:v>
                </c:pt>
                <c:pt idx="7">
                  <c:v>820</c:v>
                </c:pt>
                <c:pt idx="8">
                  <c:v>3620</c:v>
                </c:pt>
                <c:pt idx="9">
                  <c:v>4880</c:v>
                </c:pt>
                <c:pt idx="10">
                  <c:v>5460</c:v>
                </c:pt>
                <c:pt idx="11">
                  <c:v>5130</c:v>
                </c:pt>
                <c:pt idx="12">
                  <c:v>4930</c:v>
                </c:pt>
                <c:pt idx="13">
                  <c:v>7800</c:v>
                </c:pt>
                <c:pt idx="14">
                  <c:v>66570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99360"/>
        <c:axId val="48548096"/>
      </c:lineChart>
      <c:catAx>
        <c:axId val="48039936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548096"/>
        <c:crosses val="autoZero"/>
        <c:auto val="1"/>
        <c:lblAlgn val="ctr"/>
        <c:lblOffset val="100"/>
        <c:noMultiLvlLbl val="0"/>
      </c:catAx>
      <c:valAx>
        <c:axId val="4854809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480399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'07'!$AD$6:$AD$20</c:f>
              <c:strCache>
                <c:ptCount val="1"/>
                <c:pt idx="0">
                  <c:v>0% 50% 92% 75% 100% 21% 33% 25% 79% 100% 100% 100% 100% 92%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'07'!$D$6:$D$20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BOTTOM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9">
                  <c:v>SAM</c:v>
                </c:pt>
                <c:pt idx="10">
                  <c:v>BASE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'07'!$AD$6:$AD$20</c:f>
              <c:numCache>
                <c:formatCode>0%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0.91586080586080576</c:v>
                </c:pt>
                <c:pt idx="3">
                  <c:v>0.7481958762886598</c:v>
                </c:pt>
                <c:pt idx="4">
                  <c:v>1</c:v>
                </c:pt>
                <c:pt idx="5">
                  <c:v>0.20833333333333334</c:v>
                </c:pt>
                <c:pt idx="6">
                  <c:v>0.33205944798301484</c:v>
                </c:pt>
                <c:pt idx="7">
                  <c:v>0.24878048780487805</c:v>
                </c:pt>
                <c:pt idx="8">
                  <c:v>0.79101058931860035</c:v>
                </c:pt>
                <c:pt idx="9">
                  <c:v>0.99979508196721312</c:v>
                </c:pt>
                <c:pt idx="10">
                  <c:v>1</c:v>
                </c:pt>
                <c:pt idx="11">
                  <c:v>0.99961013645224173</c:v>
                </c:pt>
                <c:pt idx="12">
                  <c:v>0.99837728194726161</c:v>
                </c:pt>
                <c:pt idx="13">
                  <c:v>0.91596153846153849</c:v>
                </c:pt>
                <c:pt idx="14">
                  <c:v>0.9999699564368334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'07'!$D$6:$D$20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BOTTOM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9">
                  <c:v>SAM</c:v>
                </c:pt>
                <c:pt idx="10">
                  <c:v>BASE</c:v>
                </c:pt>
                <c:pt idx="11">
                  <c:v>IC GUIDE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'07'!$AE$6:$AE$20</c:f>
              <c:numCache>
                <c:formatCode>0%</c:formatCode>
                <c:ptCount val="15"/>
                <c:pt idx="0">
                  <c:v>0.71053030239029213</c:v>
                </c:pt>
                <c:pt idx="1">
                  <c:v>0.71053030239029213</c:v>
                </c:pt>
                <c:pt idx="2">
                  <c:v>0.71053030239029213</c:v>
                </c:pt>
                <c:pt idx="3">
                  <c:v>0.71053030239029213</c:v>
                </c:pt>
                <c:pt idx="4">
                  <c:v>0.71053030239029213</c:v>
                </c:pt>
                <c:pt idx="5">
                  <c:v>0.71053030239029213</c:v>
                </c:pt>
                <c:pt idx="6">
                  <c:v>0.71053030239029213</c:v>
                </c:pt>
                <c:pt idx="7">
                  <c:v>0.71053030239029213</c:v>
                </c:pt>
                <c:pt idx="8">
                  <c:v>0.71053030239029213</c:v>
                </c:pt>
                <c:pt idx="9">
                  <c:v>0.71053030239029213</c:v>
                </c:pt>
                <c:pt idx="10">
                  <c:v>0.71053030239029213</c:v>
                </c:pt>
                <c:pt idx="11">
                  <c:v>0.71053030239029213</c:v>
                </c:pt>
                <c:pt idx="12">
                  <c:v>0.71053030239029213</c:v>
                </c:pt>
                <c:pt idx="13">
                  <c:v>0.71053030239029213</c:v>
                </c:pt>
                <c:pt idx="14">
                  <c:v>0.71053030239029213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400384"/>
        <c:axId val="48549824"/>
      </c:lineChart>
      <c:catAx>
        <c:axId val="4804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549824"/>
        <c:crosses val="autoZero"/>
        <c:auto val="1"/>
        <c:lblAlgn val="ctr"/>
        <c:lblOffset val="100"/>
        <c:noMultiLvlLbl val="0"/>
      </c:catAx>
      <c:valAx>
        <c:axId val="485498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48040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526464"/>
        <c:axId val="4855212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26464"/>
        <c:axId val="48552128"/>
      </c:lineChart>
      <c:catAx>
        <c:axId val="47852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8552128"/>
        <c:crosses val="autoZero"/>
        <c:auto val="1"/>
        <c:lblAlgn val="ctr"/>
        <c:lblOffset val="100"/>
        <c:noMultiLvlLbl val="0"/>
      </c:catAx>
      <c:valAx>
        <c:axId val="48552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7852646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'08'!$D$6:$D$21</c:f>
              <c:strCache>
                <c:ptCount val="15"/>
                <c:pt idx="0">
                  <c:v>COVER</c:v>
                </c:pt>
                <c:pt idx="1">
                  <c:v>LID/BASE</c:v>
                </c:pt>
                <c:pt idx="2">
                  <c:v>STOPPER</c:v>
                </c:pt>
                <c:pt idx="3">
                  <c:v>SLIDER</c:v>
                </c:pt>
                <c:pt idx="4">
                  <c:v>BOTTOM</c:v>
                </c:pt>
                <c:pt idx="5">
                  <c:v>ADAPTER</c:v>
                </c:pt>
                <c:pt idx="6">
                  <c:v>BASE</c:v>
                </c:pt>
                <c:pt idx="7">
                  <c:v>STOPPER</c:v>
                </c:pt>
                <c:pt idx="8">
                  <c:v>LEAD GUIDE</c:v>
                </c:pt>
                <c:pt idx="9">
                  <c:v>COVER</c:v>
                </c:pt>
                <c:pt idx="10">
                  <c:v>SAM</c:v>
                </c:pt>
                <c:pt idx="11">
                  <c:v>BASE</c:v>
                </c:pt>
                <c:pt idx="12">
                  <c:v>IC GUIDE</c:v>
                </c:pt>
                <c:pt idx="13">
                  <c:v>SLIDER</c:v>
                </c:pt>
                <c:pt idx="14">
                  <c:v>STOPPER</c:v>
                </c:pt>
              </c:strCache>
            </c:strRef>
          </c:cat>
          <c:val>
            <c:numRef>
              <c:f>'08'!$L$6:$L$21</c:f>
              <c:numCache>
                <c:formatCode>_(* #,##0_);_(* \(#,##0\);_(* "-"_);_(@_)</c:formatCode>
                <c:ptCount val="16"/>
                <c:pt idx="1">
                  <c:v>2010</c:v>
                </c:pt>
                <c:pt idx="2">
                  <c:v>5439</c:v>
                </c:pt>
                <c:pt idx="3">
                  <c:v>5286</c:v>
                </c:pt>
                <c:pt idx="4">
                  <c:v>6026</c:v>
                </c:pt>
                <c:pt idx="6">
                  <c:v>2934</c:v>
                </c:pt>
                <c:pt idx="7">
                  <c:v>690</c:v>
                </c:pt>
                <c:pt idx="8">
                  <c:v>901</c:v>
                </c:pt>
                <c:pt idx="9">
                  <c:v>4261</c:v>
                </c:pt>
                <c:pt idx="10">
                  <c:v>4902</c:v>
                </c:pt>
                <c:pt idx="11">
                  <c:v>3830</c:v>
                </c:pt>
                <c:pt idx="12">
                  <c:v>4168</c:v>
                </c:pt>
                <c:pt idx="13">
                  <c:v>5176</c:v>
                </c:pt>
                <c:pt idx="14">
                  <c:v>9482</c:v>
                </c:pt>
                <c:pt idx="15">
                  <c:v>67652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'08'!$D$6:$D$21</c:f>
              <c:strCache>
                <c:ptCount val="15"/>
                <c:pt idx="0">
                  <c:v>COVER</c:v>
                </c:pt>
                <c:pt idx="1">
                  <c:v>LID/BASE</c:v>
                </c:pt>
                <c:pt idx="2">
                  <c:v>STOPPER</c:v>
                </c:pt>
                <c:pt idx="3">
                  <c:v>SLIDER</c:v>
                </c:pt>
                <c:pt idx="4">
                  <c:v>BOTTOM</c:v>
                </c:pt>
                <c:pt idx="5">
                  <c:v>ADAPTER</c:v>
                </c:pt>
                <c:pt idx="6">
                  <c:v>BASE</c:v>
                </c:pt>
                <c:pt idx="7">
                  <c:v>STOPPER</c:v>
                </c:pt>
                <c:pt idx="8">
                  <c:v>LEAD GUIDE</c:v>
                </c:pt>
                <c:pt idx="9">
                  <c:v>COVER</c:v>
                </c:pt>
                <c:pt idx="10">
                  <c:v>SAM</c:v>
                </c:pt>
                <c:pt idx="11">
                  <c:v>BASE</c:v>
                </c:pt>
                <c:pt idx="12">
                  <c:v>IC GUIDE</c:v>
                </c:pt>
                <c:pt idx="13">
                  <c:v>SLIDER</c:v>
                </c:pt>
                <c:pt idx="14">
                  <c:v>STOPPER</c:v>
                </c:pt>
              </c:strCache>
            </c:strRef>
          </c:cat>
          <c:val>
            <c:numRef>
              <c:f>'08'!$J$6:$J$21</c:f>
              <c:numCache>
                <c:formatCode>_(* #,##0_);_(* \(#,##0\);_(* "-"_);_(@_)</c:formatCode>
                <c:ptCount val="16"/>
                <c:pt idx="0">
                  <c:v>1030</c:v>
                </c:pt>
                <c:pt idx="1">
                  <c:v>2010</c:v>
                </c:pt>
                <c:pt idx="2">
                  <c:v>5440</c:v>
                </c:pt>
                <c:pt idx="3">
                  <c:v>5290</c:v>
                </c:pt>
                <c:pt idx="4">
                  <c:v>6030</c:v>
                </c:pt>
                <c:pt idx="5">
                  <c:v>650</c:v>
                </c:pt>
                <c:pt idx="6">
                  <c:v>2940</c:v>
                </c:pt>
                <c:pt idx="7">
                  <c:v>690</c:v>
                </c:pt>
                <c:pt idx="8">
                  <c:v>910</c:v>
                </c:pt>
                <c:pt idx="9">
                  <c:v>4270</c:v>
                </c:pt>
                <c:pt idx="10">
                  <c:v>4910</c:v>
                </c:pt>
                <c:pt idx="11">
                  <c:v>3830</c:v>
                </c:pt>
                <c:pt idx="12">
                  <c:v>4170</c:v>
                </c:pt>
                <c:pt idx="13">
                  <c:v>5180</c:v>
                </c:pt>
                <c:pt idx="14">
                  <c:v>9490</c:v>
                </c:pt>
                <c:pt idx="15">
                  <c:v>67660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923008"/>
        <c:axId val="482985088"/>
      </c:lineChart>
      <c:catAx>
        <c:axId val="48292300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2985088"/>
        <c:crosses val="autoZero"/>
        <c:auto val="1"/>
        <c:lblAlgn val="ctr"/>
        <c:lblOffset val="100"/>
        <c:noMultiLvlLbl val="0"/>
      </c:catAx>
      <c:valAx>
        <c:axId val="48298508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48292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'08'!$AD$6:$AD$21</c:f>
              <c:strCache>
                <c:ptCount val="1"/>
                <c:pt idx="0">
                  <c:v>0% 46% 96% 100% 100% 0% 62% 25% 29% 91% 100% 75% 87% 96% 96%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'08'!$D$6:$D$21</c:f>
              <c:strCache>
                <c:ptCount val="15"/>
                <c:pt idx="0">
                  <c:v>COVER</c:v>
                </c:pt>
                <c:pt idx="1">
                  <c:v>LID/BASE</c:v>
                </c:pt>
                <c:pt idx="2">
                  <c:v>STOPPER</c:v>
                </c:pt>
                <c:pt idx="3">
                  <c:v>SLIDER</c:v>
                </c:pt>
                <c:pt idx="4">
                  <c:v>BOTTOM</c:v>
                </c:pt>
                <c:pt idx="5">
                  <c:v>ADAPTER</c:v>
                </c:pt>
                <c:pt idx="6">
                  <c:v>BASE</c:v>
                </c:pt>
                <c:pt idx="7">
                  <c:v>STOPPER</c:v>
                </c:pt>
                <c:pt idx="8">
                  <c:v>LEAD GUIDE</c:v>
                </c:pt>
                <c:pt idx="9">
                  <c:v>COVER</c:v>
                </c:pt>
                <c:pt idx="10">
                  <c:v>SAM</c:v>
                </c:pt>
                <c:pt idx="11">
                  <c:v>BASE</c:v>
                </c:pt>
                <c:pt idx="12">
                  <c:v>IC GUIDE</c:v>
                </c:pt>
                <c:pt idx="13">
                  <c:v>SLIDER</c:v>
                </c:pt>
                <c:pt idx="14">
                  <c:v>STOPPER</c:v>
                </c:pt>
              </c:strCache>
            </c:strRef>
          </c:cat>
          <c:val>
            <c:numRef>
              <c:f>'08'!$AD$6:$AD$21</c:f>
              <c:numCache>
                <c:formatCode>0%</c:formatCode>
                <c:ptCount val="16"/>
                <c:pt idx="0">
                  <c:v>0</c:v>
                </c:pt>
                <c:pt idx="1">
                  <c:v>0.45833333333333331</c:v>
                </c:pt>
                <c:pt idx="2">
                  <c:v>0.95815716911764703</c:v>
                </c:pt>
                <c:pt idx="3">
                  <c:v>0.99924385633270318</c:v>
                </c:pt>
                <c:pt idx="4">
                  <c:v>0.99933665008291872</c:v>
                </c:pt>
                <c:pt idx="5">
                  <c:v>0</c:v>
                </c:pt>
                <c:pt idx="6">
                  <c:v>0.62372448979591832</c:v>
                </c:pt>
                <c:pt idx="7">
                  <c:v>0.25</c:v>
                </c:pt>
                <c:pt idx="8">
                  <c:v>0.28878205128205131</c:v>
                </c:pt>
                <c:pt idx="9">
                  <c:v>0.91473458235753313</c:v>
                </c:pt>
                <c:pt idx="10">
                  <c:v>0.99837067209775965</c:v>
                </c:pt>
                <c:pt idx="11">
                  <c:v>0.75</c:v>
                </c:pt>
                <c:pt idx="12">
                  <c:v>0.8745803357314148</c:v>
                </c:pt>
                <c:pt idx="13">
                  <c:v>0.95759330759330763</c:v>
                </c:pt>
                <c:pt idx="14">
                  <c:v>0.95752546540217787</c:v>
                </c:pt>
                <c:pt idx="15">
                  <c:v>0.99988176174992605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'08'!$D$6:$D$21</c:f>
              <c:strCache>
                <c:ptCount val="15"/>
                <c:pt idx="0">
                  <c:v>COVER</c:v>
                </c:pt>
                <c:pt idx="1">
                  <c:v>LID/BASE</c:v>
                </c:pt>
                <c:pt idx="2">
                  <c:v>STOPPER</c:v>
                </c:pt>
                <c:pt idx="3">
                  <c:v>SLIDER</c:v>
                </c:pt>
                <c:pt idx="4">
                  <c:v>BOTTOM</c:v>
                </c:pt>
                <c:pt idx="5">
                  <c:v>ADAPTER</c:v>
                </c:pt>
                <c:pt idx="6">
                  <c:v>BASE</c:v>
                </c:pt>
                <c:pt idx="7">
                  <c:v>STOPPER</c:v>
                </c:pt>
                <c:pt idx="8">
                  <c:v>LEAD GUIDE</c:v>
                </c:pt>
                <c:pt idx="9">
                  <c:v>COVER</c:v>
                </c:pt>
                <c:pt idx="10">
                  <c:v>SAM</c:v>
                </c:pt>
                <c:pt idx="11">
                  <c:v>BASE</c:v>
                </c:pt>
                <c:pt idx="12">
                  <c:v>IC GUIDE</c:v>
                </c:pt>
                <c:pt idx="13">
                  <c:v>SLIDER</c:v>
                </c:pt>
                <c:pt idx="14">
                  <c:v>STOPPER</c:v>
                </c:pt>
              </c:strCache>
            </c:strRef>
          </c:cat>
          <c:val>
            <c:numRef>
              <c:f>'08'!$AE$6:$AE$21</c:f>
              <c:numCache>
                <c:formatCode>0%</c:formatCode>
                <c:ptCount val="16"/>
                <c:pt idx="0">
                  <c:v>0.7353509116584459</c:v>
                </c:pt>
                <c:pt idx="1">
                  <c:v>0.7353509116584459</c:v>
                </c:pt>
                <c:pt idx="2">
                  <c:v>0.7353509116584459</c:v>
                </c:pt>
                <c:pt idx="3">
                  <c:v>0.7353509116584459</c:v>
                </c:pt>
                <c:pt idx="4">
                  <c:v>0.7353509116584459</c:v>
                </c:pt>
                <c:pt idx="5">
                  <c:v>0.7353509116584459</c:v>
                </c:pt>
                <c:pt idx="6">
                  <c:v>0.7353509116584459</c:v>
                </c:pt>
                <c:pt idx="7">
                  <c:v>0.7353509116584459</c:v>
                </c:pt>
                <c:pt idx="8">
                  <c:v>0.7353509116584459</c:v>
                </c:pt>
                <c:pt idx="9">
                  <c:v>0.7353509116584459</c:v>
                </c:pt>
                <c:pt idx="10">
                  <c:v>0.7353509116584459</c:v>
                </c:pt>
                <c:pt idx="11">
                  <c:v>0.7353509116584459</c:v>
                </c:pt>
                <c:pt idx="12">
                  <c:v>0.7353509116584459</c:v>
                </c:pt>
                <c:pt idx="13">
                  <c:v>0.7353509116584459</c:v>
                </c:pt>
                <c:pt idx="14">
                  <c:v>0.7353509116584459</c:v>
                </c:pt>
                <c:pt idx="15">
                  <c:v>0.7353509116584459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925056"/>
        <c:axId val="482986816"/>
      </c:lineChart>
      <c:catAx>
        <c:axId val="48292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2986816"/>
        <c:crosses val="autoZero"/>
        <c:auto val="1"/>
        <c:lblAlgn val="ctr"/>
        <c:lblOffset val="100"/>
        <c:noMultiLvlLbl val="0"/>
      </c:catAx>
      <c:valAx>
        <c:axId val="4829868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48292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'01'!$AD$6:$AD$21</c:f>
              <c:strCache>
                <c:ptCount val="1"/>
                <c:pt idx="0">
                  <c:v>0% 33% 87% 100% 79% 16% 46% 100% 0% 21% 0% 79% 75% 42%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'01'!$D$6:$D$21</c:f>
              <c:strCache>
                <c:ptCount val="15"/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TOP</c:v>
                </c:pt>
                <c:pt idx="6">
                  <c:v>BOTTOM</c:v>
                </c:pt>
                <c:pt idx="7">
                  <c:v>BASE</c:v>
                </c:pt>
                <c:pt idx="8">
                  <c:v>ACTUATOR</c:v>
                </c:pt>
                <c:pt idx="9">
                  <c:v>BASE</c:v>
                </c:pt>
                <c:pt idx="10">
                  <c:v>BOTTOM</c:v>
                </c:pt>
                <c:pt idx="11">
                  <c:v>LATCH</c:v>
                </c:pt>
                <c:pt idx="12">
                  <c:v>FLOAT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'01'!$AD$6:$AD$21</c:f>
              <c:numCache>
                <c:formatCode>0%</c:formatCode>
                <c:ptCount val="16"/>
                <c:pt idx="0">
                  <c:v>0</c:v>
                </c:pt>
                <c:pt idx="1">
                  <c:v>0.33308080808080809</c:v>
                </c:pt>
                <c:pt idx="2">
                  <c:v>0.87389520202020199</c:v>
                </c:pt>
                <c:pt idx="3">
                  <c:v>1</c:v>
                </c:pt>
                <c:pt idx="4">
                  <c:v>0.79014003673094579</c:v>
                </c:pt>
                <c:pt idx="5">
                  <c:v>0.16464646464646465</c:v>
                </c:pt>
                <c:pt idx="6">
                  <c:v>0.45706018518518515</c:v>
                </c:pt>
                <c:pt idx="7">
                  <c:v>0.99786223277909736</c:v>
                </c:pt>
                <c:pt idx="8">
                  <c:v>0</c:v>
                </c:pt>
                <c:pt idx="9">
                  <c:v>0.20833333333333334</c:v>
                </c:pt>
                <c:pt idx="10">
                  <c:v>0</c:v>
                </c:pt>
                <c:pt idx="11">
                  <c:v>0.79166666666666663</c:v>
                </c:pt>
                <c:pt idx="12">
                  <c:v>0.75</c:v>
                </c:pt>
                <c:pt idx="13">
                  <c:v>0.41640786749482406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'01'!$D$6:$D$21</c:f>
              <c:strCache>
                <c:ptCount val="15"/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TOP</c:v>
                </c:pt>
                <c:pt idx="6">
                  <c:v>BOTTOM</c:v>
                </c:pt>
                <c:pt idx="7">
                  <c:v>BASE</c:v>
                </c:pt>
                <c:pt idx="8">
                  <c:v>ACTUATOR</c:v>
                </c:pt>
                <c:pt idx="9">
                  <c:v>BASE</c:v>
                </c:pt>
                <c:pt idx="10">
                  <c:v>BOTTOM</c:v>
                </c:pt>
                <c:pt idx="11">
                  <c:v>LATCH</c:v>
                </c:pt>
                <c:pt idx="12">
                  <c:v>FLOAT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'01'!$AE$6:$AE$21</c:f>
              <c:numCache>
                <c:formatCode>0%</c:formatCode>
                <c:ptCount val="16"/>
                <c:pt idx="0">
                  <c:v>0.51887285312916853</c:v>
                </c:pt>
                <c:pt idx="1">
                  <c:v>0.51887285312916853</c:v>
                </c:pt>
                <c:pt idx="2">
                  <c:v>0.51887285312916853</c:v>
                </c:pt>
                <c:pt idx="3">
                  <c:v>0.51887285312916853</c:v>
                </c:pt>
                <c:pt idx="4">
                  <c:v>0.51887285312916853</c:v>
                </c:pt>
                <c:pt idx="5">
                  <c:v>0.51887285312916853</c:v>
                </c:pt>
                <c:pt idx="6">
                  <c:v>0.51887285312916853</c:v>
                </c:pt>
                <c:pt idx="7">
                  <c:v>0.51887285312916853</c:v>
                </c:pt>
                <c:pt idx="8">
                  <c:v>0.51887285312916853</c:v>
                </c:pt>
                <c:pt idx="9">
                  <c:v>0.51887285312916853</c:v>
                </c:pt>
                <c:pt idx="10">
                  <c:v>0.51887285312916853</c:v>
                </c:pt>
                <c:pt idx="11">
                  <c:v>0.51887285312916853</c:v>
                </c:pt>
                <c:pt idx="12">
                  <c:v>0.51887285312916853</c:v>
                </c:pt>
                <c:pt idx="13">
                  <c:v>0.51887285312916853</c:v>
                </c:pt>
                <c:pt idx="14">
                  <c:v>0.51887285312916853</c:v>
                </c:pt>
                <c:pt idx="15">
                  <c:v>0.51887285312916853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414912"/>
        <c:axId val="607342528"/>
      </c:lineChart>
      <c:catAx>
        <c:axId val="3254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607342528"/>
        <c:crosses val="autoZero"/>
        <c:auto val="1"/>
        <c:lblAlgn val="ctr"/>
        <c:lblOffset val="100"/>
        <c:noMultiLvlLbl val="0"/>
      </c:catAx>
      <c:valAx>
        <c:axId val="60734252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25414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'08'!$D$6:$D$21</c:f>
              <c:strCache>
                <c:ptCount val="15"/>
                <c:pt idx="0">
                  <c:v>COVER</c:v>
                </c:pt>
                <c:pt idx="1">
                  <c:v>LID/BASE</c:v>
                </c:pt>
                <c:pt idx="2">
                  <c:v>STOPPER</c:v>
                </c:pt>
                <c:pt idx="3">
                  <c:v>SLIDER</c:v>
                </c:pt>
                <c:pt idx="4">
                  <c:v>BOTTOM</c:v>
                </c:pt>
                <c:pt idx="5">
                  <c:v>ADAPTER</c:v>
                </c:pt>
                <c:pt idx="6">
                  <c:v>BASE</c:v>
                </c:pt>
                <c:pt idx="7">
                  <c:v>STOPPER</c:v>
                </c:pt>
                <c:pt idx="8">
                  <c:v>LEAD GUIDE</c:v>
                </c:pt>
                <c:pt idx="9">
                  <c:v>COVER</c:v>
                </c:pt>
                <c:pt idx="10">
                  <c:v>SAM</c:v>
                </c:pt>
                <c:pt idx="11">
                  <c:v>BASE</c:v>
                </c:pt>
                <c:pt idx="12">
                  <c:v>IC GUIDE</c:v>
                </c:pt>
                <c:pt idx="13">
                  <c:v>SLIDER</c:v>
                </c:pt>
                <c:pt idx="14">
                  <c:v>STOPPER</c:v>
                </c:pt>
              </c:strCache>
            </c:strRef>
          </c:cat>
          <c:val>
            <c:numRef>
              <c:f>'08'!$L$6:$L$21</c:f>
              <c:numCache>
                <c:formatCode>_(* #,##0_);_(* \(#,##0\);_(* "-"_);_(@_)</c:formatCode>
                <c:ptCount val="16"/>
                <c:pt idx="1">
                  <c:v>2010</c:v>
                </c:pt>
                <c:pt idx="2">
                  <c:v>5439</c:v>
                </c:pt>
                <c:pt idx="3">
                  <c:v>5286</c:v>
                </c:pt>
                <c:pt idx="4">
                  <c:v>6026</c:v>
                </c:pt>
                <c:pt idx="6">
                  <c:v>2934</c:v>
                </c:pt>
                <c:pt idx="7">
                  <c:v>690</c:v>
                </c:pt>
                <c:pt idx="8">
                  <c:v>901</c:v>
                </c:pt>
                <c:pt idx="9">
                  <c:v>4261</c:v>
                </c:pt>
                <c:pt idx="10">
                  <c:v>4902</c:v>
                </c:pt>
                <c:pt idx="11">
                  <c:v>3830</c:v>
                </c:pt>
                <c:pt idx="12">
                  <c:v>4168</c:v>
                </c:pt>
                <c:pt idx="13">
                  <c:v>5176</c:v>
                </c:pt>
                <c:pt idx="14">
                  <c:v>9482</c:v>
                </c:pt>
                <c:pt idx="15">
                  <c:v>67652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'08'!$D$6:$D$21</c:f>
              <c:strCache>
                <c:ptCount val="15"/>
                <c:pt idx="0">
                  <c:v>COVER</c:v>
                </c:pt>
                <c:pt idx="1">
                  <c:v>LID/BASE</c:v>
                </c:pt>
                <c:pt idx="2">
                  <c:v>STOPPER</c:v>
                </c:pt>
                <c:pt idx="3">
                  <c:v>SLIDER</c:v>
                </c:pt>
                <c:pt idx="4">
                  <c:v>BOTTOM</c:v>
                </c:pt>
                <c:pt idx="5">
                  <c:v>ADAPTER</c:v>
                </c:pt>
                <c:pt idx="6">
                  <c:v>BASE</c:v>
                </c:pt>
                <c:pt idx="7">
                  <c:v>STOPPER</c:v>
                </c:pt>
                <c:pt idx="8">
                  <c:v>LEAD GUIDE</c:v>
                </c:pt>
                <c:pt idx="9">
                  <c:v>COVER</c:v>
                </c:pt>
                <c:pt idx="10">
                  <c:v>SAM</c:v>
                </c:pt>
                <c:pt idx="11">
                  <c:v>BASE</c:v>
                </c:pt>
                <c:pt idx="12">
                  <c:v>IC GUIDE</c:v>
                </c:pt>
                <c:pt idx="13">
                  <c:v>SLIDER</c:v>
                </c:pt>
                <c:pt idx="14">
                  <c:v>STOPPER</c:v>
                </c:pt>
              </c:strCache>
            </c:strRef>
          </c:cat>
          <c:val>
            <c:numRef>
              <c:f>'08'!$J$6:$J$21</c:f>
              <c:numCache>
                <c:formatCode>_(* #,##0_);_(* \(#,##0\);_(* "-"_);_(@_)</c:formatCode>
                <c:ptCount val="16"/>
                <c:pt idx="0">
                  <c:v>1030</c:v>
                </c:pt>
                <c:pt idx="1">
                  <c:v>2010</c:v>
                </c:pt>
                <c:pt idx="2">
                  <c:v>5440</c:v>
                </c:pt>
                <c:pt idx="3">
                  <c:v>5290</c:v>
                </c:pt>
                <c:pt idx="4">
                  <c:v>6030</c:v>
                </c:pt>
                <c:pt idx="5">
                  <c:v>650</c:v>
                </c:pt>
                <c:pt idx="6">
                  <c:v>2940</c:v>
                </c:pt>
                <c:pt idx="7">
                  <c:v>690</c:v>
                </c:pt>
                <c:pt idx="8">
                  <c:v>910</c:v>
                </c:pt>
                <c:pt idx="9">
                  <c:v>4270</c:v>
                </c:pt>
                <c:pt idx="10">
                  <c:v>4910</c:v>
                </c:pt>
                <c:pt idx="11">
                  <c:v>3830</c:v>
                </c:pt>
                <c:pt idx="12">
                  <c:v>4170</c:v>
                </c:pt>
                <c:pt idx="13">
                  <c:v>5180</c:v>
                </c:pt>
                <c:pt idx="14">
                  <c:v>9490</c:v>
                </c:pt>
                <c:pt idx="15">
                  <c:v>67660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925568"/>
        <c:axId val="482989120"/>
      </c:lineChart>
      <c:catAx>
        <c:axId val="48292556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2989120"/>
        <c:crosses val="autoZero"/>
        <c:auto val="1"/>
        <c:lblAlgn val="ctr"/>
        <c:lblOffset val="100"/>
        <c:noMultiLvlLbl val="0"/>
      </c:catAx>
      <c:valAx>
        <c:axId val="48298912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482925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'08'!$AD$6:$AD$21</c:f>
              <c:strCache>
                <c:ptCount val="1"/>
                <c:pt idx="0">
                  <c:v>0% 46% 96% 100% 100% 0% 62% 25% 29% 91% 100% 75% 87% 96% 96%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'08'!$D$6:$D$21</c:f>
              <c:strCache>
                <c:ptCount val="15"/>
                <c:pt idx="0">
                  <c:v>COVER</c:v>
                </c:pt>
                <c:pt idx="1">
                  <c:v>LID/BASE</c:v>
                </c:pt>
                <c:pt idx="2">
                  <c:v>STOPPER</c:v>
                </c:pt>
                <c:pt idx="3">
                  <c:v>SLIDER</c:v>
                </c:pt>
                <c:pt idx="4">
                  <c:v>BOTTOM</c:v>
                </c:pt>
                <c:pt idx="5">
                  <c:v>ADAPTER</c:v>
                </c:pt>
                <c:pt idx="6">
                  <c:v>BASE</c:v>
                </c:pt>
                <c:pt idx="7">
                  <c:v>STOPPER</c:v>
                </c:pt>
                <c:pt idx="8">
                  <c:v>LEAD GUIDE</c:v>
                </c:pt>
                <c:pt idx="9">
                  <c:v>COVER</c:v>
                </c:pt>
                <c:pt idx="10">
                  <c:v>SAM</c:v>
                </c:pt>
                <c:pt idx="11">
                  <c:v>BASE</c:v>
                </c:pt>
                <c:pt idx="12">
                  <c:v>IC GUIDE</c:v>
                </c:pt>
                <c:pt idx="13">
                  <c:v>SLIDER</c:v>
                </c:pt>
                <c:pt idx="14">
                  <c:v>STOPPER</c:v>
                </c:pt>
              </c:strCache>
            </c:strRef>
          </c:cat>
          <c:val>
            <c:numRef>
              <c:f>'08'!$AD$6:$AD$21</c:f>
              <c:numCache>
                <c:formatCode>0%</c:formatCode>
                <c:ptCount val="16"/>
                <c:pt idx="0">
                  <c:v>0</c:v>
                </c:pt>
                <c:pt idx="1">
                  <c:v>0.45833333333333331</c:v>
                </c:pt>
                <c:pt idx="2">
                  <c:v>0.95815716911764703</c:v>
                </c:pt>
                <c:pt idx="3">
                  <c:v>0.99924385633270318</c:v>
                </c:pt>
                <c:pt idx="4">
                  <c:v>0.99933665008291872</c:v>
                </c:pt>
                <c:pt idx="5">
                  <c:v>0</c:v>
                </c:pt>
                <c:pt idx="6">
                  <c:v>0.62372448979591832</c:v>
                </c:pt>
                <c:pt idx="7">
                  <c:v>0.25</c:v>
                </c:pt>
                <c:pt idx="8">
                  <c:v>0.28878205128205131</c:v>
                </c:pt>
                <c:pt idx="9">
                  <c:v>0.91473458235753313</c:v>
                </c:pt>
                <c:pt idx="10">
                  <c:v>0.99837067209775965</c:v>
                </c:pt>
                <c:pt idx="11">
                  <c:v>0.75</c:v>
                </c:pt>
                <c:pt idx="12">
                  <c:v>0.8745803357314148</c:v>
                </c:pt>
                <c:pt idx="13">
                  <c:v>0.95759330759330763</c:v>
                </c:pt>
                <c:pt idx="14">
                  <c:v>0.95752546540217787</c:v>
                </c:pt>
                <c:pt idx="15">
                  <c:v>0.99988176174992605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'08'!$D$6:$D$21</c:f>
              <c:strCache>
                <c:ptCount val="15"/>
                <c:pt idx="0">
                  <c:v>COVER</c:v>
                </c:pt>
                <c:pt idx="1">
                  <c:v>LID/BASE</c:v>
                </c:pt>
                <c:pt idx="2">
                  <c:v>STOPPER</c:v>
                </c:pt>
                <c:pt idx="3">
                  <c:v>SLIDER</c:v>
                </c:pt>
                <c:pt idx="4">
                  <c:v>BOTTOM</c:v>
                </c:pt>
                <c:pt idx="5">
                  <c:v>ADAPTER</c:v>
                </c:pt>
                <c:pt idx="6">
                  <c:v>BASE</c:v>
                </c:pt>
                <c:pt idx="7">
                  <c:v>STOPPER</c:v>
                </c:pt>
                <c:pt idx="8">
                  <c:v>LEAD GUIDE</c:v>
                </c:pt>
                <c:pt idx="9">
                  <c:v>COVER</c:v>
                </c:pt>
                <c:pt idx="10">
                  <c:v>SAM</c:v>
                </c:pt>
                <c:pt idx="11">
                  <c:v>BASE</c:v>
                </c:pt>
                <c:pt idx="12">
                  <c:v>IC GUIDE</c:v>
                </c:pt>
                <c:pt idx="13">
                  <c:v>SLIDER</c:v>
                </c:pt>
                <c:pt idx="14">
                  <c:v>STOPPER</c:v>
                </c:pt>
              </c:strCache>
            </c:strRef>
          </c:cat>
          <c:val>
            <c:numRef>
              <c:f>'08'!$AE$6:$AE$21</c:f>
              <c:numCache>
                <c:formatCode>0%</c:formatCode>
                <c:ptCount val="16"/>
                <c:pt idx="0">
                  <c:v>0.7353509116584459</c:v>
                </c:pt>
                <c:pt idx="1">
                  <c:v>0.7353509116584459</c:v>
                </c:pt>
                <c:pt idx="2">
                  <c:v>0.7353509116584459</c:v>
                </c:pt>
                <c:pt idx="3">
                  <c:v>0.7353509116584459</c:v>
                </c:pt>
                <c:pt idx="4">
                  <c:v>0.7353509116584459</c:v>
                </c:pt>
                <c:pt idx="5">
                  <c:v>0.7353509116584459</c:v>
                </c:pt>
                <c:pt idx="6">
                  <c:v>0.7353509116584459</c:v>
                </c:pt>
                <c:pt idx="7">
                  <c:v>0.7353509116584459</c:v>
                </c:pt>
                <c:pt idx="8">
                  <c:v>0.7353509116584459</c:v>
                </c:pt>
                <c:pt idx="9">
                  <c:v>0.7353509116584459</c:v>
                </c:pt>
                <c:pt idx="10">
                  <c:v>0.7353509116584459</c:v>
                </c:pt>
                <c:pt idx="11">
                  <c:v>0.7353509116584459</c:v>
                </c:pt>
                <c:pt idx="12">
                  <c:v>0.7353509116584459</c:v>
                </c:pt>
                <c:pt idx="13">
                  <c:v>0.7353509116584459</c:v>
                </c:pt>
                <c:pt idx="14">
                  <c:v>0.7353509116584459</c:v>
                </c:pt>
                <c:pt idx="15">
                  <c:v>0.7353509116584459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10880"/>
        <c:axId val="482990848"/>
      </c:lineChart>
      <c:catAx>
        <c:axId val="48601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2990848"/>
        <c:crosses val="autoZero"/>
        <c:auto val="1"/>
        <c:lblAlgn val="ctr"/>
        <c:lblOffset val="100"/>
        <c:noMultiLvlLbl val="0"/>
      </c:catAx>
      <c:valAx>
        <c:axId val="48299084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486010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011392"/>
        <c:axId val="87315366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11392"/>
        <c:axId val="873153664"/>
      </c:lineChart>
      <c:catAx>
        <c:axId val="48601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873153664"/>
        <c:crosses val="autoZero"/>
        <c:auto val="1"/>
        <c:lblAlgn val="ctr"/>
        <c:lblOffset val="100"/>
        <c:noMultiLvlLbl val="0"/>
      </c:catAx>
      <c:valAx>
        <c:axId val="8731536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8601139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'09'!$D$6:$D$21</c:f>
              <c:strCache>
                <c:ptCount val="15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LID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BODY</c:v>
                </c:pt>
                <c:pt idx="11">
                  <c:v>IC GUIDE</c:v>
                </c:pt>
                <c:pt idx="12">
                  <c:v>SLIDER</c:v>
                </c:pt>
                <c:pt idx="13">
                  <c:v>STOPPER</c:v>
                </c:pt>
                <c:pt idx="14">
                  <c:v>SLIDER</c:v>
                </c:pt>
              </c:strCache>
            </c:strRef>
          </c:cat>
          <c:val>
            <c:numRef>
              <c:f>'09'!$L$6:$L$21</c:f>
              <c:numCache>
                <c:formatCode>_(* #,##0_);_(* \(#,##0\);_(* "-"_);_(@_)</c:formatCode>
                <c:ptCount val="16"/>
                <c:pt idx="1">
                  <c:v>3068</c:v>
                </c:pt>
                <c:pt idx="2">
                  <c:v>6546</c:v>
                </c:pt>
                <c:pt idx="3">
                  <c:v>5039</c:v>
                </c:pt>
                <c:pt idx="4">
                  <c:v>36144</c:v>
                </c:pt>
                <c:pt idx="6">
                  <c:v>3400</c:v>
                </c:pt>
                <c:pt idx="7">
                  <c:v>3305</c:v>
                </c:pt>
                <c:pt idx="8">
                  <c:v>2322</c:v>
                </c:pt>
                <c:pt idx="9">
                  <c:v>4434</c:v>
                </c:pt>
                <c:pt idx="10">
                  <c:v>4827</c:v>
                </c:pt>
                <c:pt idx="11">
                  <c:v>2457</c:v>
                </c:pt>
                <c:pt idx="12">
                  <c:v>4918</c:v>
                </c:pt>
                <c:pt idx="13">
                  <c:v>3528</c:v>
                </c:pt>
                <c:pt idx="14">
                  <c:v>948</c:v>
                </c:pt>
                <c:pt idx="15">
                  <c:v>67648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'09'!$D$6:$D$21</c:f>
              <c:strCache>
                <c:ptCount val="15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LID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BODY</c:v>
                </c:pt>
                <c:pt idx="11">
                  <c:v>IC GUIDE</c:v>
                </c:pt>
                <c:pt idx="12">
                  <c:v>SLIDER</c:v>
                </c:pt>
                <c:pt idx="13">
                  <c:v>STOPPER</c:v>
                </c:pt>
                <c:pt idx="14">
                  <c:v>SLIDER</c:v>
                </c:pt>
              </c:strCache>
            </c:strRef>
          </c:cat>
          <c:val>
            <c:numRef>
              <c:f>'09'!$J$6:$J$21</c:f>
              <c:numCache>
                <c:formatCode>_(* #,##0_);_(* \(#,##0\);_(* "-"_);_(@_)</c:formatCode>
                <c:ptCount val="16"/>
                <c:pt idx="0">
                  <c:v>1030</c:v>
                </c:pt>
                <c:pt idx="1">
                  <c:v>3070</c:v>
                </c:pt>
                <c:pt idx="2">
                  <c:v>6550</c:v>
                </c:pt>
                <c:pt idx="3">
                  <c:v>5040</c:v>
                </c:pt>
                <c:pt idx="4">
                  <c:v>36150</c:v>
                </c:pt>
                <c:pt idx="5">
                  <c:v>650</c:v>
                </c:pt>
                <c:pt idx="6">
                  <c:v>3400</c:v>
                </c:pt>
                <c:pt idx="7">
                  <c:v>3310</c:v>
                </c:pt>
                <c:pt idx="8">
                  <c:v>2330</c:v>
                </c:pt>
                <c:pt idx="9">
                  <c:v>4440</c:v>
                </c:pt>
                <c:pt idx="10">
                  <c:v>4830</c:v>
                </c:pt>
                <c:pt idx="11">
                  <c:v>2460</c:v>
                </c:pt>
                <c:pt idx="12">
                  <c:v>4920</c:v>
                </c:pt>
                <c:pt idx="13">
                  <c:v>3530</c:v>
                </c:pt>
                <c:pt idx="14">
                  <c:v>950</c:v>
                </c:pt>
                <c:pt idx="15">
                  <c:v>67650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44864"/>
        <c:axId val="873156544"/>
      </c:lineChart>
      <c:catAx>
        <c:axId val="51504486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73156544"/>
        <c:crosses val="autoZero"/>
        <c:auto val="1"/>
        <c:lblAlgn val="ctr"/>
        <c:lblOffset val="100"/>
        <c:noMultiLvlLbl val="0"/>
      </c:catAx>
      <c:valAx>
        <c:axId val="87315654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15044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'09'!$AD$6:$AD$21</c:f>
              <c:strCache>
                <c:ptCount val="1"/>
                <c:pt idx="0">
                  <c:v>0% 79% 100% 100% 79% 0% 83% 71% 62% 87% 96% 42% 92% 29% 21%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'09'!$D$6:$D$21</c:f>
              <c:strCache>
                <c:ptCount val="15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LID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BODY</c:v>
                </c:pt>
                <c:pt idx="11">
                  <c:v>IC GUIDE</c:v>
                </c:pt>
                <c:pt idx="12">
                  <c:v>SLIDER</c:v>
                </c:pt>
                <c:pt idx="13">
                  <c:v>STOPPER</c:v>
                </c:pt>
                <c:pt idx="14">
                  <c:v>SLIDER</c:v>
                </c:pt>
              </c:strCache>
            </c:strRef>
          </c:cat>
          <c:val>
            <c:numRef>
              <c:f>'09'!$AD$6:$AD$21</c:f>
              <c:numCache>
                <c:formatCode>0%</c:formatCode>
                <c:ptCount val="16"/>
                <c:pt idx="0">
                  <c:v>0</c:v>
                </c:pt>
                <c:pt idx="1">
                  <c:v>0.79115092290988054</c:v>
                </c:pt>
                <c:pt idx="2">
                  <c:v>0.99938931297709921</c:v>
                </c:pt>
                <c:pt idx="3">
                  <c:v>0.9998015873015873</c:v>
                </c:pt>
                <c:pt idx="4">
                  <c:v>0.79153526970954358</c:v>
                </c:pt>
                <c:pt idx="5">
                  <c:v>0</c:v>
                </c:pt>
                <c:pt idx="6">
                  <c:v>0.83333333333333337</c:v>
                </c:pt>
                <c:pt idx="7">
                  <c:v>0.70726334340382679</c:v>
                </c:pt>
                <c:pt idx="8">
                  <c:v>0.62285407725321884</c:v>
                </c:pt>
                <c:pt idx="9">
                  <c:v>0.87381756756756757</c:v>
                </c:pt>
                <c:pt idx="10">
                  <c:v>0.95773809523809528</c:v>
                </c:pt>
                <c:pt idx="11">
                  <c:v>0.41615853658536589</c:v>
                </c:pt>
                <c:pt idx="12">
                  <c:v>0.91629403794037945</c:v>
                </c:pt>
                <c:pt idx="13">
                  <c:v>0.29150141643059491</c:v>
                </c:pt>
                <c:pt idx="14">
                  <c:v>0.20789473684210527</c:v>
                </c:pt>
                <c:pt idx="15">
                  <c:v>0.99997043606799707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'09'!$D$6:$D$21</c:f>
              <c:strCache>
                <c:ptCount val="15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LID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BODY</c:v>
                </c:pt>
                <c:pt idx="11">
                  <c:v>IC GUIDE</c:v>
                </c:pt>
                <c:pt idx="12">
                  <c:v>SLIDER</c:v>
                </c:pt>
                <c:pt idx="13">
                  <c:v>STOPPER</c:v>
                </c:pt>
                <c:pt idx="14">
                  <c:v>SLIDER</c:v>
                </c:pt>
              </c:strCache>
            </c:strRef>
          </c:cat>
          <c:val>
            <c:numRef>
              <c:f>'09'!$AE$6:$AE$21</c:f>
              <c:numCache>
                <c:formatCode>0%</c:formatCode>
                <c:ptCount val="16"/>
                <c:pt idx="0">
                  <c:v>0.69391351157070635</c:v>
                </c:pt>
                <c:pt idx="1">
                  <c:v>0.69391351157070635</c:v>
                </c:pt>
                <c:pt idx="2">
                  <c:v>0.69391351157070635</c:v>
                </c:pt>
                <c:pt idx="3">
                  <c:v>0.69391351157070635</c:v>
                </c:pt>
                <c:pt idx="4">
                  <c:v>0.69391351157070635</c:v>
                </c:pt>
                <c:pt idx="5">
                  <c:v>0.69391351157070635</c:v>
                </c:pt>
                <c:pt idx="6">
                  <c:v>0.69391351157070635</c:v>
                </c:pt>
                <c:pt idx="7">
                  <c:v>0.69391351157070635</c:v>
                </c:pt>
                <c:pt idx="8">
                  <c:v>0.69391351157070635</c:v>
                </c:pt>
                <c:pt idx="9">
                  <c:v>0.69391351157070635</c:v>
                </c:pt>
                <c:pt idx="10">
                  <c:v>0.69391351157070635</c:v>
                </c:pt>
                <c:pt idx="11">
                  <c:v>0.69391351157070635</c:v>
                </c:pt>
                <c:pt idx="12">
                  <c:v>0.69391351157070635</c:v>
                </c:pt>
                <c:pt idx="13">
                  <c:v>0.69391351157070635</c:v>
                </c:pt>
                <c:pt idx="14">
                  <c:v>0.69391351157070635</c:v>
                </c:pt>
                <c:pt idx="15">
                  <c:v>0.69391351157070635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45888"/>
        <c:axId val="873158272"/>
      </c:lineChart>
      <c:catAx>
        <c:axId val="5150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73158272"/>
        <c:crosses val="autoZero"/>
        <c:auto val="1"/>
        <c:lblAlgn val="ctr"/>
        <c:lblOffset val="100"/>
        <c:noMultiLvlLbl val="0"/>
      </c:catAx>
      <c:valAx>
        <c:axId val="8731582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15045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'09'!$D$6:$D$21</c:f>
              <c:strCache>
                <c:ptCount val="15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LID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BODY</c:v>
                </c:pt>
                <c:pt idx="11">
                  <c:v>IC GUIDE</c:v>
                </c:pt>
                <c:pt idx="12">
                  <c:v>SLIDER</c:v>
                </c:pt>
                <c:pt idx="13">
                  <c:v>STOPPER</c:v>
                </c:pt>
                <c:pt idx="14">
                  <c:v>SLIDER</c:v>
                </c:pt>
              </c:strCache>
            </c:strRef>
          </c:cat>
          <c:val>
            <c:numRef>
              <c:f>'09'!$L$6:$L$21</c:f>
              <c:numCache>
                <c:formatCode>_(* #,##0_);_(* \(#,##0\);_(* "-"_);_(@_)</c:formatCode>
                <c:ptCount val="16"/>
                <c:pt idx="1">
                  <c:v>3068</c:v>
                </c:pt>
                <c:pt idx="2">
                  <c:v>6546</c:v>
                </c:pt>
                <c:pt idx="3">
                  <c:v>5039</c:v>
                </c:pt>
                <c:pt idx="4">
                  <c:v>36144</c:v>
                </c:pt>
                <c:pt idx="6">
                  <c:v>3400</c:v>
                </c:pt>
                <c:pt idx="7">
                  <c:v>3305</c:v>
                </c:pt>
                <c:pt idx="8">
                  <c:v>2322</c:v>
                </c:pt>
                <c:pt idx="9">
                  <c:v>4434</c:v>
                </c:pt>
                <c:pt idx="10">
                  <c:v>4827</c:v>
                </c:pt>
                <c:pt idx="11">
                  <c:v>2457</c:v>
                </c:pt>
                <c:pt idx="12">
                  <c:v>4918</c:v>
                </c:pt>
                <c:pt idx="13">
                  <c:v>3528</c:v>
                </c:pt>
                <c:pt idx="14">
                  <c:v>948</c:v>
                </c:pt>
                <c:pt idx="15">
                  <c:v>67648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'09'!$D$6:$D$21</c:f>
              <c:strCache>
                <c:ptCount val="15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LID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BODY</c:v>
                </c:pt>
                <c:pt idx="11">
                  <c:v>IC GUIDE</c:v>
                </c:pt>
                <c:pt idx="12">
                  <c:v>SLIDER</c:v>
                </c:pt>
                <c:pt idx="13">
                  <c:v>STOPPER</c:v>
                </c:pt>
                <c:pt idx="14">
                  <c:v>SLIDER</c:v>
                </c:pt>
              </c:strCache>
            </c:strRef>
          </c:cat>
          <c:val>
            <c:numRef>
              <c:f>'09'!$J$6:$J$21</c:f>
              <c:numCache>
                <c:formatCode>_(* #,##0_);_(* \(#,##0\);_(* "-"_);_(@_)</c:formatCode>
                <c:ptCount val="16"/>
                <c:pt idx="0">
                  <c:v>1030</c:v>
                </c:pt>
                <c:pt idx="1">
                  <c:v>3070</c:v>
                </c:pt>
                <c:pt idx="2">
                  <c:v>6550</c:v>
                </c:pt>
                <c:pt idx="3">
                  <c:v>5040</c:v>
                </c:pt>
                <c:pt idx="4">
                  <c:v>36150</c:v>
                </c:pt>
                <c:pt idx="5">
                  <c:v>650</c:v>
                </c:pt>
                <c:pt idx="6">
                  <c:v>3400</c:v>
                </c:pt>
                <c:pt idx="7">
                  <c:v>3310</c:v>
                </c:pt>
                <c:pt idx="8">
                  <c:v>2330</c:v>
                </c:pt>
                <c:pt idx="9">
                  <c:v>4440</c:v>
                </c:pt>
                <c:pt idx="10">
                  <c:v>4830</c:v>
                </c:pt>
                <c:pt idx="11">
                  <c:v>2460</c:v>
                </c:pt>
                <c:pt idx="12">
                  <c:v>4920</c:v>
                </c:pt>
                <c:pt idx="13">
                  <c:v>3530</c:v>
                </c:pt>
                <c:pt idx="14">
                  <c:v>950</c:v>
                </c:pt>
                <c:pt idx="15">
                  <c:v>67650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46912"/>
        <c:axId val="597417984"/>
      </c:lineChart>
      <c:catAx>
        <c:axId val="51504691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597417984"/>
        <c:crosses val="autoZero"/>
        <c:auto val="1"/>
        <c:lblAlgn val="ctr"/>
        <c:lblOffset val="100"/>
        <c:noMultiLvlLbl val="0"/>
      </c:catAx>
      <c:valAx>
        <c:axId val="59741798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15046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'09'!$AD$6:$AD$21</c:f>
              <c:strCache>
                <c:ptCount val="1"/>
                <c:pt idx="0">
                  <c:v>0% 79% 100% 100% 79% 0% 83% 71% 62% 87% 96% 42% 92% 29% 21%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'09'!$D$6:$D$21</c:f>
              <c:strCache>
                <c:ptCount val="15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LID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BODY</c:v>
                </c:pt>
                <c:pt idx="11">
                  <c:v>IC GUIDE</c:v>
                </c:pt>
                <c:pt idx="12">
                  <c:v>SLIDER</c:v>
                </c:pt>
                <c:pt idx="13">
                  <c:v>STOPPER</c:v>
                </c:pt>
                <c:pt idx="14">
                  <c:v>SLIDER</c:v>
                </c:pt>
              </c:strCache>
            </c:strRef>
          </c:cat>
          <c:val>
            <c:numRef>
              <c:f>'09'!$AD$6:$AD$21</c:f>
              <c:numCache>
                <c:formatCode>0%</c:formatCode>
                <c:ptCount val="16"/>
                <c:pt idx="0">
                  <c:v>0</c:v>
                </c:pt>
                <c:pt idx="1">
                  <c:v>0.79115092290988054</c:v>
                </c:pt>
                <c:pt idx="2">
                  <c:v>0.99938931297709921</c:v>
                </c:pt>
                <c:pt idx="3">
                  <c:v>0.9998015873015873</c:v>
                </c:pt>
                <c:pt idx="4">
                  <c:v>0.79153526970954358</c:v>
                </c:pt>
                <c:pt idx="5">
                  <c:v>0</c:v>
                </c:pt>
                <c:pt idx="6">
                  <c:v>0.83333333333333337</c:v>
                </c:pt>
                <c:pt idx="7">
                  <c:v>0.70726334340382679</c:v>
                </c:pt>
                <c:pt idx="8">
                  <c:v>0.62285407725321884</c:v>
                </c:pt>
                <c:pt idx="9">
                  <c:v>0.87381756756756757</c:v>
                </c:pt>
                <c:pt idx="10">
                  <c:v>0.95773809523809528</c:v>
                </c:pt>
                <c:pt idx="11">
                  <c:v>0.41615853658536589</c:v>
                </c:pt>
                <c:pt idx="12">
                  <c:v>0.91629403794037945</c:v>
                </c:pt>
                <c:pt idx="13">
                  <c:v>0.29150141643059491</c:v>
                </c:pt>
                <c:pt idx="14">
                  <c:v>0.20789473684210527</c:v>
                </c:pt>
                <c:pt idx="15">
                  <c:v>0.99997043606799707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'09'!$D$6:$D$21</c:f>
              <c:strCache>
                <c:ptCount val="15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LID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BODY</c:v>
                </c:pt>
                <c:pt idx="11">
                  <c:v>IC GUIDE</c:v>
                </c:pt>
                <c:pt idx="12">
                  <c:v>SLIDER</c:v>
                </c:pt>
                <c:pt idx="13">
                  <c:v>STOPPER</c:v>
                </c:pt>
                <c:pt idx="14">
                  <c:v>SLIDER</c:v>
                </c:pt>
              </c:strCache>
            </c:strRef>
          </c:cat>
          <c:val>
            <c:numRef>
              <c:f>'09'!$AE$6:$AE$21</c:f>
              <c:numCache>
                <c:formatCode>0%</c:formatCode>
                <c:ptCount val="16"/>
                <c:pt idx="0">
                  <c:v>0.69391351157070635</c:v>
                </c:pt>
                <c:pt idx="1">
                  <c:v>0.69391351157070635</c:v>
                </c:pt>
                <c:pt idx="2">
                  <c:v>0.69391351157070635</c:v>
                </c:pt>
                <c:pt idx="3">
                  <c:v>0.69391351157070635</c:v>
                </c:pt>
                <c:pt idx="4">
                  <c:v>0.69391351157070635</c:v>
                </c:pt>
                <c:pt idx="5">
                  <c:v>0.69391351157070635</c:v>
                </c:pt>
                <c:pt idx="6">
                  <c:v>0.69391351157070635</c:v>
                </c:pt>
                <c:pt idx="7">
                  <c:v>0.69391351157070635</c:v>
                </c:pt>
                <c:pt idx="8">
                  <c:v>0.69391351157070635</c:v>
                </c:pt>
                <c:pt idx="9">
                  <c:v>0.69391351157070635</c:v>
                </c:pt>
                <c:pt idx="10">
                  <c:v>0.69391351157070635</c:v>
                </c:pt>
                <c:pt idx="11">
                  <c:v>0.69391351157070635</c:v>
                </c:pt>
                <c:pt idx="12">
                  <c:v>0.69391351157070635</c:v>
                </c:pt>
                <c:pt idx="13">
                  <c:v>0.69391351157070635</c:v>
                </c:pt>
                <c:pt idx="14">
                  <c:v>0.69391351157070635</c:v>
                </c:pt>
                <c:pt idx="15">
                  <c:v>0.69391351157070635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301376"/>
        <c:axId val="597419712"/>
      </c:lineChart>
      <c:catAx>
        <c:axId val="51530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597419712"/>
        <c:crosses val="autoZero"/>
        <c:auto val="1"/>
        <c:lblAlgn val="ctr"/>
        <c:lblOffset val="100"/>
        <c:noMultiLvlLbl val="0"/>
      </c:catAx>
      <c:valAx>
        <c:axId val="59741971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15301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301888"/>
        <c:axId val="59742201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301888"/>
        <c:axId val="597422016"/>
      </c:lineChart>
      <c:catAx>
        <c:axId val="51530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597422016"/>
        <c:crosses val="autoZero"/>
        <c:auto val="1"/>
        <c:lblAlgn val="ctr"/>
        <c:lblOffset val="100"/>
        <c:noMultiLvlLbl val="0"/>
      </c:catAx>
      <c:valAx>
        <c:axId val="5974220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1530188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LID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BODY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'10'!$L$6:$L$20</c:f>
              <c:numCache>
                <c:formatCode>_(* #,##0_);_(* \(#,##0\);_(* "-"_);_(@_)</c:formatCode>
                <c:ptCount val="15"/>
                <c:pt idx="1">
                  <c:v>1139</c:v>
                </c:pt>
                <c:pt idx="2">
                  <c:v>3282</c:v>
                </c:pt>
                <c:pt idx="3">
                  <c:v>3691</c:v>
                </c:pt>
                <c:pt idx="4">
                  <c:v>0</c:v>
                </c:pt>
                <c:pt idx="5">
                  <c:v>0</c:v>
                </c:pt>
                <c:pt idx="6">
                  <c:v>3995</c:v>
                </c:pt>
                <c:pt idx="7">
                  <c:v>4685</c:v>
                </c:pt>
                <c:pt idx="9">
                  <c:v>5553</c:v>
                </c:pt>
                <c:pt idx="10">
                  <c:v>5201</c:v>
                </c:pt>
                <c:pt idx="11">
                  <c:v>16148</c:v>
                </c:pt>
                <c:pt idx="12">
                  <c:v>2267</c:v>
                </c:pt>
                <c:pt idx="13">
                  <c:v>4268</c:v>
                </c:pt>
                <c:pt idx="14">
                  <c:v>62848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'10'!$D$6:$D$20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LID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BODY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'10'!$J$6:$J$20</c:f>
              <c:numCache>
                <c:formatCode>_(* #,##0_);_(* \(#,##0\);_(* "-"_);_(@_)</c:formatCode>
                <c:ptCount val="15"/>
                <c:pt idx="0">
                  <c:v>1030</c:v>
                </c:pt>
                <c:pt idx="1">
                  <c:v>1140</c:v>
                </c:pt>
                <c:pt idx="2">
                  <c:v>3290</c:v>
                </c:pt>
                <c:pt idx="3">
                  <c:v>3700</c:v>
                </c:pt>
                <c:pt idx="4">
                  <c:v>36150</c:v>
                </c:pt>
                <c:pt idx="5">
                  <c:v>650</c:v>
                </c:pt>
                <c:pt idx="6">
                  <c:v>4000</c:v>
                </c:pt>
                <c:pt idx="7">
                  <c:v>4690</c:v>
                </c:pt>
                <c:pt idx="8">
                  <c:v>2330</c:v>
                </c:pt>
                <c:pt idx="9">
                  <c:v>5560</c:v>
                </c:pt>
                <c:pt idx="10">
                  <c:v>5210</c:v>
                </c:pt>
                <c:pt idx="11">
                  <c:v>16150</c:v>
                </c:pt>
                <c:pt idx="12">
                  <c:v>2270</c:v>
                </c:pt>
                <c:pt idx="13">
                  <c:v>4270</c:v>
                </c:pt>
                <c:pt idx="14">
                  <c:v>62850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747328"/>
        <c:axId val="597424896"/>
      </c:lineChart>
      <c:catAx>
        <c:axId val="51574732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597424896"/>
        <c:crosses val="autoZero"/>
        <c:auto val="1"/>
        <c:lblAlgn val="ctr"/>
        <c:lblOffset val="100"/>
        <c:noMultiLvlLbl val="0"/>
      </c:catAx>
      <c:valAx>
        <c:axId val="59742489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15747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'10'!$AD$6:$AD$20</c:f>
              <c:strCache>
                <c:ptCount val="1"/>
                <c:pt idx="0">
                  <c:v>0% 25% 71% 79% 0% 0% 100% 87% 0% 100% 100% 83% 46% 92%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LID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BODY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'10'!$AD$6:$AD$20</c:f>
              <c:numCache>
                <c:formatCode>0%</c:formatCode>
                <c:ptCount val="15"/>
                <c:pt idx="0">
                  <c:v>0</c:v>
                </c:pt>
                <c:pt idx="1">
                  <c:v>0.24978070175438596</c:v>
                </c:pt>
                <c:pt idx="2">
                  <c:v>0.70661094224924015</c:v>
                </c:pt>
                <c:pt idx="3">
                  <c:v>0.78974099099099093</c:v>
                </c:pt>
                <c:pt idx="4">
                  <c:v>0</c:v>
                </c:pt>
                <c:pt idx="5">
                  <c:v>0</c:v>
                </c:pt>
                <c:pt idx="6">
                  <c:v>0.99875000000000003</c:v>
                </c:pt>
                <c:pt idx="7">
                  <c:v>0.87406716417910446</c:v>
                </c:pt>
                <c:pt idx="8">
                  <c:v>0</c:v>
                </c:pt>
                <c:pt idx="9">
                  <c:v>0.99874100719424463</c:v>
                </c:pt>
                <c:pt idx="10">
                  <c:v>0.99827255278310945</c:v>
                </c:pt>
                <c:pt idx="11">
                  <c:v>0.83323013415892677</c:v>
                </c:pt>
                <c:pt idx="12">
                  <c:v>0.45772760646108662</c:v>
                </c:pt>
                <c:pt idx="13">
                  <c:v>0.91623731459797031</c:v>
                </c:pt>
                <c:pt idx="14">
                  <c:v>0.9999681782020684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'10'!$D$6:$D$20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LID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BODY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'10'!$AE$6:$AE$20</c:f>
              <c:numCache>
                <c:formatCode>0%</c:formatCode>
                <c:ptCount val="15"/>
                <c:pt idx="0">
                  <c:v>0.58820843950474189</c:v>
                </c:pt>
                <c:pt idx="1">
                  <c:v>0.58820843950474189</c:v>
                </c:pt>
                <c:pt idx="2">
                  <c:v>0.58820843950474189</c:v>
                </c:pt>
                <c:pt idx="3">
                  <c:v>0.58820843950474189</c:v>
                </c:pt>
                <c:pt idx="4">
                  <c:v>0.58820843950474189</c:v>
                </c:pt>
                <c:pt idx="5">
                  <c:v>0.58820843950474189</c:v>
                </c:pt>
                <c:pt idx="6">
                  <c:v>0.58820843950474189</c:v>
                </c:pt>
                <c:pt idx="7">
                  <c:v>0.58820843950474189</c:v>
                </c:pt>
                <c:pt idx="8">
                  <c:v>0.58820843950474189</c:v>
                </c:pt>
                <c:pt idx="9">
                  <c:v>0.58820843950474189</c:v>
                </c:pt>
                <c:pt idx="10">
                  <c:v>0.58820843950474189</c:v>
                </c:pt>
                <c:pt idx="11">
                  <c:v>0.58820843950474189</c:v>
                </c:pt>
                <c:pt idx="12">
                  <c:v>0.58820843950474189</c:v>
                </c:pt>
                <c:pt idx="13">
                  <c:v>0.58820843950474189</c:v>
                </c:pt>
                <c:pt idx="14">
                  <c:v>0.58820843950474189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753472"/>
        <c:axId val="483369536"/>
      </c:lineChart>
      <c:catAx>
        <c:axId val="51575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3369536"/>
        <c:crosses val="autoZero"/>
        <c:auto val="1"/>
        <c:lblAlgn val="ctr"/>
        <c:lblOffset val="100"/>
        <c:noMultiLvlLbl val="0"/>
      </c:catAx>
      <c:valAx>
        <c:axId val="4833695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1575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'01'!$D$6:$D$21</c:f>
              <c:strCache>
                <c:ptCount val="15"/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TOP</c:v>
                </c:pt>
                <c:pt idx="6">
                  <c:v>BOTTOM</c:v>
                </c:pt>
                <c:pt idx="7">
                  <c:v>BASE</c:v>
                </c:pt>
                <c:pt idx="8">
                  <c:v>ACTUATOR</c:v>
                </c:pt>
                <c:pt idx="9">
                  <c:v>BASE</c:v>
                </c:pt>
                <c:pt idx="10">
                  <c:v>BOTTOM</c:v>
                </c:pt>
                <c:pt idx="11">
                  <c:v>LATCH</c:v>
                </c:pt>
                <c:pt idx="12">
                  <c:v>FLOAT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'01'!$L$6:$L$21</c:f>
              <c:numCache>
                <c:formatCode>_(* #,##0_);_(* \(#,##0\);_(* "-"_);_(@_)</c:formatCode>
                <c:ptCount val="16"/>
                <c:pt idx="1">
                  <c:v>1319</c:v>
                </c:pt>
                <c:pt idx="2">
                  <c:v>3955</c:v>
                </c:pt>
                <c:pt idx="3">
                  <c:v>4690</c:v>
                </c:pt>
                <c:pt idx="4">
                  <c:v>3623</c:v>
                </c:pt>
                <c:pt idx="5">
                  <c:v>326</c:v>
                </c:pt>
                <c:pt idx="6">
                  <c:v>2872</c:v>
                </c:pt>
                <c:pt idx="7">
                  <c:v>4201</c:v>
                </c:pt>
                <c:pt idx="9">
                  <c:v>240</c:v>
                </c:pt>
                <c:pt idx="11">
                  <c:v>6710</c:v>
                </c:pt>
                <c:pt idx="12">
                  <c:v>2150</c:v>
                </c:pt>
                <c:pt idx="13">
                  <c:v>1609</c:v>
                </c:pt>
                <c:pt idx="14">
                  <c:v>5390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'01'!$D$6:$D$21</c:f>
              <c:strCache>
                <c:ptCount val="15"/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TOP</c:v>
                </c:pt>
                <c:pt idx="6">
                  <c:v>BOTTOM</c:v>
                </c:pt>
                <c:pt idx="7">
                  <c:v>BASE</c:v>
                </c:pt>
                <c:pt idx="8">
                  <c:v>ACTUATOR</c:v>
                </c:pt>
                <c:pt idx="9">
                  <c:v>BASE</c:v>
                </c:pt>
                <c:pt idx="10">
                  <c:v>BOTTOM</c:v>
                </c:pt>
                <c:pt idx="11">
                  <c:v>LATCH</c:v>
                </c:pt>
                <c:pt idx="12">
                  <c:v>FLOAT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'01'!$J$6:$J$21</c:f>
              <c:numCache>
                <c:formatCode>_(* #,##0_);_(* \(#,##0\);_(* "-"_);_(@_)</c:formatCode>
                <c:ptCount val="16"/>
                <c:pt idx="1">
                  <c:v>1320</c:v>
                </c:pt>
                <c:pt idx="2">
                  <c:v>3960</c:v>
                </c:pt>
                <c:pt idx="3">
                  <c:v>4690</c:v>
                </c:pt>
                <c:pt idx="4">
                  <c:v>3630</c:v>
                </c:pt>
                <c:pt idx="5">
                  <c:v>330</c:v>
                </c:pt>
                <c:pt idx="6">
                  <c:v>2880</c:v>
                </c:pt>
                <c:pt idx="7">
                  <c:v>4210</c:v>
                </c:pt>
                <c:pt idx="8">
                  <c:v>1750</c:v>
                </c:pt>
                <c:pt idx="9">
                  <c:v>240</c:v>
                </c:pt>
                <c:pt idx="10">
                  <c:v>15880</c:v>
                </c:pt>
                <c:pt idx="11">
                  <c:v>6710</c:v>
                </c:pt>
                <c:pt idx="12">
                  <c:v>2150</c:v>
                </c:pt>
                <c:pt idx="13">
                  <c:v>1610</c:v>
                </c:pt>
                <c:pt idx="14">
                  <c:v>5390</c:v>
                </c:pt>
                <c:pt idx="15">
                  <c:v>32870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844416"/>
        <c:axId val="644844352"/>
      </c:lineChart>
      <c:catAx>
        <c:axId val="32684441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644844352"/>
        <c:crosses val="autoZero"/>
        <c:auto val="1"/>
        <c:lblAlgn val="ctr"/>
        <c:lblOffset val="100"/>
        <c:noMultiLvlLbl val="0"/>
      </c:catAx>
      <c:valAx>
        <c:axId val="64484435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26844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LID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BODY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'10'!$L$6:$L$20</c:f>
              <c:numCache>
                <c:formatCode>_(* #,##0_);_(* \(#,##0\);_(* "-"_);_(@_)</c:formatCode>
                <c:ptCount val="15"/>
                <c:pt idx="1">
                  <c:v>1139</c:v>
                </c:pt>
                <c:pt idx="2">
                  <c:v>3282</c:v>
                </c:pt>
                <c:pt idx="3">
                  <c:v>3691</c:v>
                </c:pt>
                <c:pt idx="4">
                  <c:v>0</c:v>
                </c:pt>
                <c:pt idx="5">
                  <c:v>0</c:v>
                </c:pt>
                <c:pt idx="6">
                  <c:v>3995</c:v>
                </c:pt>
                <c:pt idx="7">
                  <c:v>4685</c:v>
                </c:pt>
                <c:pt idx="9">
                  <c:v>5553</c:v>
                </c:pt>
                <c:pt idx="10">
                  <c:v>5201</c:v>
                </c:pt>
                <c:pt idx="11">
                  <c:v>16148</c:v>
                </c:pt>
                <c:pt idx="12">
                  <c:v>2267</c:v>
                </c:pt>
                <c:pt idx="13">
                  <c:v>4268</c:v>
                </c:pt>
                <c:pt idx="14">
                  <c:v>62848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'10'!$D$6:$D$20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LID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BODY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'10'!$J$6:$J$20</c:f>
              <c:numCache>
                <c:formatCode>_(* #,##0_);_(* \(#,##0\);_(* "-"_);_(@_)</c:formatCode>
                <c:ptCount val="15"/>
                <c:pt idx="0">
                  <c:v>1030</c:v>
                </c:pt>
                <c:pt idx="1">
                  <c:v>1140</c:v>
                </c:pt>
                <c:pt idx="2">
                  <c:v>3290</c:v>
                </c:pt>
                <c:pt idx="3">
                  <c:v>3700</c:v>
                </c:pt>
                <c:pt idx="4">
                  <c:v>36150</c:v>
                </c:pt>
                <c:pt idx="5">
                  <c:v>650</c:v>
                </c:pt>
                <c:pt idx="6">
                  <c:v>4000</c:v>
                </c:pt>
                <c:pt idx="7">
                  <c:v>4690</c:v>
                </c:pt>
                <c:pt idx="8">
                  <c:v>2330</c:v>
                </c:pt>
                <c:pt idx="9">
                  <c:v>5560</c:v>
                </c:pt>
                <c:pt idx="10">
                  <c:v>5210</c:v>
                </c:pt>
                <c:pt idx="11">
                  <c:v>16150</c:v>
                </c:pt>
                <c:pt idx="12">
                  <c:v>2270</c:v>
                </c:pt>
                <c:pt idx="13">
                  <c:v>4270</c:v>
                </c:pt>
                <c:pt idx="14">
                  <c:v>62850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753984"/>
        <c:axId val="483371840"/>
      </c:lineChart>
      <c:catAx>
        <c:axId val="51575398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3371840"/>
        <c:crosses val="autoZero"/>
        <c:auto val="1"/>
        <c:lblAlgn val="ctr"/>
        <c:lblOffset val="100"/>
        <c:noMultiLvlLbl val="0"/>
      </c:catAx>
      <c:valAx>
        <c:axId val="48337184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15753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'10'!$AD$6:$AD$20</c:f>
              <c:strCache>
                <c:ptCount val="1"/>
                <c:pt idx="0">
                  <c:v>0% 25% 71% 79% 0% 0% 100% 87% 0% 100% 100% 83% 46% 92%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LID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BODY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'10'!$AD$6:$AD$20</c:f>
              <c:numCache>
                <c:formatCode>0%</c:formatCode>
                <c:ptCount val="15"/>
                <c:pt idx="0">
                  <c:v>0</c:v>
                </c:pt>
                <c:pt idx="1">
                  <c:v>0.24978070175438596</c:v>
                </c:pt>
                <c:pt idx="2">
                  <c:v>0.70661094224924015</c:v>
                </c:pt>
                <c:pt idx="3">
                  <c:v>0.78974099099099093</c:v>
                </c:pt>
                <c:pt idx="4">
                  <c:v>0</c:v>
                </c:pt>
                <c:pt idx="5">
                  <c:v>0</c:v>
                </c:pt>
                <c:pt idx="6">
                  <c:v>0.99875000000000003</c:v>
                </c:pt>
                <c:pt idx="7">
                  <c:v>0.87406716417910446</c:v>
                </c:pt>
                <c:pt idx="8">
                  <c:v>0</c:v>
                </c:pt>
                <c:pt idx="9">
                  <c:v>0.99874100719424463</c:v>
                </c:pt>
                <c:pt idx="10">
                  <c:v>0.99827255278310945</c:v>
                </c:pt>
                <c:pt idx="11">
                  <c:v>0.83323013415892677</c:v>
                </c:pt>
                <c:pt idx="12">
                  <c:v>0.45772760646108662</c:v>
                </c:pt>
                <c:pt idx="13">
                  <c:v>0.91623731459797031</c:v>
                </c:pt>
                <c:pt idx="14">
                  <c:v>0.9999681782020684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'10'!$D$6:$D$20</c:f>
              <c:strCache>
                <c:ptCount val="14"/>
                <c:pt idx="0">
                  <c:v>COVER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LID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BODY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'10'!$AE$6:$AE$20</c:f>
              <c:numCache>
                <c:formatCode>0%</c:formatCode>
                <c:ptCount val="15"/>
                <c:pt idx="0">
                  <c:v>0.58820843950474189</c:v>
                </c:pt>
                <c:pt idx="1">
                  <c:v>0.58820843950474189</c:v>
                </c:pt>
                <c:pt idx="2">
                  <c:v>0.58820843950474189</c:v>
                </c:pt>
                <c:pt idx="3">
                  <c:v>0.58820843950474189</c:v>
                </c:pt>
                <c:pt idx="4">
                  <c:v>0.58820843950474189</c:v>
                </c:pt>
                <c:pt idx="5">
                  <c:v>0.58820843950474189</c:v>
                </c:pt>
                <c:pt idx="6">
                  <c:v>0.58820843950474189</c:v>
                </c:pt>
                <c:pt idx="7">
                  <c:v>0.58820843950474189</c:v>
                </c:pt>
                <c:pt idx="8">
                  <c:v>0.58820843950474189</c:v>
                </c:pt>
                <c:pt idx="9">
                  <c:v>0.58820843950474189</c:v>
                </c:pt>
                <c:pt idx="10">
                  <c:v>0.58820843950474189</c:v>
                </c:pt>
                <c:pt idx="11">
                  <c:v>0.58820843950474189</c:v>
                </c:pt>
                <c:pt idx="12">
                  <c:v>0.58820843950474189</c:v>
                </c:pt>
                <c:pt idx="13">
                  <c:v>0.58820843950474189</c:v>
                </c:pt>
                <c:pt idx="14">
                  <c:v>0.58820843950474189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86240"/>
        <c:axId val="483373568"/>
      </c:lineChart>
      <c:catAx>
        <c:axId val="51738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3373568"/>
        <c:crosses val="autoZero"/>
        <c:auto val="1"/>
        <c:lblAlgn val="ctr"/>
        <c:lblOffset val="100"/>
        <c:noMultiLvlLbl val="0"/>
      </c:catAx>
      <c:valAx>
        <c:axId val="4833735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1738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387776"/>
        <c:axId val="48337587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87776"/>
        <c:axId val="483375872"/>
      </c:lineChart>
      <c:catAx>
        <c:axId val="51738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483375872"/>
        <c:crosses val="autoZero"/>
        <c:auto val="1"/>
        <c:lblAlgn val="ctr"/>
        <c:lblOffset val="100"/>
        <c:noMultiLvlLbl val="0"/>
      </c:catAx>
      <c:valAx>
        <c:axId val="4833758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1738777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'11'!$D$6:$D$20</c:f>
              <c:strCache>
                <c:ptCount val="14"/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Z280 ASSY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'11'!$L$6:$L$20</c:f>
              <c:numCache>
                <c:formatCode>_(* #,##0_);_(* \(#,##0\);_(* "-"_);_(@_)</c:formatCode>
                <c:ptCount val="15"/>
                <c:pt idx="0">
                  <c:v>3655</c:v>
                </c:pt>
                <c:pt idx="1">
                  <c:v>3909</c:v>
                </c:pt>
                <c:pt idx="3">
                  <c:v>5521</c:v>
                </c:pt>
                <c:pt idx="4">
                  <c:v>402</c:v>
                </c:pt>
                <c:pt idx="6">
                  <c:v>2189</c:v>
                </c:pt>
                <c:pt idx="7">
                  <c:v>5566</c:v>
                </c:pt>
                <c:pt idx="9">
                  <c:v>5546</c:v>
                </c:pt>
                <c:pt idx="10">
                  <c:v>5700</c:v>
                </c:pt>
                <c:pt idx="12">
                  <c:v>4655</c:v>
                </c:pt>
                <c:pt idx="13">
                  <c:v>5560</c:v>
                </c:pt>
                <c:pt idx="14">
                  <c:v>69828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'11'!$D$6:$D$20</c:f>
              <c:strCache>
                <c:ptCount val="14"/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Z280 ASSY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'11'!$J$6:$J$20</c:f>
              <c:numCache>
                <c:formatCode>_(* #,##0_);_(* \(#,##0\);_(* "-"_);_(@_)</c:formatCode>
                <c:ptCount val="15"/>
                <c:pt idx="0">
                  <c:v>3660</c:v>
                </c:pt>
                <c:pt idx="1">
                  <c:v>3910</c:v>
                </c:pt>
                <c:pt idx="2">
                  <c:v>3290</c:v>
                </c:pt>
                <c:pt idx="3">
                  <c:v>5530</c:v>
                </c:pt>
                <c:pt idx="4">
                  <c:v>402</c:v>
                </c:pt>
                <c:pt idx="5">
                  <c:v>650</c:v>
                </c:pt>
                <c:pt idx="6">
                  <c:v>2190</c:v>
                </c:pt>
                <c:pt idx="7">
                  <c:v>5570</c:v>
                </c:pt>
                <c:pt idx="8">
                  <c:v>2330</c:v>
                </c:pt>
                <c:pt idx="9">
                  <c:v>5550</c:v>
                </c:pt>
                <c:pt idx="10">
                  <c:v>5700</c:v>
                </c:pt>
                <c:pt idx="11">
                  <c:v>16150</c:v>
                </c:pt>
                <c:pt idx="12">
                  <c:v>4660</c:v>
                </c:pt>
                <c:pt idx="13">
                  <c:v>5560</c:v>
                </c:pt>
                <c:pt idx="14">
                  <c:v>69830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716608"/>
        <c:axId val="483485376"/>
      </c:lineChart>
      <c:catAx>
        <c:axId val="52371660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3485376"/>
        <c:crosses val="autoZero"/>
        <c:auto val="1"/>
        <c:lblAlgn val="ctr"/>
        <c:lblOffset val="100"/>
        <c:noMultiLvlLbl val="0"/>
      </c:catAx>
      <c:valAx>
        <c:axId val="48348537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2371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'11'!$AD$6:$AD$20</c:f>
              <c:strCache>
                <c:ptCount val="1"/>
                <c:pt idx="0">
                  <c:v>83% 79% 0% 100% 42% 0% 42% 100% 0% 100% 92% 0% 87% 100%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'11'!$D$6:$D$20</c:f>
              <c:strCache>
                <c:ptCount val="14"/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Z280 ASSY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'11'!$AD$6:$AD$20</c:f>
              <c:numCache>
                <c:formatCode>0%</c:formatCode>
                <c:ptCount val="15"/>
                <c:pt idx="0">
                  <c:v>0.83219489981785066</c:v>
                </c:pt>
                <c:pt idx="1">
                  <c:v>0.79146419437340143</c:v>
                </c:pt>
                <c:pt idx="2">
                  <c:v>0</c:v>
                </c:pt>
                <c:pt idx="3">
                  <c:v>0.99837251356238699</c:v>
                </c:pt>
                <c:pt idx="4">
                  <c:v>0.41666666666666669</c:v>
                </c:pt>
                <c:pt idx="5">
                  <c:v>0</c:v>
                </c:pt>
                <c:pt idx="6">
                  <c:v>0.41647640791476409</c:v>
                </c:pt>
                <c:pt idx="7">
                  <c:v>0.99928186714542189</c:v>
                </c:pt>
                <c:pt idx="8">
                  <c:v>0</c:v>
                </c:pt>
                <c:pt idx="9">
                  <c:v>0.99927927927927929</c:v>
                </c:pt>
                <c:pt idx="10">
                  <c:v>0.91666666666666663</c:v>
                </c:pt>
                <c:pt idx="11">
                  <c:v>0</c:v>
                </c:pt>
                <c:pt idx="12">
                  <c:v>0.87406115879828328</c:v>
                </c:pt>
                <c:pt idx="13">
                  <c:v>1</c:v>
                </c:pt>
                <c:pt idx="14">
                  <c:v>0.99997135901475009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'11'!$D$6:$D$20</c:f>
              <c:strCache>
                <c:ptCount val="14"/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Z280 ASSY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'11'!$AE$6:$AE$20</c:f>
              <c:numCache>
                <c:formatCode>0%</c:formatCode>
                <c:ptCount val="15"/>
                <c:pt idx="0">
                  <c:v>0.6162956675492981</c:v>
                </c:pt>
                <c:pt idx="1">
                  <c:v>0.6162956675492981</c:v>
                </c:pt>
                <c:pt idx="2">
                  <c:v>0.6162956675492981</c:v>
                </c:pt>
                <c:pt idx="3">
                  <c:v>0.6162956675492981</c:v>
                </c:pt>
                <c:pt idx="4">
                  <c:v>0.6162956675492981</c:v>
                </c:pt>
                <c:pt idx="5">
                  <c:v>0.6162956675492981</c:v>
                </c:pt>
                <c:pt idx="6">
                  <c:v>0.6162956675492981</c:v>
                </c:pt>
                <c:pt idx="7">
                  <c:v>0.6162956675492981</c:v>
                </c:pt>
                <c:pt idx="8">
                  <c:v>0.6162956675492981</c:v>
                </c:pt>
                <c:pt idx="9">
                  <c:v>0.6162956675492981</c:v>
                </c:pt>
                <c:pt idx="10">
                  <c:v>0.6162956675492981</c:v>
                </c:pt>
                <c:pt idx="11">
                  <c:v>0.6162956675492981</c:v>
                </c:pt>
                <c:pt idx="12">
                  <c:v>0.6162956675492981</c:v>
                </c:pt>
                <c:pt idx="13">
                  <c:v>0.6162956675492981</c:v>
                </c:pt>
                <c:pt idx="14">
                  <c:v>0.6162956675492981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718144"/>
        <c:axId val="483487104"/>
      </c:lineChart>
      <c:catAx>
        <c:axId val="52371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3487104"/>
        <c:crosses val="autoZero"/>
        <c:auto val="1"/>
        <c:lblAlgn val="ctr"/>
        <c:lblOffset val="100"/>
        <c:noMultiLvlLbl val="0"/>
      </c:catAx>
      <c:valAx>
        <c:axId val="4834871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23718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'11'!$D$6:$D$20</c:f>
              <c:strCache>
                <c:ptCount val="14"/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Z280 ASSY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'11'!$L$6:$L$20</c:f>
              <c:numCache>
                <c:formatCode>_(* #,##0_);_(* \(#,##0\);_(* "-"_);_(@_)</c:formatCode>
                <c:ptCount val="15"/>
                <c:pt idx="0">
                  <c:v>3655</c:v>
                </c:pt>
                <c:pt idx="1">
                  <c:v>3909</c:v>
                </c:pt>
                <c:pt idx="3">
                  <c:v>5521</c:v>
                </c:pt>
                <c:pt idx="4">
                  <c:v>402</c:v>
                </c:pt>
                <c:pt idx="6">
                  <c:v>2189</c:v>
                </c:pt>
                <c:pt idx="7">
                  <c:v>5566</c:v>
                </c:pt>
                <c:pt idx="9">
                  <c:v>5546</c:v>
                </c:pt>
                <c:pt idx="10">
                  <c:v>5700</c:v>
                </c:pt>
                <c:pt idx="12">
                  <c:v>4655</c:v>
                </c:pt>
                <c:pt idx="13">
                  <c:v>5560</c:v>
                </c:pt>
                <c:pt idx="14">
                  <c:v>69828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'11'!$D$6:$D$20</c:f>
              <c:strCache>
                <c:ptCount val="14"/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Z280 ASSY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'11'!$J$6:$J$20</c:f>
              <c:numCache>
                <c:formatCode>_(* #,##0_);_(* \(#,##0\);_(* "-"_);_(@_)</c:formatCode>
                <c:ptCount val="15"/>
                <c:pt idx="0">
                  <c:v>3660</c:v>
                </c:pt>
                <c:pt idx="1">
                  <c:v>3910</c:v>
                </c:pt>
                <c:pt idx="2">
                  <c:v>3290</c:v>
                </c:pt>
                <c:pt idx="3">
                  <c:v>5530</c:v>
                </c:pt>
                <c:pt idx="4">
                  <c:v>402</c:v>
                </c:pt>
                <c:pt idx="5">
                  <c:v>650</c:v>
                </c:pt>
                <c:pt idx="6">
                  <c:v>2190</c:v>
                </c:pt>
                <c:pt idx="7">
                  <c:v>5570</c:v>
                </c:pt>
                <c:pt idx="8">
                  <c:v>2330</c:v>
                </c:pt>
                <c:pt idx="9">
                  <c:v>5550</c:v>
                </c:pt>
                <c:pt idx="10">
                  <c:v>5700</c:v>
                </c:pt>
                <c:pt idx="11">
                  <c:v>16150</c:v>
                </c:pt>
                <c:pt idx="12">
                  <c:v>4660</c:v>
                </c:pt>
                <c:pt idx="13">
                  <c:v>5560</c:v>
                </c:pt>
                <c:pt idx="14">
                  <c:v>69830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57920"/>
        <c:axId val="483489408"/>
      </c:lineChart>
      <c:catAx>
        <c:axId val="52385792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3489408"/>
        <c:crosses val="autoZero"/>
        <c:auto val="1"/>
        <c:lblAlgn val="ctr"/>
        <c:lblOffset val="100"/>
        <c:noMultiLvlLbl val="0"/>
      </c:catAx>
      <c:valAx>
        <c:axId val="48348940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2385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'11'!$AD$6:$AD$20</c:f>
              <c:strCache>
                <c:ptCount val="1"/>
                <c:pt idx="0">
                  <c:v>83% 79% 0% 100% 42% 0% 42% 100% 0% 100% 92% 0% 87% 100%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'11'!$D$6:$D$20</c:f>
              <c:strCache>
                <c:ptCount val="14"/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Z280 ASSY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'11'!$AD$6:$AD$20</c:f>
              <c:numCache>
                <c:formatCode>0%</c:formatCode>
                <c:ptCount val="15"/>
                <c:pt idx="0">
                  <c:v>0.83219489981785066</c:v>
                </c:pt>
                <c:pt idx="1">
                  <c:v>0.79146419437340143</c:v>
                </c:pt>
                <c:pt idx="2">
                  <c:v>0</c:v>
                </c:pt>
                <c:pt idx="3">
                  <c:v>0.99837251356238699</c:v>
                </c:pt>
                <c:pt idx="4">
                  <c:v>0.41666666666666669</c:v>
                </c:pt>
                <c:pt idx="5">
                  <c:v>0</c:v>
                </c:pt>
                <c:pt idx="6">
                  <c:v>0.41647640791476409</c:v>
                </c:pt>
                <c:pt idx="7">
                  <c:v>0.99928186714542189</c:v>
                </c:pt>
                <c:pt idx="8">
                  <c:v>0</c:v>
                </c:pt>
                <c:pt idx="9">
                  <c:v>0.99927927927927929</c:v>
                </c:pt>
                <c:pt idx="10">
                  <c:v>0.91666666666666663</c:v>
                </c:pt>
                <c:pt idx="11">
                  <c:v>0</c:v>
                </c:pt>
                <c:pt idx="12">
                  <c:v>0.87406115879828328</c:v>
                </c:pt>
                <c:pt idx="13">
                  <c:v>1</c:v>
                </c:pt>
                <c:pt idx="14">
                  <c:v>0.99997135901475009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'11'!$D$6:$D$20</c:f>
              <c:strCache>
                <c:ptCount val="14"/>
                <c:pt idx="1">
                  <c:v>LEAD GUIDE</c:v>
                </c:pt>
                <c:pt idx="2">
                  <c:v>STOPPER</c:v>
                </c:pt>
                <c:pt idx="3">
                  <c:v>SLIDER</c:v>
                </c:pt>
                <c:pt idx="4">
                  <c:v>Z280 ASSY</c:v>
                </c:pt>
                <c:pt idx="5">
                  <c:v>ADAPTER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'11'!$AE$6:$AE$20</c:f>
              <c:numCache>
                <c:formatCode>0%</c:formatCode>
                <c:ptCount val="15"/>
                <c:pt idx="0">
                  <c:v>0.6162956675492981</c:v>
                </c:pt>
                <c:pt idx="1">
                  <c:v>0.6162956675492981</c:v>
                </c:pt>
                <c:pt idx="2">
                  <c:v>0.6162956675492981</c:v>
                </c:pt>
                <c:pt idx="3">
                  <c:v>0.6162956675492981</c:v>
                </c:pt>
                <c:pt idx="4">
                  <c:v>0.6162956675492981</c:v>
                </c:pt>
                <c:pt idx="5">
                  <c:v>0.6162956675492981</c:v>
                </c:pt>
                <c:pt idx="6">
                  <c:v>0.6162956675492981</c:v>
                </c:pt>
                <c:pt idx="7">
                  <c:v>0.6162956675492981</c:v>
                </c:pt>
                <c:pt idx="8">
                  <c:v>0.6162956675492981</c:v>
                </c:pt>
                <c:pt idx="9">
                  <c:v>0.6162956675492981</c:v>
                </c:pt>
                <c:pt idx="10">
                  <c:v>0.6162956675492981</c:v>
                </c:pt>
                <c:pt idx="11">
                  <c:v>0.6162956675492981</c:v>
                </c:pt>
                <c:pt idx="12">
                  <c:v>0.6162956675492981</c:v>
                </c:pt>
                <c:pt idx="13">
                  <c:v>0.6162956675492981</c:v>
                </c:pt>
                <c:pt idx="14">
                  <c:v>0.6162956675492981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58944"/>
        <c:axId val="483491136"/>
      </c:lineChart>
      <c:catAx>
        <c:axId val="52385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3491136"/>
        <c:crosses val="autoZero"/>
        <c:auto val="1"/>
        <c:lblAlgn val="ctr"/>
        <c:lblOffset val="100"/>
        <c:noMultiLvlLbl val="0"/>
      </c:catAx>
      <c:valAx>
        <c:axId val="4834911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23858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388288"/>
        <c:axId val="48369836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88288"/>
        <c:axId val="483698368"/>
      </c:lineChart>
      <c:catAx>
        <c:axId val="5173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483698368"/>
        <c:crosses val="autoZero"/>
        <c:auto val="1"/>
        <c:lblAlgn val="ctr"/>
        <c:lblOffset val="100"/>
        <c:noMultiLvlLbl val="0"/>
      </c:catAx>
      <c:valAx>
        <c:axId val="4836983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1738828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'13'!$D$6:$D$21</c:f>
              <c:strCache>
                <c:ptCount val="15"/>
                <c:pt idx="1">
                  <c:v>203T</c:v>
                </c:pt>
                <c:pt idx="2">
                  <c:v>LEAD GUIDE</c:v>
                </c:pt>
                <c:pt idx="3">
                  <c:v>STOPPER</c:v>
                </c:pt>
                <c:pt idx="4">
                  <c:v>SLIDER</c:v>
                </c:pt>
                <c:pt idx="5">
                  <c:v>Z280 ASSY</c:v>
                </c:pt>
                <c:pt idx="6">
                  <c:v>SLIDER</c:v>
                </c:pt>
                <c:pt idx="7">
                  <c:v>BASE</c:v>
                </c:pt>
                <c:pt idx="8">
                  <c:v>BODY</c:v>
                </c:pt>
                <c:pt idx="9">
                  <c:v>COVER</c:v>
                </c:pt>
                <c:pt idx="10">
                  <c:v>SAM</c:v>
                </c:pt>
                <c:pt idx="11">
                  <c:v>STOPPER</c:v>
                </c:pt>
                <c:pt idx="12">
                  <c:v>COVER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'13'!$L$6:$L$21</c:f>
              <c:numCache>
                <c:formatCode>_(* #,##0_);_(* \(#,##0\);_(* "-"_);_(@_)</c:formatCode>
                <c:ptCount val="16"/>
                <c:pt idx="0">
                  <c:v>1127</c:v>
                </c:pt>
                <c:pt idx="1">
                  <c:v>7182</c:v>
                </c:pt>
                <c:pt idx="2">
                  <c:v>2650</c:v>
                </c:pt>
                <c:pt idx="3">
                  <c:v>3046</c:v>
                </c:pt>
                <c:pt idx="4">
                  <c:v>1619</c:v>
                </c:pt>
                <c:pt idx="7">
                  <c:v>1746</c:v>
                </c:pt>
                <c:pt idx="8">
                  <c:v>4846</c:v>
                </c:pt>
                <c:pt idx="10">
                  <c:v>3393</c:v>
                </c:pt>
                <c:pt idx="13">
                  <c:v>5078</c:v>
                </c:pt>
                <c:pt idx="14">
                  <c:v>3692</c:v>
                </c:pt>
                <c:pt idx="15">
                  <c:v>45160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'13'!$D$6:$D$21</c:f>
              <c:strCache>
                <c:ptCount val="15"/>
                <c:pt idx="1">
                  <c:v>203T</c:v>
                </c:pt>
                <c:pt idx="2">
                  <c:v>LEAD GUIDE</c:v>
                </c:pt>
                <c:pt idx="3">
                  <c:v>STOPPER</c:v>
                </c:pt>
                <c:pt idx="4">
                  <c:v>SLIDER</c:v>
                </c:pt>
                <c:pt idx="5">
                  <c:v>Z280 ASSY</c:v>
                </c:pt>
                <c:pt idx="6">
                  <c:v>SLIDER</c:v>
                </c:pt>
                <c:pt idx="7">
                  <c:v>BASE</c:v>
                </c:pt>
                <c:pt idx="8">
                  <c:v>BODY</c:v>
                </c:pt>
                <c:pt idx="9">
                  <c:v>COVER</c:v>
                </c:pt>
                <c:pt idx="10">
                  <c:v>SAM</c:v>
                </c:pt>
                <c:pt idx="11">
                  <c:v>STOPPER</c:v>
                </c:pt>
                <c:pt idx="12">
                  <c:v>COVER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'13'!$J$6:$J$21</c:f>
              <c:numCache>
                <c:formatCode>_(* #,##0_);_(* \(#,##0\);_(* "-"_);_(@_)</c:formatCode>
                <c:ptCount val="16"/>
                <c:pt idx="0">
                  <c:v>1130</c:v>
                </c:pt>
                <c:pt idx="1">
                  <c:v>7190</c:v>
                </c:pt>
                <c:pt idx="2">
                  <c:v>2650</c:v>
                </c:pt>
                <c:pt idx="3">
                  <c:v>3050</c:v>
                </c:pt>
                <c:pt idx="4">
                  <c:v>1620</c:v>
                </c:pt>
                <c:pt idx="5">
                  <c:v>402</c:v>
                </c:pt>
                <c:pt idx="6">
                  <c:v>650</c:v>
                </c:pt>
                <c:pt idx="7">
                  <c:v>1750</c:v>
                </c:pt>
                <c:pt idx="8">
                  <c:v>4850</c:v>
                </c:pt>
                <c:pt idx="9">
                  <c:v>2330</c:v>
                </c:pt>
                <c:pt idx="10">
                  <c:v>3400</c:v>
                </c:pt>
                <c:pt idx="11">
                  <c:v>5700</c:v>
                </c:pt>
                <c:pt idx="12">
                  <c:v>16150</c:v>
                </c:pt>
                <c:pt idx="13">
                  <c:v>5080</c:v>
                </c:pt>
                <c:pt idx="14">
                  <c:v>3700</c:v>
                </c:pt>
                <c:pt idx="15">
                  <c:v>45160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776000"/>
        <c:axId val="483701248"/>
      </c:lineChart>
      <c:catAx>
        <c:axId val="53177600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3701248"/>
        <c:crosses val="autoZero"/>
        <c:auto val="1"/>
        <c:lblAlgn val="ctr"/>
        <c:lblOffset val="100"/>
        <c:noMultiLvlLbl val="0"/>
      </c:catAx>
      <c:valAx>
        <c:axId val="4837012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31776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'13'!$AD$6:$AD$21</c:f>
              <c:strCache>
                <c:ptCount val="1"/>
                <c:pt idx="0">
                  <c:v>25% 67% 71% 62% 42% 0% 0% 42% 100% 0% 67% 0% 0% 100% 79% 88%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'13'!$D$6:$D$21</c:f>
              <c:strCache>
                <c:ptCount val="15"/>
                <c:pt idx="1">
                  <c:v>203T</c:v>
                </c:pt>
                <c:pt idx="2">
                  <c:v>LEAD GUIDE</c:v>
                </c:pt>
                <c:pt idx="3">
                  <c:v>STOPPER</c:v>
                </c:pt>
                <c:pt idx="4">
                  <c:v>SLIDER</c:v>
                </c:pt>
                <c:pt idx="5">
                  <c:v>Z280 ASSY</c:v>
                </c:pt>
                <c:pt idx="6">
                  <c:v>SLIDER</c:v>
                </c:pt>
                <c:pt idx="7">
                  <c:v>BASE</c:v>
                </c:pt>
                <c:pt idx="8">
                  <c:v>BODY</c:v>
                </c:pt>
                <c:pt idx="9">
                  <c:v>COVER</c:v>
                </c:pt>
                <c:pt idx="10">
                  <c:v>SAM</c:v>
                </c:pt>
                <c:pt idx="11">
                  <c:v>STOPPER</c:v>
                </c:pt>
                <c:pt idx="12">
                  <c:v>COVER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'13'!$AD$6:$AD$21</c:f>
              <c:numCache>
                <c:formatCode>0%</c:formatCode>
                <c:ptCount val="16"/>
                <c:pt idx="0">
                  <c:v>0.2493362831858407</c:v>
                </c:pt>
                <c:pt idx="1">
                  <c:v>0.66592489568845614</c:v>
                </c:pt>
                <c:pt idx="2">
                  <c:v>0.70833333333333337</c:v>
                </c:pt>
                <c:pt idx="3">
                  <c:v>0.62418032786885247</c:v>
                </c:pt>
                <c:pt idx="4">
                  <c:v>0.41640946502057613</c:v>
                </c:pt>
                <c:pt idx="5">
                  <c:v>0</c:v>
                </c:pt>
                <c:pt idx="6">
                  <c:v>0</c:v>
                </c:pt>
                <c:pt idx="7">
                  <c:v>0.4157142857142857</c:v>
                </c:pt>
                <c:pt idx="8">
                  <c:v>0.99917525773195881</c:v>
                </c:pt>
                <c:pt idx="9">
                  <c:v>0</c:v>
                </c:pt>
                <c:pt idx="10">
                  <c:v>0.66529411764705881</c:v>
                </c:pt>
                <c:pt idx="11">
                  <c:v>0</c:v>
                </c:pt>
                <c:pt idx="12">
                  <c:v>0</c:v>
                </c:pt>
                <c:pt idx="13">
                  <c:v>0.99960629921259847</c:v>
                </c:pt>
                <c:pt idx="14">
                  <c:v>0.78995495495495494</c:v>
                </c:pt>
                <c:pt idx="15">
                  <c:v>0.875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'13'!$D$6:$D$21</c:f>
              <c:strCache>
                <c:ptCount val="15"/>
                <c:pt idx="1">
                  <c:v>203T</c:v>
                </c:pt>
                <c:pt idx="2">
                  <c:v>LEAD GUIDE</c:v>
                </c:pt>
                <c:pt idx="3">
                  <c:v>STOPPER</c:v>
                </c:pt>
                <c:pt idx="4">
                  <c:v>SLIDER</c:v>
                </c:pt>
                <c:pt idx="5">
                  <c:v>Z280 ASSY</c:v>
                </c:pt>
                <c:pt idx="6">
                  <c:v>SLIDER</c:v>
                </c:pt>
                <c:pt idx="7">
                  <c:v>BASE</c:v>
                </c:pt>
                <c:pt idx="8">
                  <c:v>BODY</c:v>
                </c:pt>
                <c:pt idx="9">
                  <c:v>COVER</c:v>
                </c:pt>
                <c:pt idx="10">
                  <c:v>SAM</c:v>
                </c:pt>
                <c:pt idx="11">
                  <c:v>STOPPER</c:v>
                </c:pt>
                <c:pt idx="12">
                  <c:v>COVER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'13'!$AE$6:$AE$21</c:f>
              <c:numCache>
                <c:formatCode>0%</c:formatCode>
                <c:ptCount val="16"/>
                <c:pt idx="0">
                  <c:v>0.49392861469052768</c:v>
                </c:pt>
                <c:pt idx="1">
                  <c:v>0.49392861469052768</c:v>
                </c:pt>
                <c:pt idx="2">
                  <c:v>0.49392861469052768</c:v>
                </c:pt>
                <c:pt idx="3">
                  <c:v>0.49392861469052768</c:v>
                </c:pt>
                <c:pt idx="4">
                  <c:v>0.49392861469052768</c:v>
                </c:pt>
                <c:pt idx="5">
                  <c:v>0.49392861469052768</c:v>
                </c:pt>
                <c:pt idx="6">
                  <c:v>0.49392861469052768</c:v>
                </c:pt>
                <c:pt idx="7">
                  <c:v>0.49392861469052768</c:v>
                </c:pt>
                <c:pt idx="8">
                  <c:v>0.49392861469052768</c:v>
                </c:pt>
                <c:pt idx="9">
                  <c:v>0.49392861469052768</c:v>
                </c:pt>
                <c:pt idx="10">
                  <c:v>0.49392861469052768</c:v>
                </c:pt>
                <c:pt idx="11">
                  <c:v>0.49392861469052768</c:v>
                </c:pt>
                <c:pt idx="12">
                  <c:v>0.49392861469052768</c:v>
                </c:pt>
                <c:pt idx="13">
                  <c:v>0.49392861469052768</c:v>
                </c:pt>
                <c:pt idx="14">
                  <c:v>0.49392861469052768</c:v>
                </c:pt>
                <c:pt idx="15">
                  <c:v>0.49392861469052768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778048"/>
        <c:axId val="483702976"/>
      </c:lineChart>
      <c:catAx>
        <c:axId val="53177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3702976"/>
        <c:crosses val="autoZero"/>
        <c:auto val="1"/>
        <c:lblAlgn val="ctr"/>
        <c:lblOffset val="100"/>
        <c:noMultiLvlLbl val="0"/>
      </c:catAx>
      <c:valAx>
        <c:axId val="4837029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3177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'01'!$AD$6:$AD$21</c:f>
              <c:strCache>
                <c:ptCount val="1"/>
                <c:pt idx="0">
                  <c:v>0% 33% 87% 100% 79% 16% 46% 100% 0% 21% 0% 79% 75% 42%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'01'!$D$6:$D$21</c:f>
              <c:strCache>
                <c:ptCount val="15"/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TOP</c:v>
                </c:pt>
                <c:pt idx="6">
                  <c:v>BOTTOM</c:v>
                </c:pt>
                <c:pt idx="7">
                  <c:v>BASE</c:v>
                </c:pt>
                <c:pt idx="8">
                  <c:v>ACTUATOR</c:v>
                </c:pt>
                <c:pt idx="9">
                  <c:v>BASE</c:v>
                </c:pt>
                <c:pt idx="10">
                  <c:v>BOTTOM</c:v>
                </c:pt>
                <c:pt idx="11">
                  <c:v>LATCH</c:v>
                </c:pt>
                <c:pt idx="12">
                  <c:v>FLOAT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'01'!$AD$6:$AD$21</c:f>
              <c:numCache>
                <c:formatCode>0%</c:formatCode>
                <c:ptCount val="16"/>
                <c:pt idx="0">
                  <c:v>0</c:v>
                </c:pt>
                <c:pt idx="1">
                  <c:v>0.33308080808080809</c:v>
                </c:pt>
                <c:pt idx="2">
                  <c:v>0.87389520202020199</c:v>
                </c:pt>
                <c:pt idx="3">
                  <c:v>1</c:v>
                </c:pt>
                <c:pt idx="4">
                  <c:v>0.79014003673094579</c:v>
                </c:pt>
                <c:pt idx="5">
                  <c:v>0.16464646464646465</c:v>
                </c:pt>
                <c:pt idx="6">
                  <c:v>0.45706018518518515</c:v>
                </c:pt>
                <c:pt idx="7">
                  <c:v>0.99786223277909736</c:v>
                </c:pt>
                <c:pt idx="8">
                  <c:v>0</c:v>
                </c:pt>
                <c:pt idx="9">
                  <c:v>0.20833333333333334</c:v>
                </c:pt>
                <c:pt idx="10">
                  <c:v>0</c:v>
                </c:pt>
                <c:pt idx="11">
                  <c:v>0.79166666666666663</c:v>
                </c:pt>
                <c:pt idx="12">
                  <c:v>0.75</c:v>
                </c:pt>
                <c:pt idx="13">
                  <c:v>0.41640786749482406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'01'!$D$6:$D$21</c:f>
              <c:strCache>
                <c:ptCount val="15"/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TOP</c:v>
                </c:pt>
                <c:pt idx="6">
                  <c:v>BOTTOM</c:v>
                </c:pt>
                <c:pt idx="7">
                  <c:v>BASE</c:v>
                </c:pt>
                <c:pt idx="8">
                  <c:v>ACTUATOR</c:v>
                </c:pt>
                <c:pt idx="9">
                  <c:v>BASE</c:v>
                </c:pt>
                <c:pt idx="10">
                  <c:v>BOTTOM</c:v>
                </c:pt>
                <c:pt idx="11">
                  <c:v>LATCH</c:v>
                </c:pt>
                <c:pt idx="12">
                  <c:v>FLOAT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'01'!$AE$6:$AE$21</c:f>
              <c:numCache>
                <c:formatCode>0%</c:formatCode>
                <c:ptCount val="16"/>
                <c:pt idx="0">
                  <c:v>0.51887285312916853</c:v>
                </c:pt>
                <c:pt idx="1">
                  <c:v>0.51887285312916853</c:v>
                </c:pt>
                <c:pt idx="2">
                  <c:v>0.51887285312916853</c:v>
                </c:pt>
                <c:pt idx="3">
                  <c:v>0.51887285312916853</c:v>
                </c:pt>
                <c:pt idx="4">
                  <c:v>0.51887285312916853</c:v>
                </c:pt>
                <c:pt idx="5">
                  <c:v>0.51887285312916853</c:v>
                </c:pt>
                <c:pt idx="6">
                  <c:v>0.51887285312916853</c:v>
                </c:pt>
                <c:pt idx="7">
                  <c:v>0.51887285312916853</c:v>
                </c:pt>
                <c:pt idx="8">
                  <c:v>0.51887285312916853</c:v>
                </c:pt>
                <c:pt idx="9">
                  <c:v>0.51887285312916853</c:v>
                </c:pt>
                <c:pt idx="10">
                  <c:v>0.51887285312916853</c:v>
                </c:pt>
                <c:pt idx="11">
                  <c:v>0.51887285312916853</c:v>
                </c:pt>
                <c:pt idx="12">
                  <c:v>0.51887285312916853</c:v>
                </c:pt>
                <c:pt idx="13">
                  <c:v>0.51887285312916853</c:v>
                </c:pt>
                <c:pt idx="14">
                  <c:v>0.51887285312916853</c:v>
                </c:pt>
                <c:pt idx="15">
                  <c:v>0.51887285312916853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845952"/>
        <c:axId val="644841472"/>
      </c:lineChart>
      <c:catAx>
        <c:axId val="3268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644841472"/>
        <c:crosses val="autoZero"/>
        <c:auto val="1"/>
        <c:lblAlgn val="ctr"/>
        <c:lblOffset val="100"/>
        <c:noMultiLvlLbl val="0"/>
      </c:catAx>
      <c:valAx>
        <c:axId val="644841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2684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'13'!$D$6:$D$21</c:f>
              <c:strCache>
                <c:ptCount val="15"/>
                <c:pt idx="1">
                  <c:v>203T</c:v>
                </c:pt>
                <c:pt idx="2">
                  <c:v>LEAD GUIDE</c:v>
                </c:pt>
                <c:pt idx="3">
                  <c:v>STOPPER</c:v>
                </c:pt>
                <c:pt idx="4">
                  <c:v>SLIDER</c:v>
                </c:pt>
                <c:pt idx="5">
                  <c:v>Z280 ASSY</c:v>
                </c:pt>
                <c:pt idx="6">
                  <c:v>SLIDER</c:v>
                </c:pt>
                <c:pt idx="7">
                  <c:v>BASE</c:v>
                </c:pt>
                <c:pt idx="8">
                  <c:v>BODY</c:v>
                </c:pt>
                <c:pt idx="9">
                  <c:v>COVER</c:v>
                </c:pt>
                <c:pt idx="10">
                  <c:v>SAM</c:v>
                </c:pt>
                <c:pt idx="11">
                  <c:v>STOPPER</c:v>
                </c:pt>
                <c:pt idx="12">
                  <c:v>COVER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'13'!$L$6:$L$21</c:f>
              <c:numCache>
                <c:formatCode>_(* #,##0_);_(* \(#,##0\);_(* "-"_);_(@_)</c:formatCode>
                <c:ptCount val="16"/>
                <c:pt idx="0">
                  <c:v>1127</c:v>
                </c:pt>
                <c:pt idx="1">
                  <c:v>7182</c:v>
                </c:pt>
                <c:pt idx="2">
                  <c:v>2650</c:v>
                </c:pt>
                <c:pt idx="3">
                  <c:v>3046</c:v>
                </c:pt>
                <c:pt idx="4">
                  <c:v>1619</c:v>
                </c:pt>
                <c:pt idx="7">
                  <c:v>1746</c:v>
                </c:pt>
                <c:pt idx="8">
                  <c:v>4846</c:v>
                </c:pt>
                <c:pt idx="10">
                  <c:v>3393</c:v>
                </c:pt>
                <c:pt idx="13">
                  <c:v>5078</c:v>
                </c:pt>
                <c:pt idx="14">
                  <c:v>3692</c:v>
                </c:pt>
                <c:pt idx="15">
                  <c:v>45160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'13'!$D$6:$D$21</c:f>
              <c:strCache>
                <c:ptCount val="15"/>
                <c:pt idx="1">
                  <c:v>203T</c:v>
                </c:pt>
                <c:pt idx="2">
                  <c:v>LEAD GUIDE</c:v>
                </c:pt>
                <c:pt idx="3">
                  <c:v>STOPPER</c:v>
                </c:pt>
                <c:pt idx="4">
                  <c:v>SLIDER</c:v>
                </c:pt>
                <c:pt idx="5">
                  <c:v>Z280 ASSY</c:v>
                </c:pt>
                <c:pt idx="6">
                  <c:v>SLIDER</c:v>
                </c:pt>
                <c:pt idx="7">
                  <c:v>BASE</c:v>
                </c:pt>
                <c:pt idx="8">
                  <c:v>BODY</c:v>
                </c:pt>
                <c:pt idx="9">
                  <c:v>COVER</c:v>
                </c:pt>
                <c:pt idx="10">
                  <c:v>SAM</c:v>
                </c:pt>
                <c:pt idx="11">
                  <c:v>STOPPER</c:v>
                </c:pt>
                <c:pt idx="12">
                  <c:v>COVER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'13'!$J$6:$J$21</c:f>
              <c:numCache>
                <c:formatCode>_(* #,##0_);_(* \(#,##0\);_(* "-"_);_(@_)</c:formatCode>
                <c:ptCount val="16"/>
                <c:pt idx="0">
                  <c:v>1130</c:v>
                </c:pt>
                <c:pt idx="1">
                  <c:v>7190</c:v>
                </c:pt>
                <c:pt idx="2">
                  <c:v>2650</c:v>
                </c:pt>
                <c:pt idx="3">
                  <c:v>3050</c:v>
                </c:pt>
                <c:pt idx="4">
                  <c:v>1620</c:v>
                </c:pt>
                <c:pt idx="5">
                  <c:v>402</c:v>
                </c:pt>
                <c:pt idx="6">
                  <c:v>650</c:v>
                </c:pt>
                <c:pt idx="7">
                  <c:v>1750</c:v>
                </c:pt>
                <c:pt idx="8">
                  <c:v>4850</c:v>
                </c:pt>
                <c:pt idx="9">
                  <c:v>2330</c:v>
                </c:pt>
                <c:pt idx="10">
                  <c:v>3400</c:v>
                </c:pt>
                <c:pt idx="11">
                  <c:v>5700</c:v>
                </c:pt>
                <c:pt idx="12">
                  <c:v>16150</c:v>
                </c:pt>
                <c:pt idx="13">
                  <c:v>5080</c:v>
                </c:pt>
                <c:pt idx="14">
                  <c:v>3700</c:v>
                </c:pt>
                <c:pt idx="15">
                  <c:v>45160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778560"/>
        <c:axId val="485818944"/>
      </c:lineChart>
      <c:catAx>
        <c:axId val="53177856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5818944"/>
        <c:crosses val="autoZero"/>
        <c:auto val="1"/>
        <c:lblAlgn val="ctr"/>
        <c:lblOffset val="100"/>
        <c:noMultiLvlLbl val="0"/>
      </c:catAx>
      <c:valAx>
        <c:axId val="48581894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3177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'13'!$AD$6:$AD$21</c:f>
              <c:strCache>
                <c:ptCount val="1"/>
                <c:pt idx="0">
                  <c:v>25% 67% 71% 62% 42% 0% 0% 42% 100% 0% 67% 0% 0% 100% 79% 88%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'13'!$D$6:$D$21</c:f>
              <c:strCache>
                <c:ptCount val="15"/>
                <c:pt idx="1">
                  <c:v>203T</c:v>
                </c:pt>
                <c:pt idx="2">
                  <c:v>LEAD GUIDE</c:v>
                </c:pt>
                <c:pt idx="3">
                  <c:v>STOPPER</c:v>
                </c:pt>
                <c:pt idx="4">
                  <c:v>SLIDER</c:v>
                </c:pt>
                <c:pt idx="5">
                  <c:v>Z280 ASSY</c:v>
                </c:pt>
                <c:pt idx="6">
                  <c:v>SLIDER</c:v>
                </c:pt>
                <c:pt idx="7">
                  <c:v>BASE</c:v>
                </c:pt>
                <c:pt idx="8">
                  <c:v>BODY</c:v>
                </c:pt>
                <c:pt idx="9">
                  <c:v>COVER</c:v>
                </c:pt>
                <c:pt idx="10">
                  <c:v>SAM</c:v>
                </c:pt>
                <c:pt idx="11">
                  <c:v>STOPPER</c:v>
                </c:pt>
                <c:pt idx="12">
                  <c:v>COVER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'13'!$AD$6:$AD$21</c:f>
              <c:numCache>
                <c:formatCode>0%</c:formatCode>
                <c:ptCount val="16"/>
                <c:pt idx="0">
                  <c:v>0.2493362831858407</c:v>
                </c:pt>
                <c:pt idx="1">
                  <c:v>0.66592489568845614</c:v>
                </c:pt>
                <c:pt idx="2">
                  <c:v>0.70833333333333337</c:v>
                </c:pt>
                <c:pt idx="3">
                  <c:v>0.62418032786885247</c:v>
                </c:pt>
                <c:pt idx="4">
                  <c:v>0.41640946502057613</c:v>
                </c:pt>
                <c:pt idx="5">
                  <c:v>0</c:v>
                </c:pt>
                <c:pt idx="6">
                  <c:v>0</c:v>
                </c:pt>
                <c:pt idx="7">
                  <c:v>0.4157142857142857</c:v>
                </c:pt>
                <c:pt idx="8">
                  <c:v>0.99917525773195881</c:v>
                </c:pt>
                <c:pt idx="9">
                  <c:v>0</c:v>
                </c:pt>
                <c:pt idx="10">
                  <c:v>0.66529411764705881</c:v>
                </c:pt>
                <c:pt idx="11">
                  <c:v>0</c:v>
                </c:pt>
                <c:pt idx="12">
                  <c:v>0</c:v>
                </c:pt>
                <c:pt idx="13">
                  <c:v>0.99960629921259847</c:v>
                </c:pt>
                <c:pt idx="14">
                  <c:v>0.78995495495495494</c:v>
                </c:pt>
                <c:pt idx="15">
                  <c:v>0.875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'13'!$D$6:$D$21</c:f>
              <c:strCache>
                <c:ptCount val="15"/>
                <c:pt idx="1">
                  <c:v>203T</c:v>
                </c:pt>
                <c:pt idx="2">
                  <c:v>LEAD GUIDE</c:v>
                </c:pt>
                <c:pt idx="3">
                  <c:v>STOPPER</c:v>
                </c:pt>
                <c:pt idx="4">
                  <c:v>SLIDER</c:v>
                </c:pt>
                <c:pt idx="5">
                  <c:v>Z280 ASSY</c:v>
                </c:pt>
                <c:pt idx="6">
                  <c:v>SLIDER</c:v>
                </c:pt>
                <c:pt idx="7">
                  <c:v>BASE</c:v>
                </c:pt>
                <c:pt idx="8">
                  <c:v>BODY</c:v>
                </c:pt>
                <c:pt idx="9">
                  <c:v>COVER</c:v>
                </c:pt>
                <c:pt idx="10">
                  <c:v>SAM</c:v>
                </c:pt>
                <c:pt idx="11">
                  <c:v>STOPPER</c:v>
                </c:pt>
                <c:pt idx="12">
                  <c:v>COVER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'13'!$AE$6:$AE$21</c:f>
              <c:numCache>
                <c:formatCode>0%</c:formatCode>
                <c:ptCount val="16"/>
                <c:pt idx="0">
                  <c:v>0.49392861469052768</c:v>
                </c:pt>
                <c:pt idx="1">
                  <c:v>0.49392861469052768</c:v>
                </c:pt>
                <c:pt idx="2">
                  <c:v>0.49392861469052768</c:v>
                </c:pt>
                <c:pt idx="3">
                  <c:v>0.49392861469052768</c:v>
                </c:pt>
                <c:pt idx="4">
                  <c:v>0.49392861469052768</c:v>
                </c:pt>
                <c:pt idx="5">
                  <c:v>0.49392861469052768</c:v>
                </c:pt>
                <c:pt idx="6">
                  <c:v>0.49392861469052768</c:v>
                </c:pt>
                <c:pt idx="7">
                  <c:v>0.49392861469052768</c:v>
                </c:pt>
                <c:pt idx="8">
                  <c:v>0.49392861469052768</c:v>
                </c:pt>
                <c:pt idx="9">
                  <c:v>0.49392861469052768</c:v>
                </c:pt>
                <c:pt idx="10">
                  <c:v>0.49392861469052768</c:v>
                </c:pt>
                <c:pt idx="11">
                  <c:v>0.49392861469052768</c:v>
                </c:pt>
                <c:pt idx="12">
                  <c:v>0.49392861469052768</c:v>
                </c:pt>
                <c:pt idx="13">
                  <c:v>0.49392861469052768</c:v>
                </c:pt>
                <c:pt idx="14">
                  <c:v>0.49392861469052768</c:v>
                </c:pt>
                <c:pt idx="15">
                  <c:v>0.49392861469052768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742144"/>
        <c:axId val="485820672"/>
      </c:lineChart>
      <c:catAx>
        <c:axId val="53274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5820672"/>
        <c:crosses val="autoZero"/>
        <c:auto val="1"/>
        <c:lblAlgn val="ctr"/>
        <c:lblOffset val="100"/>
        <c:noMultiLvlLbl val="0"/>
      </c:catAx>
      <c:valAx>
        <c:axId val="4858206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32742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742656"/>
        <c:axId val="48582297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742656"/>
        <c:axId val="485822976"/>
      </c:lineChart>
      <c:catAx>
        <c:axId val="53274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485822976"/>
        <c:crosses val="autoZero"/>
        <c:auto val="1"/>
        <c:lblAlgn val="ctr"/>
        <c:lblOffset val="100"/>
        <c:noMultiLvlLbl val="0"/>
      </c:catAx>
      <c:valAx>
        <c:axId val="4858229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274265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'14'!$D$6:$D$20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'14'!$L$6:$L$20</c:f>
              <c:numCache>
                <c:formatCode>_(* #,##0_);_(* \(#,##0\);_(* "-"_);_(@_)</c:formatCode>
                <c:ptCount val="15"/>
                <c:pt idx="0">
                  <c:v>15369</c:v>
                </c:pt>
                <c:pt idx="1">
                  <c:v>7935</c:v>
                </c:pt>
                <c:pt idx="2">
                  <c:v>3623</c:v>
                </c:pt>
                <c:pt idx="3">
                  <c:v>2742</c:v>
                </c:pt>
                <c:pt idx="4">
                  <c:v>959</c:v>
                </c:pt>
                <c:pt idx="5">
                  <c:v>0</c:v>
                </c:pt>
                <c:pt idx="6">
                  <c:v>3380</c:v>
                </c:pt>
                <c:pt idx="7">
                  <c:v>5198</c:v>
                </c:pt>
                <c:pt idx="9">
                  <c:v>5587</c:v>
                </c:pt>
                <c:pt idx="10">
                  <c:v>0</c:v>
                </c:pt>
                <c:pt idx="12">
                  <c:v>10810</c:v>
                </c:pt>
                <c:pt idx="13">
                  <c:v>342</c:v>
                </c:pt>
                <c:pt idx="14">
                  <c:v>71796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'14'!$D$6:$D$20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'14'!$J$6:$J$20</c:f>
              <c:numCache>
                <c:formatCode>_(* #,##0_);_(* \(#,##0\);_(* "-"_);_(@_)</c:formatCode>
                <c:ptCount val="15"/>
                <c:pt idx="0">
                  <c:v>15370</c:v>
                </c:pt>
                <c:pt idx="1">
                  <c:v>7940</c:v>
                </c:pt>
                <c:pt idx="2">
                  <c:v>3630</c:v>
                </c:pt>
                <c:pt idx="3">
                  <c:v>2750</c:v>
                </c:pt>
                <c:pt idx="4">
                  <c:v>960</c:v>
                </c:pt>
                <c:pt idx="5">
                  <c:v>650</c:v>
                </c:pt>
                <c:pt idx="6">
                  <c:v>3380</c:v>
                </c:pt>
                <c:pt idx="7">
                  <c:v>5200</c:v>
                </c:pt>
                <c:pt idx="8">
                  <c:v>2330</c:v>
                </c:pt>
                <c:pt idx="9">
                  <c:v>5590</c:v>
                </c:pt>
                <c:pt idx="10">
                  <c:v>5700</c:v>
                </c:pt>
                <c:pt idx="11">
                  <c:v>16150</c:v>
                </c:pt>
                <c:pt idx="12">
                  <c:v>10810</c:v>
                </c:pt>
                <c:pt idx="13">
                  <c:v>350</c:v>
                </c:pt>
                <c:pt idx="14">
                  <c:v>71800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04224"/>
        <c:axId val="485825856"/>
      </c:lineChart>
      <c:catAx>
        <c:axId val="53400422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5825856"/>
        <c:crosses val="autoZero"/>
        <c:auto val="1"/>
        <c:lblAlgn val="ctr"/>
        <c:lblOffset val="100"/>
        <c:noMultiLvlLbl val="0"/>
      </c:catAx>
      <c:valAx>
        <c:axId val="48582585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34004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'14'!$AD$6:$AD$20</c:f>
              <c:strCache>
                <c:ptCount val="1"/>
                <c:pt idx="0">
                  <c:v>100% 79% 79% 66% 25% 0% 79% 100% 0% 100% 0% 0% 92% 16%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'14'!$D$6:$D$20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'14'!$AD$6:$AD$20</c:f>
              <c:numCache>
                <c:formatCode>0%</c:formatCode>
                <c:ptCount val="15"/>
                <c:pt idx="0">
                  <c:v>0.99993493819128176</c:v>
                </c:pt>
                <c:pt idx="1">
                  <c:v>0.79116813602015112</c:v>
                </c:pt>
                <c:pt idx="2">
                  <c:v>0.79014003673094579</c:v>
                </c:pt>
                <c:pt idx="3">
                  <c:v>0.66472727272727272</c:v>
                </c:pt>
                <c:pt idx="4">
                  <c:v>0.24973958333333332</c:v>
                </c:pt>
                <c:pt idx="5">
                  <c:v>0</c:v>
                </c:pt>
                <c:pt idx="6">
                  <c:v>0.79166666666666663</c:v>
                </c:pt>
                <c:pt idx="7">
                  <c:v>0.99961538461538457</c:v>
                </c:pt>
                <c:pt idx="8">
                  <c:v>0</c:v>
                </c:pt>
                <c:pt idx="9">
                  <c:v>0.99946332737030408</c:v>
                </c:pt>
                <c:pt idx="10">
                  <c:v>0</c:v>
                </c:pt>
                <c:pt idx="11">
                  <c:v>0</c:v>
                </c:pt>
                <c:pt idx="12">
                  <c:v>0.91666666666666663</c:v>
                </c:pt>
                <c:pt idx="13">
                  <c:v>0.16285714285714284</c:v>
                </c:pt>
                <c:pt idx="14">
                  <c:v>0.99994428969359328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'14'!$D$6:$D$20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'14'!$AE$6:$AE$20</c:f>
              <c:numCache>
                <c:formatCode>0%</c:formatCode>
                <c:ptCount val="15"/>
                <c:pt idx="0">
                  <c:v>0.55772822965818281</c:v>
                </c:pt>
                <c:pt idx="1">
                  <c:v>0.55772822965818281</c:v>
                </c:pt>
                <c:pt idx="2">
                  <c:v>0.55772822965818281</c:v>
                </c:pt>
                <c:pt idx="3">
                  <c:v>0.55772822965818281</c:v>
                </c:pt>
                <c:pt idx="4">
                  <c:v>0.55772822965818281</c:v>
                </c:pt>
                <c:pt idx="5">
                  <c:v>0.55772822965818281</c:v>
                </c:pt>
                <c:pt idx="6">
                  <c:v>0.55772822965818281</c:v>
                </c:pt>
                <c:pt idx="7">
                  <c:v>0.55772822965818281</c:v>
                </c:pt>
                <c:pt idx="8">
                  <c:v>0.55772822965818281</c:v>
                </c:pt>
                <c:pt idx="9">
                  <c:v>0.55772822965818281</c:v>
                </c:pt>
                <c:pt idx="10">
                  <c:v>0.55772822965818281</c:v>
                </c:pt>
                <c:pt idx="11">
                  <c:v>0.55772822965818281</c:v>
                </c:pt>
                <c:pt idx="12">
                  <c:v>0.55772822965818281</c:v>
                </c:pt>
                <c:pt idx="13">
                  <c:v>0.55772822965818281</c:v>
                </c:pt>
                <c:pt idx="14">
                  <c:v>0.55772822965818281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06272"/>
        <c:axId val="485909632"/>
      </c:lineChart>
      <c:catAx>
        <c:axId val="53400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5909632"/>
        <c:crosses val="autoZero"/>
        <c:auto val="1"/>
        <c:lblAlgn val="ctr"/>
        <c:lblOffset val="100"/>
        <c:noMultiLvlLbl val="0"/>
      </c:catAx>
      <c:valAx>
        <c:axId val="4859096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34006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'14'!$D$6:$D$20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'14'!$L$6:$L$20</c:f>
              <c:numCache>
                <c:formatCode>_(* #,##0_);_(* \(#,##0\);_(* "-"_);_(@_)</c:formatCode>
                <c:ptCount val="15"/>
                <c:pt idx="0">
                  <c:v>15369</c:v>
                </c:pt>
                <c:pt idx="1">
                  <c:v>7935</c:v>
                </c:pt>
                <c:pt idx="2">
                  <c:v>3623</c:v>
                </c:pt>
                <c:pt idx="3">
                  <c:v>2742</c:v>
                </c:pt>
                <c:pt idx="4">
                  <c:v>959</c:v>
                </c:pt>
                <c:pt idx="5">
                  <c:v>0</c:v>
                </c:pt>
                <c:pt idx="6">
                  <c:v>3380</c:v>
                </c:pt>
                <c:pt idx="7">
                  <c:v>5198</c:v>
                </c:pt>
                <c:pt idx="9">
                  <c:v>5587</c:v>
                </c:pt>
                <c:pt idx="10">
                  <c:v>0</c:v>
                </c:pt>
                <c:pt idx="12">
                  <c:v>10810</c:v>
                </c:pt>
                <c:pt idx="13">
                  <c:v>342</c:v>
                </c:pt>
                <c:pt idx="14">
                  <c:v>71796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'14'!$D$6:$D$20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'14'!$J$6:$J$20</c:f>
              <c:numCache>
                <c:formatCode>_(* #,##0_);_(* \(#,##0\);_(* "-"_);_(@_)</c:formatCode>
                <c:ptCount val="15"/>
                <c:pt idx="0">
                  <c:v>15370</c:v>
                </c:pt>
                <c:pt idx="1">
                  <c:v>7940</c:v>
                </c:pt>
                <c:pt idx="2">
                  <c:v>3630</c:v>
                </c:pt>
                <c:pt idx="3">
                  <c:v>2750</c:v>
                </c:pt>
                <c:pt idx="4">
                  <c:v>960</c:v>
                </c:pt>
                <c:pt idx="5">
                  <c:v>650</c:v>
                </c:pt>
                <c:pt idx="6">
                  <c:v>3380</c:v>
                </c:pt>
                <c:pt idx="7">
                  <c:v>5200</c:v>
                </c:pt>
                <c:pt idx="8">
                  <c:v>2330</c:v>
                </c:pt>
                <c:pt idx="9">
                  <c:v>5590</c:v>
                </c:pt>
                <c:pt idx="10">
                  <c:v>5700</c:v>
                </c:pt>
                <c:pt idx="11">
                  <c:v>16150</c:v>
                </c:pt>
                <c:pt idx="12">
                  <c:v>10810</c:v>
                </c:pt>
                <c:pt idx="13">
                  <c:v>350</c:v>
                </c:pt>
                <c:pt idx="14">
                  <c:v>71800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06784"/>
        <c:axId val="488377152"/>
      </c:lineChart>
      <c:catAx>
        <c:axId val="53400678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8377152"/>
        <c:crosses val="autoZero"/>
        <c:auto val="1"/>
        <c:lblAlgn val="ctr"/>
        <c:lblOffset val="100"/>
        <c:noMultiLvlLbl val="0"/>
      </c:catAx>
      <c:valAx>
        <c:axId val="48837715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34006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'14'!$AD$6:$AD$20</c:f>
              <c:strCache>
                <c:ptCount val="1"/>
                <c:pt idx="0">
                  <c:v>100% 79% 79% 66% 25% 0% 79% 100% 0% 100% 0% 0% 92% 16%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'14'!$D$6:$D$20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'14'!$AD$6:$AD$20</c:f>
              <c:numCache>
                <c:formatCode>0%</c:formatCode>
                <c:ptCount val="15"/>
                <c:pt idx="0">
                  <c:v>0.99993493819128176</c:v>
                </c:pt>
                <c:pt idx="1">
                  <c:v>0.79116813602015112</c:v>
                </c:pt>
                <c:pt idx="2">
                  <c:v>0.79014003673094579</c:v>
                </c:pt>
                <c:pt idx="3">
                  <c:v>0.66472727272727272</c:v>
                </c:pt>
                <c:pt idx="4">
                  <c:v>0.24973958333333332</c:v>
                </c:pt>
                <c:pt idx="5">
                  <c:v>0</c:v>
                </c:pt>
                <c:pt idx="6">
                  <c:v>0.79166666666666663</c:v>
                </c:pt>
                <c:pt idx="7">
                  <c:v>0.99961538461538457</c:v>
                </c:pt>
                <c:pt idx="8">
                  <c:v>0</c:v>
                </c:pt>
                <c:pt idx="9">
                  <c:v>0.99946332737030408</c:v>
                </c:pt>
                <c:pt idx="10">
                  <c:v>0</c:v>
                </c:pt>
                <c:pt idx="11">
                  <c:v>0</c:v>
                </c:pt>
                <c:pt idx="12">
                  <c:v>0.91666666666666663</c:v>
                </c:pt>
                <c:pt idx="13">
                  <c:v>0.16285714285714284</c:v>
                </c:pt>
                <c:pt idx="14">
                  <c:v>0.99994428969359328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'14'!$D$6:$D$20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'14'!$AE$6:$AE$20</c:f>
              <c:numCache>
                <c:formatCode>0%</c:formatCode>
                <c:ptCount val="15"/>
                <c:pt idx="0">
                  <c:v>0.55772822965818281</c:v>
                </c:pt>
                <c:pt idx="1">
                  <c:v>0.55772822965818281</c:v>
                </c:pt>
                <c:pt idx="2">
                  <c:v>0.55772822965818281</c:v>
                </c:pt>
                <c:pt idx="3">
                  <c:v>0.55772822965818281</c:v>
                </c:pt>
                <c:pt idx="4">
                  <c:v>0.55772822965818281</c:v>
                </c:pt>
                <c:pt idx="5">
                  <c:v>0.55772822965818281</c:v>
                </c:pt>
                <c:pt idx="6">
                  <c:v>0.55772822965818281</c:v>
                </c:pt>
                <c:pt idx="7">
                  <c:v>0.55772822965818281</c:v>
                </c:pt>
                <c:pt idx="8">
                  <c:v>0.55772822965818281</c:v>
                </c:pt>
                <c:pt idx="9">
                  <c:v>0.55772822965818281</c:v>
                </c:pt>
                <c:pt idx="10">
                  <c:v>0.55772822965818281</c:v>
                </c:pt>
                <c:pt idx="11">
                  <c:v>0.55772822965818281</c:v>
                </c:pt>
                <c:pt idx="12">
                  <c:v>0.55772822965818281</c:v>
                </c:pt>
                <c:pt idx="13">
                  <c:v>0.55772822965818281</c:v>
                </c:pt>
                <c:pt idx="14">
                  <c:v>0.55772822965818281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380544"/>
        <c:axId val="485912512"/>
      </c:lineChart>
      <c:catAx>
        <c:axId val="53438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5912512"/>
        <c:crosses val="autoZero"/>
        <c:auto val="1"/>
        <c:lblAlgn val="ctr"/>
        <c:lblOffset val="100"/>
        <c:noMultiLvlLbl val="0"/>
      </c:catAx>
      <c:valAx>
        <c:axId val="48591251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34380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381056"/>
        <c:axId val="48591481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381056"/>
        <c:axId val="485914816"/>
      </c:lineChart>
      <c:catAx>
        <c:axId val="53438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85914816"/>
        <c:crosses val="autoZero"/>
        <c:auto val="1"/>
        <c:lblAlgn val="ctr"/>
        <c:lblOffset val="100"/>
        <c:noMultiLvlLbl val="0"/>
      </c:catAx>
      <c:valAx>
        <c:axId val="4859148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438105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'15'!$D$6:$D$21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'15'!$L$6:$L$21</c:f>
              <c:numCache>
                <c:formatCode>_(* #,##0_);_(* \(#,##0\);_(* "-"_);_(@_)</c:formatCode>
                <c:ptCount val="16"/>
                <c:pt idx="0">
                  <c:v>15033</c:v>
                </c:pt>
                <c:pt idx="1">
                  <c:v>9510</c:v>
                </c:pt>
                <c:pt idx="2">
                  <c:v>4957</c:v>
                </c:pt>
                <c:pt idx="3">
                  <c:v>3121</c:v>
                </c:pt>
                <c:pt idx="6">
                  <c:v>2545</c:v>
                </c:pt>
                <c:pt idx="7">
                  <c:v>3473</c:v>
                </c:pt>
                <c:pt idx="9">
                  <c:v>3276</c:v>
                </c:pt>
                <c:pt idx="10">
                  <c:v>1599</c:v>
                </c:pt>
                <c:pt idx="12">
                  <c:v>4838</c:v>
                </c:pt>
                <c:pt idx="13">
                  <c:v>3200</c:v>
                </c:pt>
                <c:pt idx="14">
                  <c:v>20912</c:v>
                </c:pt>
                <c:pt idx="15">
                  <c:v>27495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'15'!$D$6:$D$21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'15'!$J$6:$J$21</c:f>
              <c:numCache>
                <c:formatCode>_(* #,##0_);_(* \(#,##0\);_(* "-"_);_(@_)</c:formatCode>
                <c:ptCount val="16"/>
                <c:pt idx="0">
                  <c:v>15040</c:v>
                </c:pt>
                <c:pt idx="1">
                  <c:v>9510</c:v>
                </c:pt>
                <c:pt idx="2">
                  <c:v>4960</c:v>
                </c:pt>
                <c:pt idx="3">
                  <c:v>3130</c:v>
                </c:pt>
                <c:pt idx="4">
                  <c:v>960</c:v>
                </c:pt>
                <c:pt idx="5">
                  <c:v>650</c:v>
                </c:pt>
                <c:pt idx="6">
                  <c:v>2550</c:v>
                </c:pt>
                <c:pt idx="7">
                  <c:v>3480</c:v>
                </c:pt>
                <c:pt idx="8">
                  <c:v>2330</c:v>
                </c:pt>
                <c:pt idx="9">
                  <c:v>3280</c:v>
                </c:pt>
                <c:pt idx="10">
                  <c:v>1600</c:v>
                </c:pt>
                <c:pt idx="11">
                  <c:v>16150</c:v>
                </c:pt>
                <c:pt idx="12">
                  <c:v>4840</c:v>
                </c:pt>
                <c:pt idx="13">
                  <c:v>3200</c:v>
                </c:pt>
                <c:pt idx="14">
                  <c:v>20920</c:v>
                </c:pt>
                <c:pt idx="15">
                  <c:v>27500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752192"/>
        <c:axId val="486302848"/>
      </c:lineChart>
      <c:catAx>
        <c:axId val="53575219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6302848"/>
        <c:crosses val="autoZero"/>
        <c:auto val="1"/>
        <c:lblAlgn val="ctr"/>
        <c:lblOffset val="100"/>
        <c:noMultiLvlLbl val="0"/>
      </c:catAx>
      <c:valAx>
        <c:axId val="4863028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35752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'15'!$AD$6:$AD$21</c:f>
              <c:strCache>
                <c:ptCount val="1"/>
                <c:pt idx="0">
                  <c:v>100% 75% 92% 71% 0% 0% 62% 75% 0% 83% 37% 0% 87% 79% 33% 58%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'15'!$D$6:$D$21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'15'!$AD$6:$AD$21</c:f>
              <c:numCache>
                <c:formatCode>0%</c:formatCode>
                <c:ptCount val="16"/>
                <c:pt idx="0">
                  <c:v>0.99953457446808514</c:v>
                </c:pt>
                <c:pt idx="1">
                  <c:v>0.75</c:v>
                </c:pt>
                <c:pt idx="2">
                  <c:v>0.91611223118279561</c:v>
                </c:pt>
                <c:pt idx="3">
                  <c:v>0.70629659211927587</c:v>
                </c:pt>
                <c:pt idx="4">
                  <c:v>0</c:v>
                </c:pt>
                <c:pt idx="5">
                  <c:v>0</c:v>
                </c:pt>
                <c:pt idx="6">
                  <c:v>0.62377450980392157</c:v>
                </c:pt>
                <c:pt idx="7">
                  <c:v>0.74849137931034482</c:v>
                </c:pt>
                <c:pt idx="8">
                  <c:v>0</c:v>
                </c:pt>
                <c:pt idx="9">
                  <c:v>0.83231707317073178</c:v>
                </c:pt>
                <c:pt idx="10">
                  <c:v>0.37476562499999999</c:v>
                </c:pt>
                <c:pt idx="11">
                  <c:v>0</c:v>
                </c:pt>
                <c:pt idx="12">
                  <c:v>0.87463842975206618</c:v>
                </c:pt>
                <c:pt idx="13">
                  <c:v>0.79166666666666663</c:v>
                </c:pt>
                <c:pt idx="14">
                  <c:v>0.33320586360739324</c:v>
                </c:pt>
                <c:pt idx="15">
                  <c:v>0.58322727272727282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'15'!$D$6:$D$21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'15'!$AE$6:$AE$21</c:f>
              <c:numCache>
                <c:formatCode>0%</c:formatCode>
                <c:ptCount val="16"/>
                <c:pt idx="0">
                  <c:v>0.56893534785390354</c:v>
                </c:pt>
                <c:pt idx="1">
                  <c:v>0.56893534785390354</c:v>
                </c:pt>
                <c:pt idx="2">
                  <c:v>0.56893534785390354</c:v>
                </c:pt>
                <c:pt idx="3">
                  <c:v>0.56893534785390354</c:v>
                </c:pt>
                <c:pt idx="4">
                  <c:v>0.56893534785390354</c:v>
                </c:pt>
                <c:pt idx="5">
                  <c:v>0.56893534785390354</c:v>
                </c:pt>
                <c:pt idx="6">
                  <c:v>0.56893534785390354</c:v>
                </c:pt>
                <c:pt idx="7">
                  <c:v>0.56893534785390354</c:v>
                </c:pt>
                <c:pt idx="8">
                  <c:v>0.56893534785390354</c:v>
                </c:pt>
                <c:pt idx="9">
                  <c:v>0.56893534785390354</c:v>
                </c:pt>
                <c:pt idx="10">
                  <c:v>0.56893534785390354</c:v>
                </c:pt>
                <c:pt idx="11">
                  <c:v>0.56893534785390354</c:v>
                </c:pt>
                <c:pt idx="12">
                  <c:v>0.56893534785390354</c:v>
                </c:pt>
                <c:pt idx="13">
                  <c:v>0.56893534785390354</c:v>
                </c:pt>
                <c:pt idx="14">
                  <c:v>0.56893534785390354</c:v>
                </c:pt>
                <c:pt idx="15">
                  <c:v>0.56893534785390354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96576"/>
        <c:axId val="486304576"/>
      </c:lineChart>
      <c:catAx>
        <c:axId val="5358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6304576"/>
        <c:crosses val="autoZero"/>
        <c:auto val="1"/>
        <c:lblAlgn val="ctr"/>
        <c:lblOffset val="100"/>
        <c:noMultiLvlLbl val="0"/>
      </c:catAx>
      <c:valAx>
        <c:axId val="4863045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35896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606976"/>
        <c:axId val="64921600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606976"/>
        <c:axId val="649216000"/>
      </c:lineChart>
      <c:catAx>
        <c:axId val="42860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649216000"/>
        <c:crosses val="autoZero"/>
        <c:auto val="1"/>
        <c:lblAlgn val="ctr"/>
        <c:lblOffset val="100"/>
        <c:noMultiLvlLbl val="0"/>
      </c:catAx>
      <c:valAx>
        <c:axId val="6492160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2860697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'15'!$D$6:$D$21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'15'!$L$6:$L$21</c:f>
              <c:numCache>
                <c:formatCode>_(* #,##0_);_(* \(#,##0\);_(* "-"_);_(@_)</c:formatCode>
                <c:ptCount val="16"/>
                <c:pt idx="0">
                  <c:v>15033</c:v>
                </c:pt>
                <c:pt idx="1">
                  <c:v>9510</c:v>
                </c:pt>
                <c:pt idx="2">
                  <c:v>4957</c:v>
                </c:pt>
                <c:pt idx="3">
                  <c:v>3121</c:v>
                </c:pt>
                <c:pt idx="6">
                  <c:v>2545</c:v>
                </c:pt>
                <c:pt idx="7">
                  <c:v>3473</c:v>
                </c:pt>
                <c:pt idx="9">
                  <c:v>3276</c:v>
                </c:pt>
                <c:pt idx="10">
                  <c:v>1599</c:v>
                </c:pt>
                <c:pt idx="12">
                  <c:v>4838</c:v>
                </c:pt>
                <c:pt idx="13">
                  <c:v>3200</c:v>
                </c:pt>
                <c:pt idx="14">
                  <c:v>20912</c:v>
                </c:pt>
                <c:pt idx="15">
                  <c:v>27495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'15'!$D$6:$D$21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'15'!$J$6:$J$21</c:f>
              <c:numCache>
                <c:formatCode>_(* #,##0_);_(* \(#,##0\);_(* "-"_);_(@_)</c:formatCode>
                <c:ptCount val="16"/>
                <c:pt idx="0">
                  <c:v>15040</c:v>
                </c:pt>
                <c:pt idx="1">
                  <c:v>9510</c:v>
                </c:pt>
                <c:pt idx="2">
                  <c:v>4960</c:v>
                </c:pt>
                <c:pt idx="3">
                  <c:v>3130</c:v>
                </c:pt>
                <c:pt idx="4">
                  <c:v>960</c:v>
                </c:pt>
                <c:pt idx="5">
                  <c:v>650</c:v>
                </c:pt>
                <c:pt idx="6">
                  <c:v>2550</c:v>
                </c:pt>
                <c:pt idx="7">
                  <c:v>3480</c:v>
                </c:pt>
                <c:pt idx="8">
                  <c:v>2330</c:v>
                </c:pt>
                <c:pt idx="9">
                  <c:v>3280</c:v>
                </c:pt>
                <c:pt idx="10">
                  <c:v>1600</c:v>
                </c:pt>
                <c:pt idx="11">
                  <c:v>16150</c:v>
                </c:pt>
                <c:pt idx="12">
                  <c:v>4840</c:v>
                </c:pt>
                <c:pt idx="13">
                  <c:v>3200</c:v>
                </c:pt>
                <c:pt idx="14">
                  <c:v>20920</c:v>
                </c:pt>
                <c:pt idx="15">
                  <c:v>27500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97600"/>
        <c:axId val="486306880"/>
      </c:lineChart>
      <c:catAx>
        <c:axId val="53589760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6306880"/>
        <c:crosses val="autoZero"/>
        <c:auto val="1"/>
        <c:lblAlgn val="ctr"/>
        <c:lblOffset val="100"/>
        <c:noMultiLvlLbl val="0"/>
      </c:catAx>
      <c:valAx>
        <c:axId val="4863068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35897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'15'!$AD$6:$AD$21</c:f>
              <c:strCache>
                <c:ptCount val="1"/>
                <c:pt idx="0">
                  <c:v>100% 75% 92% 71% 0% 0% 62% 75% 0% 83% 37% 0% 87% 79% 33% 58%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'15'!$D$6:$D$21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'15'!$AD$6:$AD$21</c:f>
              <c:numCache>
                <c:formatCode>0%</c:formatCode>
                <c:ptCount val="16"/>
                <c:pt idx="0">
                  <c:v>0.99953457446808514</c:v>
                </c:pt>
                <c:pt idx="1">
                  <c:v>0.75</c:v>
                </c:pt>
                <c:pt idx="2">
                  <c:v>0.91611223118279561</c:v>
                </c:pt>
                <c:pt idx="3">
                  <c:v>0.70629659211927587</c:v>
                </c:pt>
                <c:pt idx="4">
                  <c:v>0</c:v>
                </c:pt>
                <c:pt idx="5">
                  <c:v>0</c:v>
                </c:pt>
                <c:pt idx="6">
                  <c:v>0.62377450980392157</c:v>
                </c:pt>
                <c:pt idx="7">
                  <c:v>0.74849137931034482</c:v>
                </c:pt>
                <c:pt idx="8">
                  <c:v>0</c:v>
                </c:pt>
                <c:pt idx="9">
                  <c:v>0.83231707317073178</c:v>
                </c:pt>
                <c:pt idx="10">
                  <c:v>0.37476562499999999</c:v>
                </c:pt>
                <c:pt idx="11">
                  <c:v>0</c:v>
                </c:pt>
                <c:pt idx="12">
                  <c:v>0.87463842975206618</c:v>
                </c:pt>
                <c:pt idx="13">
                  <c:v>0.79166666666666663</c:v>
                </c:pt>
                <c:pt idx="14">
                  <c:v>0.33320586360739324</c:v>
                </c:pt>
                <c:pt idx="15">
                  <c:v>0.58322727272727282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'15'!$D$6:$D$21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'15'!$AE$6:$AE$21</c:f>
              <c:numCache>
                <c:formatCode>0%</c:formatCode>
                <c:ptCount val="16"/>
                <c:pt idx="0">
                  <c:v>0.56893534785390354</c:v>
                </c:pt>
                <c:pt idx="1">
                  <c:v>0.56893534785390354</c:v>
                </c:pt>
                <c:pt idx="2">
                  <c:v>0.56893534785390354</c:v>
                </c:pt>
                <c:pt idx="3">
                  <c:v>0.56893534785390354</c:v>
                </c:pt>
                <c:pt idx="4">
                  <c:v>0.56893534785390354</c:v>
                </c:pt>
                <c:pt idx="5">
                  <c:v>0.56893534785390354</c:v>
                </c:pt>
                <c:pt idx="6">
                  <c:v>0.56893534785390354</c:v>
                </c:pt>
                <c:pt idx="7">
                  <c:v>0.56893534785390354</c:v>
                </c:pt>
                <c:pt idx="8">
                  <c:v>0.56893534785390354</c:v>
                </c:pt>
                <c:pt idx="9">
                  <c:v>0.56893534785390354</c:v>
                </c:pt>
                <c:pt idx="10">
                  <c:v>0.56893534785390354</c:v>
                </c:pt>
                <c:pt idx="11">
                  <c:v>0.56893534785390354</c:v>
                </c:pt>
                <c:pt idx="12">
                  <c:v>0.56893534785390354</c:v>
                </c:pt>
                <c:pt idx="13">
                  <c:v>0.56893534785390354</c:v>
                </c:pt>
                <c:pt idx="14">
                  <c:v>0.56893534785390354</c:v>
                </c:pt>
                <c:pt idx="15">
                  <c:v>0.56893534785390354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98112"/>
        <c:axId val="486308608"/>
      </c:lineChart>
      <c:catAx>
        <c:axId val="53589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6308608"/>
        <c:crosses val="autoZero"/>
        <c:auto val="1"/>
        <c:lblAlgn val="ctr"/>
        <c:lblOffset val="100"/>
        <c:noMultiLvlLbl val="0"/>
      </c:catAx>
      <c:valAx>
        <c:axId val="4863086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35898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898624"/>
        <c:axId val="48631104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98624"/>
        <c:axId val="486311040"/>
      </c:lineChart>
      <c:catAx>
        <c:axId val="53589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486311040"/>
        <c:crosses val="autoZero"/>
        <c:auto val="1"/>
        <c:lblAlgn val="ctr"/>
        <c:lblOffset val="100"/>
        <c:noMultiLvlLbl val="0"/>
      </c:catAx>
      <c:valAx>
        <c:axId val="486311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589862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'16'!$D$6:$D$22</c:f>
              <c:strCache>
                <c:ptCount val="16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SHAFT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LEAD GUIDE</c:v>
                </c:pt>
                <c:pt idx="11">
                  <c:v>COVER</c:v>
                </c:pt>
                <c:pt idx="12">
                  <c:v>SLIDER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'16'!$L$6:$L$22</c:f>
              <c:numCache>
                <c:formatCode>_(* #,##0_);_(* \(#,##0\);_(* "-"_);_(@_)</c:formatCode>
                <c:ptCount val="17"/>
                <c:pt idx="0">
                  <c:v>14952</c:v>
                </c:pt>
                <c:pt idx="1">
                  <c:v>7635</c:v>
                </c:pt>
                <c:pt idx="2">
                  <c:v>4093</c:v>
                </c:pt>
                <c:pt idx="3">
                  <c:v>44316</c:v>
                </c:pt>
                <c:pt idx="5">
                  <c:v>2724</c:v>
                </c:pt>
                <c:pt idx="6">
                  <c:v>416</c:v>
                </c:pt>
                <c:pt idx="9">
                  <c:v>4991</c:v>
                </c:pt>
                <c:pt idx="10">
                  <c:v>882</c:v>
                </c:pt>
                <c:pt idx="12">
                  <c:v>586</c:v>
                </c:pt>
                <c:pt idx="13">
                  <c:v>995</c:v>
                </c:pt>
                <c:pt idx="14">
                  <c:v>1897</c:v>
                </c:pt>
                <c:pt idx="15">
                  <c:v>487</c:v>
                </c:pt>
                <c:pt idx="16">
                  <c:v>49371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'16'!$D$6:$D$22</c:f>
              <c:strCache>
                <c:ptCount val="16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SHAFT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LEAD GUIDE</c:v>
                </c:pt>
                <c:pt idx="11">
                  <c:v>COVER</c:v>
                </c:pt>
                <c:pt idx="12">
                  <c:v>SLIDER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'16'!$J$6:$J$22</c:f>
              <c:numCache>
                <c:formatCode>_(* #,##0_);_(* \(#,##0\);_(* "-"_);_(@_)</c:formatCode>
                <c:ptCount val="17"/>
                <c:pt idx="0">
                  <c:v>14960</c:v>
                </c:pt>
                <c:pt idx="1">
                  <c:v>7640</c:v>
                </c:pt>
                <c:pt idx="2">
                  <c:v>4100</c:v>
                </c:pt>
                <c:pt idx="3">
                  <c:v>44320</c:v>
                </c:pt>
                <c:pt idx="4">
                  <c:v>960</c:v>
                </c:pt>
                <c:pt idx="5">
                  <c:v>2730</c:v>
                </c:pt>
                <c:pt idx="6">
                  <c:v>420</c:v>
                </c:pt>
                <c:pt idx="7">
                  <c:v>3480</c:v>
                </c:pt>
                <c:pt idx="8">
                  <c:v>2330</c:v>
                </c:pt>
                <c:pt idx="9">
                  <c:v>4991</c:v>
                </c:pt>
                <c:pt idx="10">
                  <c:v>882</c:v>
                </c:pt>
                <c:pt idx="11">
                  <c:v>16150</c:v>
                </c:pt>
                <c:pt idx="12">
                  <c:v>590</c:v>
                </c:pt>
                <c:pt idx="13">
                  <c:v>995</c:v>
                </c:pt>
                <c:pt idx="14">
                  <c:v>1900</c:v>
                </c:pt>
                <c:pt idx="15">
                  <c:v>490</c:v>
                </c:pt>
                <c:pt idx="16">
                  <c:v>49380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98368"/>
        <c:axId val="486314496"/>
      </c:lineChart>
      <c:catAx>
        <c:axId val="53829836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6314496"/>
        <c:crosses val="autoZero"/>
        <c:auto val="1"/>
        <c:lblAlgn val="ctr"/>
        <c:lblOffset val="100"/>
        <c:noMultiLvlLbl val="0"/>
      </c:catAx>
      <c:valAx>
        <c:axId val="48631449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38298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'16'!$AD$6:$AD$22</c:f>
              <c:strCache>
                <c:ptCount val="1"/>
                <c:pt idx="0">
                  <c:v>100% 58% 87% 75% 0% 58% 12% 0% 0% 100% 17% 0% 17% 25% 42% 17%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'16'!$D$6:$D$22</c:f>
              <c:strCache>
                <c:ptCount val="16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SHAFT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LEAD GUIDE</c:v>
                </c:pt>
                <c:pt idx="11">
                  <c:v>COVER</c:v>
                </c:pt>
                <c:pt idx="12">
                  <c:v>SLIDER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'16'!$AD$6:$AD$22</c:f>
              <c:numCache>
                <c:formatCode>0%</c:formatCode>
                <c:ptCount val="17"/>
                <c:pt idx="0">
                  <c:v>0.99946524064171127</c:v>
                </c:pt>
                <c:pt idx="1">
                  <c:v>0.58295157068062831</c:v>
                </c:pt>
                <c:pt idx="2">
                  <c:v>0.87350609756097564</c:v>
                </c:pt>
                <c:pt idx="3">
                  <c:v>0.74993231046931408</c:v>
                </c:pt>
                <c:pt idx="4">
                  <c:v>0</c:v>
                </c:pt>
                <c:pt idx="5">
                  <c:v>0.58205128205128209</c:v>
                </c:pt>
                <c:pt idx="6">
                  <c:v>0.12380952380952381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0.16666666666666666</c:v>
                </c:pt>
                <c:pt idx="11">
                  <c:v>0</c:v>
                </c:pt>
                <c:pt idx="12">
                  <c:v>0.1655367231638418</c:v>
                </c:pt>
                <c:pt idx="13">
                  <c:v>0.25</c:v>
                </c:pt>
                <c:pt idx="14">
                  <c:v>0.41600877192982461</c:v>
                </c:pt>
                <c:pt idx="15">
                  <c:v>0.16564625850340137</c:v>
                </c:pt>
                <c:pt idx="16">
                  <c:v>0.99981773997569867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'16'!$D$6:$D$22</c:f>
              <c:strCache>
                <c:ptCount val="16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SHAFT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LEAD GUIDE</c:v>
                </c:pt>
                <c:pt idx="11">
                  <c:v>COVER</c:v>
                </c:pt>
                <c:pt idx="12">
                  <c:v>SLIDER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'16'!$AE$6:$AE$22</c:f>
              <c:numCache>
                <c:formatCode>0%</c:formatCode>
                <c:ptCount val="17"/>
                <c:pt idx="0">
                  <c:v>0.47169281236352462</c:v>
                </c:pt>
                <c:pt idx="1">
                  <c:v>0.47169281236352462</c:v>
                </c:pt>
                <c:pt idx="2">
                  <c:v>0.47169281236352462</c:v>
                </c:pt>
                <c:pt idx="3">
                  <c:v>0.47169281236352462</c:v>
                </c:pt>
                <c:pt idx="4">
                  <c:v>0.47169281236352462</c:v>
                </c:pt>
                <c:pt idx="5">
                  <c:v>0.47169281236352462</c:v>
                </c:pt>
                <c:pt idx="6">
                  <c:v>0.47169281236352462</c:v>
                </c:pt>
                <c:pt idx="7">
                  <c:v>0.47169281236352462</c:v>
                </c:pt>
                <c:pt idx="8">
                  <c:v>0.47169281236352462</c:v>
                </c:pt>
                <c:pt idx="9">
                  <c:v>0.47169281236352462</c:v>
                </c:pt>
                <c:pt idx="10">
                  <c:v>0.47169281236352462</c:v>
                </c:pt>
                <c:pt idx="11">
                  <c:v>0.47169281236352462</c:v>
                </c:pt>
                <c:pt idx="12">
                  <c:v>0.47169281236352462</c:v>
                </c:pt>
                <c:pt idx="13">
                  <c:v>0.47169281236352462</c:v>
                </c:pt>
                <c:pt idx="14">
                  <c:v>0.47169281236352462</c:v>
                </c:pt>
                <c:pt idx="15">
                  <c:v>0.47169281236352462</c:v>
                </c:pt>
                <c:pt idx="16">
                  <c:v>0.47169281236352462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99904"/>
        <c:axId val="486316224"/>
      </c:lineChart>
      <c:catAx>
        <c:axId val="53829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6316224"/>
        <c:crosses val="autoZero"/>
        <c:auto val="1"/>
        <c:lblAlgn val="ctr"/>
        <c:lblOffset val="100"/>
        <c:noMultiLvlLbl val="0"/>
      </c:catAx>
      <c:valAx>
        <c:axId val="4863162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38299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'16'!$D$6:$D$22</c:f>
              <c:strCache>
                <c:ptCount val="16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SHAFT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LEAD GUIDE</c:v>
                </c:pt>
                <c:pt idx="11">
                  <c:v>COVER</c:v>
                </c:pt>
                <c:pt idx="12">
                  <c:v>SLIDER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'16'!$L$6:$L$22</c:f>
              <c:numCache>
                <c:formatCode>_(* #,##0_);_(* \(#,##0\);_(* "-"_);_(@_)</c:formatCode>
                <c:ptCount val="17"/>
                <c:pt idx="0">
                  <c:v>14952</c:v>
                </c:pt>
                <c:pt idx="1">
                  <c:v>7635</c:v>
                </c:pt>
                <c:pt idx="2">
                  <c:v>4093</c:v>
                </c:pt>
                <c:pt idx="3">
                  <c:v>44316</c:v>
                </c:pt>
                <c:pt idx="5">
                  <c:v>2724</c:v>
                </c:pt>
                <c:pt idx="6">
                  <c:v>416</c:v>
                </c:pt>
                <c:pt idx="9">
                  <c:v>4991</c:v>
                </c:pt>
                <c:pt idx="10">
                  <c:v>882</c:v>
                </c:pt>
                <c:pt idx="12">
                  <c:v>586</c:v>
                </c:pt>
                <c:pt idx="13">
                  <c:v>995</c:v>
                </c:pt>
                <c:pt idx="14">
                  <c:v>1897</c:v>
                </c:pt>
                <c:pt idx="15">
                  <c:v>487</c:v>
                </c:pt>
                <c:pt idx="16">
                  <c:v>49371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'16'!$D$6:$D$22</c:f>
              <c:strCache>
                <c:ptCount val="16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SHAFT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LEAD GUIDE</c:v>
                </c:pt>
                <c:pt idx="11">
                  <c:v>COVER</c:v>
                </c:pt>
                <c:pt idx="12">
                  <c:v>SLIDER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'16'!$J$6:$J$22</c:f>
              <c:numCache>
                <c:formatCode>_(* #,##0_);_(* \(#,##0\);_(* "-"_);_(@_)</c:formatCode>
                <c:ptCount val="17"/>
                <c:pt idx="0">
                  <c:v>14960</c:v>
                </c:pt>
                <c:pt idx="1">
                  <c:v>7640</c:v>
                </c:pt>
                <c:pt idx="2">
                  <c:v>4100</c:v>
                </c:pt>
                <c:pt idx="3">
                  <c:v>44320</c:v>
                </c:pt>
                <c:pt idx="4">
                  <c:v>960</c:v>
                </c:pt>
                <c:pt idx="5">
                  <c:v>2730</c:v>
                </c:pt>
                <c:pt idx="6">
                  <c:v>420</c:v>
                </c:pt>
                <c:pt idx="7">
                  <c:v>3480</c:v>
                </c:pt>
                <c:pt idx="8">
                  <c:v>2330</c:v>
                </c:pt>
                <c:pt idx="9">
                  <c:v>4991</c:v>
                </c:pt>
                <c:pt idx="10">
                  <c:v>882</c:v>
                </c:pt>
                <c:pt idx="11">
                  <c:v>16150</c:v>
                </c:pt>
                <c:pt idx="12">
                  <c:v>590</c:v>
                </c:pt>
                <c:pt idx="13">
                  <c:v>995</c:v>
                </c:pt>
                <c:pt idx="14">
                  <c:v>1900</c:v>
                </c:pt>
                <c:pt idx="15">
                  <c:v>490</c:v>
                </c:pt>
                <c:pt idx="16">
                  <c:v>49380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808320"/>
        <c:axId val="485548608"/>
      </c:lineChart>
      <c:catAx>
        <c:axId val="53880832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5548608"/>
        <c:crosses val="autoZero"/>
        <c:auto val="1"/>
        <c:lblAlgn val="ctr"/>
        <c:lblOffset val="100"/>
        <c:noMultiLvlLbl val="0"/>
      </c:catAx>
      <c:valAx>
        <c:axId val="48554860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38808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'16'!$AD$6:$AD$22</c:f>
              <c:strCache>
                <c:ptCount val="1"/>
                <c:pt idx="0">
                  <c:v>100% 58% 87% 75% 0% 58% 12% 0% 0% 100% 17% 0% 17% 25% 42% 17%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'16'!$D$6:$D$22</c:f>
              <c:strCache>
                <c:ptCount val="16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SHAFT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LEAD GUIDE</c:v>
                </c:pt>
                <c:pt idx="11">
                  <c:v>COVER</c:v>
                </c:pt>
                <c:pt idx="12">
                  <c:v>SLIDER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'16'!$AD$6:$AD$22</c:f>
              <c:numCache>
                <c:formatCode>0%</c:formatCode>
                <c:ptCount val="17"/>
                <c:pt idx="0">
                  <c:v>0.99946524064171127</c:v>
                </c:pt>
                <c:pt idx="1">
                  <c:v>0.58295157068062831</c:v>
                </c:pt>
                <c:pt idx="2">
                  <c:v>0.87350609756097564</c:v>
                </c:pt>
                <c:pt idx="3">
                  <c:v>0.74993231046931408</c:v>
                </c:pt>
                <c:pt idx="4">
                  <c:v>0</c:v>
                </c:pt>
                <c:pt idx="5">
                  <c:v>0.58205128205128209</c:v>
                </c:pt>
                <c:pt idx="6">
                  <c:v>0.12380952380952381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0.16666666666666666</c:v>
                </c:pt>
                <c:pt idx="11">
                  <c:v>0</c:v>
                </c:pt>
                <c:pt idx="12">
                  <c:v>0.1655367231638418</c:v>
                </c:pt>
                <c:pt idx="13">
                  <c:v>0.25</c:v>
                </c:pt>
                <c:pt idx="14">
                  <c:v>0.41600877192982461</c:v>
                </c:pt>
                <c:pt idx="15">
                  <c:v>0.16564625850340137</c:v>
                </c:pt>
                <c:pt idx="16">
                  <c:v>0.99981773997569867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'16'!$D$6:$D$22</c:f>
              <c:strCache>
                <c:ptCount val="16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SHAFT</c:v>
                </c:pt>
                <c:pt idx="4">
                  <c:v>Z280MM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LEAD GUIDE</c:v>
                </c:pt>
                <c:pt idx="11">
                  <c:v>COVER</c:v>
                </c:pt>
                <c:pt idx="12">
                  <c:v>SLIDER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'16'!$AE$6:$AE$22</c:f>
              <c:numCache>
                <c:formatCode>0%</c:formatCode>
                <c:ptCount val="17"/>
                <c:pt idx="0">
                  <c:v>0.47169281236352462</c:v>
                </c:pt>
                <c:pt idx="1">
                  <c:v>0.47169281236352462</c:v>
                </c:pt>
                <c:pt idx="2">
                  <c:v>0.47169281236352462</c:v>
                </c:pt>
                <c:pt idx="3">
                  <c:v>0.47169281236352462</c:v>
                </c:pt>
                <c:pt idx="4">
                  <c:v>0.47169281236352462</c:v>
                </c:pt>
                <c:pt idx="5">
                  <c:v>0.47169281236352462</c:v>
                </c:pt>
                <c:pt idx="6">
                  <c:v>0.47169281236352462</c:v>
                </c:pt>
                <c:pt idx="7">
                  <c:v>0.47169281236352462</c:v>
                </c:pt>
                <c:pt idx="8">
                  <c:v>0.47169281236352462</c:v>
                </c:pt>
                <c:pt idx="9">
                  <c:v>0.47169281236352462</c:v>
                </c:pt>
                <c:pt idx="10">
                  <c:v>0.47169281236352462</c:v>
                </c:pt>
                <c:pt idx="11">
                  <c:v>0.47169281236352462</c:v>
                </c:pt>
                <c:pt idx="12">
                  <c:v>0.47169281236352462</c:v>
                </c:pt>
                <c:pt idx="13">
                  <c:v>0.47169281236352462</c:v>
                </c:pt>
                <c:pt idx="14">
                  <c:v>0.47169281236352462</c:v>
                </c:pt>
                <c:pt idx="15">
                  <c:v>0.47169281236352462</c:v>
                </c:pt>
                <c:pt idx="16">
                  <c:v>0.47169281236352462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809856"/>
        <c:axId val="485550336"/>
      </c:lineChart>
      <c:catAx>
        <c:axId val="5388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5550336"/>
        <c:crosses val="autoZero"/>
        <c:auto val="1"/>
        <c:lblAlgn val="ctr"/>
        <c:lblOffset val="100"/>
        <c:noMultiLvlLbl val="0"/>
      </c:catAx>
      <c:valAx>
        <c:axId val="4855503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3880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10368"/>
        <c:axId val="48555264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810368"/>
        <c:axId val="485552640"/>
      </c:lineChart>
      <c:catAx>
        <c:axId val="53881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485552640"/>
        <c:crosses val="autoZero"/>
        <c:auto val="1"/>
        <c:lblAlgn val="ctr"/>
        <c:lblOffset val="100"/>
        <c:noMultiLvlLbl val="0"/>
      </c:catAx>
      <c:valAx>
        <c:axId val="4855526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881036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'17'!$D$6:$D$20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SHAFT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LEAD GUIDE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'17'!$L$6:$L$20</c:f>
              <c:numCache>
                <c:formatCode>_(* #,##0_);_(* \(#,##0\);_(* "-"_);_(@_)</c:formatCode>
                <c:ptCount val="15"/>
                <c:pt idx="0">
                  <c:v>15045</c:v>
                </c:pt>
                <c:pt idx="1">
                  <c:v>12744</c:v>
                </c:pt>
                <c:pt idx="2">
                  <c:v>2190</c:v>
                </c:pt>
                <c:pt idx="3">
                  <c:v>74382</c:v>
                </c:pt>
                <c:pt idx="4">
                  <c:v>8200</c:v>
                </c:pt>
                <c:pt idx="5">
                  <c:v>6303</c:v>
                </c:pt>
                <c:pt idx="9">
                  <c:v>5451</c:v>
                </c:pt>
                <c:pt idx="12">
                  <c:v>2944</c:v>
                </c:pt>
                <c:pt idx="13">
                  <c:v>4424</c:v>
                </c:pt>
                <c:pt idx="14">
                  <c:v>46404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'17'!$D$6:$D$20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SHAFT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LEAD GUIDE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'17'!$J$6:$J$20</c:f>
              <c:numCache>
                <c:formatCode>_(* #,##0_);_(* \(#,##0\);_(* "-"_);_(@_)</c:formatCode>
                <c:ptCount val="15"/>
                <c:pt idx="0">
                  <c:v>15050</c:v>
                </c:pt>
                <c:pt idx="1">
                  <c:v>12750</c:v>
                </c:pt>
                <c:pt idx="2">
                  <c:v>2190</c:v>
                </c:pt>
                <c:pt idx="3">
                  <c:v>74390</c:v>
                </c:pt>
                <c:pt idx="4">
                  <c:v>8200</c:v>
                </c:pt>
                <c:pt idx="5">
                  <c:v>6310</c:v>
                </c:pt>
                <c:pt idx="6">
                  <c:v>420</c:v>
                </c:pt>
                <c:pt idx="7">
                  <c:v>3480</c:v>
                </c:pt>
                <c:pt idx="8">
                  <c:v>2330</c:v>
                </c:pt>
                <c:pt idx="9">
                  <c:v>5460</c:v>
                </c:pt>
                <c:pt idx="10">
                  <c:v>882</c:v>
                </c:pt>
                <c:pt idx="11">
                  <c:v>16150</c:v>
                </c:pt>
                <c:pt idx="12">
                  <c:v>2950</c:v>
                </c:pt>
                <c:pt idx="13">
                  <c:v>4430</c:v>
                </c:pt>
                <c:pt idx="14">
                  <c:v>46410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44832"/>
        <c:axId val="485555520"/>
      </c:lineChart>
      <c:catAx>
        <c:axId val="54034483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5555520"/>
        <c:crosses val="autoZero"/>
        <c:auto val="1"/>
        <c:lblAlgn val="ctr"/>
        <c:lblOffset val="100"/>
        <c:noMultiLvlLbl val="0"/>
      </c:catAx>
      <c:valAx>
        <c:axId val="48555552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4034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'17'!$AD$6:$AD$20</c:f>
              <c:strCache>
                <c:ptCount val="1"/>
                <c:pt idx="0">
                  <c:v>100% 100% 46% 92% 83% 100% 0% 0% 0% 100% 0% 0% 67% 92%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'17'!$D$6:$D$20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SHAFT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LEAD GUIDE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'17'!$AD$6:$AD$20</c:f>
              <c:numCache>
                <c:formatCode>0%</c:formatCode>
                <c:ptCount val="15"/>
                <c:pt idx="0">
                  <c:v>0.99966777408637875</c:v>
                </c:pt>
                <c:pt idx="1">
                  <c:v>0.99952941176470589</c:v>
                </c:pt>
                <c:pt idx="2">
                  <c:v>0.45833333333333331</c:v>
                </c:pt>
                <c:pt idx="3">
                  <c:v>0.91656808710848237</c:v>
                </c:pt>
                <c:pt idx="4">
                  <c:v>0.83333333333333337</c:v>
                </c:pt>
                <c:pt idx="5">
                  <c:v>0.99889064976228215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0.99835164835164836</c:v>
                </c:pt>
                <c:pt idx="10">
                  <c:v>0</c:v>
                </c:pt>
                <c:pt idx="11">
                  <c:v>0</c:v>
                </c:pt>
                <c:pt idx="12">
                  <c:v>0.66531073446327682</c:v>
                </c:pt>
                <c:pt idx="13">
                  <c:v>0.91542513167795325</c:v>
                </c:pt>
                <c:pt idx="14">
                  <c:v>0.99987071751777634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'17'!$D$6:$D$20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SHAFT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LEAD GUIDE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'17'!$AE$6:$AE$20</c:f>
              <c:numCache>
                <c:formatCode>0%</c:formatCode>
                <c:ptCount val="15"/>
                <c:pt idx="0">
                  <c:v>0.58568538809327797</c:v>
                </c:pt>
                <c:pt idx="1">
                  <c:v>0.58568538809327797</c:v>
                </c:pt>
                <c:pt idx="2">
                  <c:v>0.58568538809327797</c:v>
                </c:pt>
                <c:pt idx="3">
                  <c:v>0.58568538809327797</c:v>
                </c:pt>
                <c:pt idx="4">
                  <c:v>0.58568538809327797</c:v>
                </c:pt>
                <c:pt idx="5">
                  <c:v>0.58568538809327797</c:v>
                </c:pt>
                <c:pt idx="6">
                  <c:v>0.58568538809327797</c:v>
                </c:pt>
                <c:pt idx="7">
                  <c:v>0.58568538809327797</c:v>
                </c:pt>
                <c:pt idx="8">
                  <c:v>0.58568538809327797</c:v>
                </c:pt>
                <c:pt idx="9">
                  <c:v>0.58568538809327797</c:v>
                </c:pt>
                <c:pt idx="10">
                  <c:v>0.58568538809327797</c:v>
                </c:pt>
                <c:pt idx="11">
                  <c:v>0.58568538809327797</c:v>
                </c:pt>
                <c:pt idx="12">
                  <c:v>0.58568538809327797</c:v>
                </c:pt>
                <c:pt idx="13">
                  <c:v>0.58568538809327797</c:v>
                </c:pt>
                <c:pt idx="14">
                  <c:v>0.58568538809327797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46880"/>
        <c:axId val="485131392"/>
      </c:lineChart>
      <c:catAx>
        <c:axId val="5403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5131392"/>
        <c:crosses val="autoZero"/>
        <c:auto val="1"/>
        <c:lblAlgn val="ctr"/>
        <c:lblOffset val="100"/>
        <c:noMultiLvlLbl val="0"/>
      </c:catAx>
      <c:valAx>
        <c:axId val="48513139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40346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'02'!$D$6:$D$21</c:f>
              <c:strCache>
                <c:ptCount val="15"/>
                <c:pt idx="1">
                  <c:v>COVER</c:v>
                </c:pt>
                <c:pt idx="2">
                  <c:v>STOPPER</c:v>
                </c:pt>
                <c:pt idx="3">
                  <c:v>BASE</c:v>
                </c:pt>
                <c:pt idx="4">
                  <c:v>SLIDER</c:v>
                </c:pt>
                <c:pt idx="5">
                  <c:v>TOP</c:v>
                </c:pt>
                <c:pt idx="6">
                  <c:v>BOTTOM</c:v>
                </c:pt>
                <c:pt idx="7">
                  <c:v>BASE</c:v>
                </c:pt>
                <c:pt idx="8">
                  <c:v>ACTUATOR</c:v>
                </c:pt>
                <c:pt idx="9">
                  <c:v>BASE</c:v>
                </c:pt>
                <c:pt idx="10">
                  <c:v>BOTTOM</c:v>
                </c:pt>
                <c:pt idx="11">
                  <c:v>BASE</c:v>
                </c:pt>
                <c:pt idx="12">
                  <c:v>FLOAT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'02'!$L$6:$L$21</c:f>
              <c:numCache>
                <c:formatCode>_(* #,##0_);_(* \(#,##0\);_(* "-"_);_(@_)</c:formatCode>
                <c:ptCount val="16"/>
                <c:pt idx="2">
                  <c:v>5414</c:v>
                </c:pt>
                <c:pt idx="3">
                  <c:v>3698</c:v>
                </c:pt>
                <c:pt idx="4">
                  <c:v>3888</c:v>
                </c:pt>
                <c:pt idx="5">
                  <c:v>3623</c:v>
                </c:pt>
                <c:pt idx="6">
                  <c:v>2740</c:v>
                </c:pt>
                <c:pt idx="7">
                  <c:v>2422</c:v>
                </c:pt>
                <c:pt idx="11">
                  <c:v>3986</c:v>
                </c:pt>
                <c:pt idx="13">
                  <c:v>3870</c:v>
                </c:pt>
                <c:pt idx="14">
                  <c:v>3119</c:v>
                </c:pt>
                <c:pt idx="15">
                  <c:v>35456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'02'!$D$6:$D$21</c:f>
              <c:strCache>
                <c:ptCount val="15"/>
                <c:pt idx="1">
                  <c:v>COVER</c:v>
                </c:pt>
                <c:pt idx="2">
                  <c:v>STOPPER</c:v>
                </c:pt>
                <c:pt idx="3">
                  <c:v>BASE</c:v>
                </c:pt>
                <c:pt idx="4">
                  <c:v>SLIDER</c:v>
                </c:pt>
                <c:pt idx="5">
                  <c:v>TOP</c:v>
                </c:pt>
                <c:pt idx="6">
                  <c:v>BOTTOM</c:v>
                </c:pt>
                <c:pt idx="7">
                  <c:v>BASE</c:v>
                </c:pt>
                <c:pt idx="8">
                  <c:v>ACTUATOR</c:v>
                </c:pt>
                <c:pt idx="9">
                  <c:v>BASE</c:v>
                </c:pt>
                <c:pt idx="10">
                  <c:v>BOTTOM</c:v>
                </c:pt>
                <c:pt idx="11">
                  <c:v>BASE</c:v>
                </c:pt>
                <c:pt idx="12">
                  <c:v>FLOAT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'02'!$J$6:$J$21</c:f>
              <c:numCache>
                <c:formatCode>_(* #,##0_);_(* \(#,##0\);_(* "-"_);_(@_)</c:formatCode>
                <c:ptCount val="16"/>
                <c:pt idx="1">
                  <c:v>1320</c:v>
                </c:pt>
                <c:pt idx="2">
                  <c:v>5420</c:v>
                </c:pt>
                <c:pt idx="3">
                  <c:v>3700</c:v>
                </c:pt>
                <c:pt idx="4">
                  <c:v>3890</c:v>
                </c:pt>
                <c:pt idx="5">
                  <c:v>3630</c:v>
                </c:pt>
                <c:pt idx="6">
                  <c:v>2740</c:v>
                </c:pt>
                <c:pt idx="7">
                  <c:v>2430</c:v>
                </c:pt>
                <c:pt idx="8">
                  <c:v>1750</c:v>
                </c:pt>
                <c:pt idx="9">
                  <c:v>240</c:v>
                </c:pt>
                <c:pt idx="10">
                  <c:v>15880</c:v>
                </c:pt>
                <c:pt idx="11">
                  <c:v>6710</c:v>
                </c:pt>
                <c:pt idx="12">
                  <c:v>2150</c:v>
                </c:pt>
                <c:pt idx="13">
                  <c:v>3870</c:v>
                </c:pt>
                <c:pt idx="14">
                  <c:v>3120</c:v>
                </c:pt>
                <c:pt idx="15">
                  <c:v>35460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882112"/>
        <c:axId val="649218880"/>
      </c:lineChart>
      <c:catAx>
        <c:axId val="62588211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649218880"/>
        <c:crosses val="autoZero"/>
        <c:auto val="1"/>
        <c:lblAlgn val="ctr"/>
        <c:lblOffset val="100"/>
        <c:noMultiLvlLbl val="0"/>
      </c:catAx>
      <c:valAx>
        <c:axId val="6492188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625882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'17'!$D$6:$D$20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SHAFT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LEAD GUIDE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'17'!$L$6:$L$20</c:f>
              <c:numCache>
                <c:formatCode>_(* #,##0_);_(* \(#,##0\);_(* "-"_);_(@_)</c:formatCode>
                <c:ptCount val="15"/>
                <c:pt idx="0">
                  <c:v>15045</c:v>
                </c:pt>
                <c:pt idx="1">
                  <c:v>12744</c:v>
                </c:pt>
                <c:pt idx="2">
                  <c:v>2190</c:v>
                </c:pt>
                <c:pt idx="3">
                  <c:v>74382</c:v>
                </c:pt>
                <c:pt idx="4">
                  <c:v>8200</c:v>
                </c:pt>
                <c:pt idx="5">
                  <c:v>6303</c:v>
                </c:pt>
                <c:pt idx="9">
                  <c:v>5451</c:v>
                </c:pt>
                <c:pt idx="12">
                  <c:v>2944</c:v>
                </c:pt>
                <c:pt idx="13">
                  <c:v>4424</c:v>
                </c:pt>
                <c:pt idx="14">
                  <c:v>46404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'17'!$D$6:$D$20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SHAFT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LEAD GUIDE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'17'!$J$6:$J$20</c:f>
              <c:numCache>
                <c:formatCode>_(* #,##0_);_(* \(#,##0\);_(* "-"_);_(@_)</c:formatCode>
                <c:ptCount val="15"/>
                <c:pt idx="0">
                  <c:v>15050</c:v>
                </c:pt>
                <c:pt idx="1">
                  <c:v>12750</c:v>
                </c:pt>
                <c:pt idx="2">
                  <c:v>2190</c:v>
                </c:pt>
                <c:pt idx="3">
                  <c:v>74390</c:v>
                </c:pt>
                <c:pt idx="4">
                  <c:v>8200</c:v>
                </c:pt>
                <c:pt idx="5">
                  <c:v>6310</c:v>
                </c:pt>
                <c:pt idx="6">
                  <c:v>420</c:v>
                </c:pt>
                <c:pt idx="7">
                  <c:v>3480</c:v>
                </c:pt>
                <c:pt idx="8">
                  <c:v>2330</c:v>
                </c:pt>
                <c:pt idx="9">
                  <c:v>5460</c:v>
                </c:pt>
                <c:pt idx="10">
                  <c:v>882</c:v>
                </c:pt>
                <c:pt idx="11">
                  <c:v>16150</c:v>
                </c:pt>
                <c:pt idx="12">
                  <c:v>2950</c:v>
                </c:pt>
                <c:pt idx="13">
                  <c:v>4430</c:v>
                </c:pt>
                <c:pt idx="14">
                  <c:v>46410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47392"/>
        <c:axId val="485133696"/>
      </c:lineChart>
      <c:catAx>
        <c:axId val="54034739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5133696"/>
        <c:crosses val="autoZero"/>
        <c:auto val="1"/>
        <c:lblAlgn val="ctr"/>
        <c:lblOffset val="100"/>
        <c:noMultiLvlLbl val="0"/>
      </c:catAx>
      <c:valAx>
        <c:axId val="48513369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40347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'17'!$AD$6:$AD$20</c:f>
              <c:strCache>
                <c:ptCount val="1"/>
                <c:pt idx="0">
                  <c:v>100% 100% 46% 92% 83% 100% 0% 0% 0% 100% 0% 0% 67% 92%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'17'!$D$6:$D$20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SHAFT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LEAD GUIDE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'17'!$AD$6:$AD$20</c:f>
              <c:numCache>
                <c:formatCode>0%</c:formatCode>
                <c:ptCount val="15"/>
                <c:pt idx="0">
                  <c:v>0.99966777408637875</c:v>
                </c:pt>
                <c:pt idx="1">
                  <c:v>0.99952941176470589</c:v>
                </c:pt>
                <c:pt idx="2">
                  <c:v>0.45833333333333331</c:v>
                </c:pt>
                <c:pt idx="3">
                  <c:v>0.91656808710848237</c:v>
                </c:pt>
                <c:pt idx="4">
                  <c:v>0.83333333333333337</c:v>
                </c:pt>
                <c:pt idx="5">
                  <c:v>0.99889064976228215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0.99835164835164836</c:v>
                </c:pt>
                <c:pt idx="10">
                  <c:v>0</c:v>
                </c:pt>
                <c:pt idx="11">
                  <c:v>0</c:v>
                </c:pt>
                <c:pt idx="12">
                  <c:v>0.66531073446327682</c:v>
                </c:pt>
                <c:pt idx="13">
                  <c:v>0.91542513167795325</c:v>
                </c:pt>
                <c:pt idx="14">
                  <c:v>0.99987071751777634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'17'!$D$6:$D$20</c:f>
              <c:strCache>
                <c:ptCount val="14"/>
                <c:pt idx="0">
                  <c:v>203T</c:v>
                </c:pt>
                <c:pt idx="1">
                  <c:v>201T</c:v>
                </c:pt>
                <c:pt idx="2">
                  <c:v>STOPPER</c:v>
                </c:pt>
                <c:pt idx="3">
                  <c:v>SHAFT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LEAD GUIDE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'17'!$AE$6:$AE$20</c:f>
              <c:numCache>
                <c:formatCode>0%</c:formatCode>
                <c:ptCount val="15"/>
                <c:pt idx="0">
                  <c:v>0.58568538809327797</c:v>
                </c:pt>
                <c:pt idx="1">
                  <c:v>0.58568538809327797</c:v>
                </c:pt>
                <c:pt idx="2">
                  <c:v>0.58568538809327797</c:v>
                </c:pt>
                <c:pt idx="3">
                  <c:v>0.58568538809327797</c:v>
                </c:pt>
                <c:pt idx="4">
                  <c:v>0.58568538809327797</c:v>
                </c:pt>
                <c:pt idx="5">
                  <c:v>0.58568538809327797</c:v>
                </c:pt>
                <c:pt idx="6">
                  <c:v>0.58568538809327797</c:v>
                </c:pt>
                <c:pt idx="7">
                  <c:v>0.58568538809327797</c:v>
                </c:pt>
                <c:pt idx="8">
                  <c:v>0.58568538809327797</c:v>
                </c:pt>
                <c:pt idx="9">
                  <c:v>0.58568538809327797</c:v>
                </c:pt>
                <c:pt idx="10">
                  <c:v>0.58568538809327797</c:v>
                </c:pt>
                <c:pt idx="11">
                  <c:v>0.58568538809327797</c:v>
                </c:pt>
                <c:pt idx="12">
                  <c:v>0.58568538809327797</c:v>
                </c:pt>
                <c:pt idx="13">
                  <c:v>0.58568538809327797</c:v>
                </c:pt>
                <c:pt idx="14">
                  <c:v>0.58568538809327797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08160"/>
        <c:axId val="485135424"/>
      </c:lineChart>
      <c:catAx>
        <c:axId val="54050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5135424"/>
        <c:crosses val="autoZero"/>
        <c:auto val="1"/>
        <c:lblAlgn val="ctr"/>
        <c:lblOffset val="100"/>
        <c:noMultiLvlLbl val="0"/>
      </c:catAx>
      <c:valAx>
        <c:axId val="4851354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40508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508672"/>
        <c:axId val="48513772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08672"/>
        <c:axId val="485137728"/>
      </c:lineChart>
      <c:catAx>
        <c:axId val="54050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85137728"/>
        <c:crosses val="autoZero"/>
        <c:auto val="1"/>
        <c:lblAlgn val="ctr"/>
        <c:lblOffset val="100"/>
        <c:noMultiLvlLbl val="0"/>
      </c:catAx>
      <c:valAx>
        <c:axId val="4851377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050867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'18'!$D$6:$D$21</c:f>
              <c:strCache>
                <c:ptCount val="15"/>
                <c:pt idx="0">
                  <c:v>203T</c:v>
                </c:pt>
                <c:pt idx="1">
                  <c:v>HOLDER</c:v>
                </c:pt>
                <c:pt idx="2">
                  <c:v>STOPPER</c:v>
                </c:pt>
                <c:pt idx="3">
                  <c:v>SHAFT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'18'!$L$6:$L$21</c:f>
              <c:numCache>
                <c:formatCode>_(* #,##0_);_(* \(#,##0\);_(* "-"_);_(@_)</c:formatCode>
                <c:ptCount val="16"/>
                <c:pt idx="0">
                  <c:v>15612</c:v>
                </c:pt>
                <c:pt idx="1">
                  <c:v>8332</c:v>
                </c:pt>
                <c:pt idx="2">
                  <c:v>5474</c:v>
                </c:pt>
                <c:pt idx="3">
                  <c:v>91504</c:v>
                </c:pt>
                <c:pt idx="4">
                  <c:v>4546</c:v>
                </c:pt>
                <c:pt idx="5">
                  <c:v>6504</c:v>
                </c:pt>
                <c:pt idx="9">
                  <c:v>3676</c:v>
                </c:pt>
                <c:pt idx="11">
                  <c:v>4436</c:v>
                </c:pt>
                <c:pt idx="12">
                  <c:v>873</c:v>
                </c:pt>
                <c:pt idx="13">
                  <c:v>4454</c:v>
                </c:pt>
                <c:pt idx="14">
                  <c:v>5402</c:v>
                </c:pt>
                <c:pt idx="15">
                  <c:v>60468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'18'!$D$6:$D$21</c:f>
              <c:strCache>
                <c:ptCount val="15"/>
                <c:pt idx="0">
                  <c:v>203T</c:v>
                </c:pt>
                <c:pt idx="1">
                  <c:v>HOLDER</c:v>
                </c:pt>
                <c:pt idx="2">
                  <c:v>STOPPER</c:v>
                </c:pt>
                <c:pt idx="3">
                  <c:v>SHAFT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'18'!$J$6:$J$21</c:f>
              <c:numCache>
                <c:formatCode>_(* #,##0_);_(* \(#,##0\);_(* "-"_);_(@_)</c:formatCode>
                <c:ptCount val="16"/>
                <c:pt idx="0">
                  <c:v>15620</c:v>
                </c:pt>
                <c:pt idx="1">
                  <c:v>8340</c:v>
                </c:pt>
                <c:pt idx="2">
                  <c:v>5480</c:v>
                </c:pt>
                <c:pt idx="3">
                  <c:v>91510</c:v>
                </c:pt>
                <c:pt idx="4">
                  <c:v>4550</c:v>
                </c:pt>
                <c:pt idx="5">
                  <c:v>6510</c:v>
                </c:pt>
                <c:pt idx="6">
                  <c:v>420</c:v>
                </c:pt>
                <c:pt idx="7">
                  <c:v>3680</c:v>
                </c:pt>
                <c:pt idx="8">
                  <c:v>2330</c:v>
                </c:pt>
                <c:pt idx="9">
                  <c:v>3680</c:v>
                </c:pt>
                <c:pt idx="10">
                  <c:v>882</c:v>
                </c:pt>
                <c:pt idx="11">
                  <c:v>4440</c:v>
                </c:pt>
                <c:pt idx="12">
                  <c:v>880</c:v>
                </c:pt>
                <c:pt idx="13">
                  <c:v>4460</c:v>
                </c:pt>
                <c:pt idx="14">
                  <c:v>5410</c:v>
                </c:pt>
                <c:pt idx="15">
                  <c:v>60470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505024"/>
        <c:axId val="486549184"/>
      </c:lineChart>
      <c:catAx>
        <c:axId val="54150502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6549184"/>
        <c:crosses val="autoZero"/>
        <c:auto val="1"/>
        <c:lblAlgn val="ctr"/>
        <c:lblOffset val="100"/>
        <c:noMultiLvlLbl val="0"/>
      </c:catAx>
      <c:valAx>
        <c:axId val="48654918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41505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'18'!$AD$6:$AD$21</c:f>
              <c:strCache>
                <c:ptCount val="1"/>
                <c:pt idx="0">
                  <c:v>100% 92% 96% 100% 37% 100% 0% 0% 0% 75% 0% 79% 21% 75% 100%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'18'!$D$6:$D$21</c:f>
              <c:strCache>
                <c:ptCount val="15"/>
                <c:pt idx="0">
                  <c:v>203T</c:v>
                </c:pt>
                <c:pt idx="1">
                  <c:v>HOLDER</c:v>
                </c:pt>
                <c:pt idx="2">
                  <c:v>STOPPER</c:v>
                </c:pt>
                <c:pt idx="3">
                  <c:v>SHAFT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'18'!$AD$6:$AD$21</c:f>
              <c:numCache>
                <c:formatCode>0%</c:formatCode>
                <c:ptCount val="16"/>
                <c:pt idx="0">
                  <c:v>0.99948783610755443</c:v>
                </c:pt>
                <c:pt idx="1">
                  <c:v>0.91578737010391686</c:v>
                </c:pt>
                <c:pt idx="2">
                  <c:v>0.95728406326034066</c:v>
                </c:pt>
                <c:pt idx="3">
                  <c:v>0.99993443339525734</c:v>
                </c:pt>
                <c:pt idx="4">
                  <c:v>0.37467032967032965</c:v>
                </c:pt>
                <c:pt idx="5">
                  <c:v>0.99907834101382487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0.74918478260869559</c:v>
                </c:pt>
                <c:pt idx="10">
                  <c:v>0</c:v>
                </c:pt>
                <c:pt idx="11">
                  <c:v>0.79095345345345347</c:v>
                </c:pt>
                <c:pt idx="12">
                  <c:v>0.20667613636363638</c:v>
                </c:pt>
                <c:pt idx="13">
                  <c:v>0.74899103139013445</c:v>
                </c:pt>
                <c:pt idx="14">
                  <c:v>0.99852125693160809</c:v>
                </c:pt>
                <c:pt idx="15">
                  <c:v>0.99996692574830492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'18'!$D$6:$D$21</c:f>
              <c:strCache>
                <c:ptCount val="15"/>
                <c:pt idx="0">
                  <c:v>203T</c:v>
                </c:pt>
                <c:pt idx="1">
                  <c:v>HOLDER</c:v>
                </c:pt>
                <c:pt idx="2">
                  <c:v>STOPPER</c:v>
                </c:pt>
                <c:pt idx="3">
                  <c:v>SHAFT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'18'!$AE$6:$AE$21</c:f>
              <c:numCache>
                <c:formatCode>0%</c:formatCode>
                <c:ptCount val="16"/>
                <c:pt idx="0">
                  <c:v>0.6493690640031371</c:v>
                </c:pt>
                <c:pt idx="1">
                  <c:v>0.6493690640031371</c:v>
                </c:pt>
                <c:pt idx="2">
                  <c:v>0.6493690640031371</c:v>
                </c:pt>
                <c:pt idx="3">
                  <c:v>0.6493690640031371</c:v>
                </c:pt>
                <c:pt idx="4">
                  <c:v>0.6493690640031371</c:v>
                </c:pt>
                <c:pt idx="5">
                  <c:v>0.6493690640031371</c:v>
                </c:pt>
                <c:pt idx="6">
                  <c:v>0.6493690640031371</c:v>
                </c:pt>
                <c:pt idx="7">
                  <c:v>0.6493690640031371</c:v>
                </c:pt>
                <c:pt idx="8">
                  <c:v>0.6493690640031371</c:v>
                </c:pt>
                <c:pt idx="9">
                  <c:v>0.6493690640031371</c:v>
                </c:pt>
                <c:pt idx="10">
                  <c:v>0.6493690640031371</c:v>
                </c:pt>
                <c:pt idx="11">
                  <c:v>0.6493690640031371</c:v>
                </c:pt>
                <c:pt idx="12">
                  <c:v>0.6493690640031371</c:v>
                </c:pt>
                <c:pt idx="13">
                  <c:v>0.6493690640031371</c:v>
                </c:pt>
                <c:pt idx="14">
                  <c:v>0.6493690640031371</c:v>
                </c:pt>
                <c:pt idx="15">
                  <c:v>0.6493690640031371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506048"/>
        <c:axId val="486550912"/>
      </c:lineChart>
      <c:catAx>
        <c:axId val="54150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6550912"/>
        <c:crosses val="autoZero"/>
        <c:auto val="1"/>
        <c:lblAlgn val="ctr"/>
        <c:lblOffset val="100"/>
        <c:noMultiLvlLbl val="0"/>
      </c:catAx>
      <c:valAx>
        <c:axId val="48655091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4150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'18'!$D$6:$D$21</c:f>
              <c:strCache>
                <c:ptCount val="15"/>
                <c:pt idx="0">
                  <c:v>203T</c:v>
                </c:pt>
                <c:pt idx="1">
                  <c:v>HOLDER</c:v>
                </c:pt>
                <c:pt idx="2">
                  <c:v>STOPPER</c:v>
                </c:pt>
                <c:pt idx="3">
                  <c:v>SHAFT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'18'!$L$6:$L$21</c:f>
              <c:numCache>
                <c:formatCode>_(* #,##0_);_(* \(#,##0\);_(* "-"_);_(@_)</c:formatCode>
                <c:ptCount val="16"/>
                <c:pt idx="0">
                  <c:v>15612</c:v>
                </c:pt>
                <c:pt idx="1">
                  <c:v>8332</c:v>
                </c:pt>
                <c:pt idx="2">
                  <c:v>5474</c:v>
                </c:pt>
                <c:pt idx="3">
                  <c:v>91504</c:v>
                </c:pt>
                <c:pt idx="4">
                  <c:v>4546</c:v>
                </c:pt>
                <c:pt idx="5">
                  <c:v>6504</c:v>
                </c:pt>
                <c:pt idx="9">
                  <c:v>3676</c:v>
                </c:pt>
                <c:pt idx="11">
                  <c:v>4436</c:v>
                </c:pt>
                <c:pt idx="12">
                  <c:v>873</c:v>
                </c:pt>
                <c:pt idx="13">
                  <c:v>4454</c:v>
                </c:pt>
                <c:pt idx="14">
                  <c:v>5402</c:v>
                </c:pt>
                <c:pt idx="15">
                  <c:v>60468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'18'!$D$6:$D$21</c:f>
              <c:strCache>
                <c:ptCount val="15"/>
                <c:pt idx="0">
                  <c:v>203T</c:v>
                </c:pt>
                <c:pt idx="1">
                  <c:v>HOLDER</c:v>
                </c:pt>
                <c:pt idx="2">
                  <c:v>STOPPER</c:v>
                </c:pt>
                <c:pt idx="3">
                  <c:v>SHAFT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'18'!$J$6:$J$21</c:f>
              <c:numCache>
                <c:formatCode>_(* #,##0_);_(* \(#,##0\);_(* "-"_);_(@_)</c:formatCode>
                <c:ptCount val="16"/>
                <c:pt idx="0">
                  <c:v>15620</c:v>
                </c:pt>
                <c:pt idx="1">
                  <c:v>8340</c:v>
                </c:pt>
                <c:pt idx="2">
                  <c:v>5480</c:v>
                </c:pt>
                <c:pt idx="3">
                  <c:v>91510</c:v>
                </c:pt>
                <c:pt idx="4">
                  <c:v>4550</c:v>
                </c:pt>
                <c:pt idx="5">
                  <c:v>6510</c:v>
                </c:pt>
                <c:pt idx="6">
                  <c:v>420</c:v>
                </c:pt>
                <c:pt idx="7">
                  <c:v>3680</c:v>
                </c:pt>
                <c:pt idx="8">
                  <c:v>2330</c:v>
                </c:pt>
                <c:pt idx="9">
                  <c:v>3680</c:v>
                </c:pt>
                <c:pt idx="10">
                  <c:v>882</c:v>
                </c:pt>
                <c:pt idx="11">
                  <c:v>4440</c:v>
                </c:pt>
                <c:pt idx="12">
                  <c:v>880</c:v>
                </c:pt>
                <c:pt idx="13">
                  <c:v>4460</c:v>
                </c:pt>
                <c:pt idx="14">
                  <c:v>5410</c:v>
                </c:pt>
                <c:pt idx="15">
                  <c:v>60470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507072"/>
        <c:axId val="486553216"/>
      </c:lineChart>
      <c:catAx>
        <c:axId val="54150707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6553216"/>
        <c:crosses val="autoZero"/>
        <c:auto val="1"/>
        <c:lblAlgn val="ctr"/>
        <c:lblOffset val="100"/>
        <c:noMultiLvlLbl val="0"/>
      </c:catAx>
      <c:valAx>
        <c:axId val="48655321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41507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'18'!$AD$6:$AD$21</c:f>
              <c:strCache>
                <c:ptCount val="1"/>
                <c:pt idx="0">
                  <c:v>100% 92% 96% 100% 37% 100% 0% 0% 0% 75% 0% 79% 21% 75% 100%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'18'!$D$6:$D$21</c:f>
              <c:strCache>
                <c:ptCount val="15"/>
                <c:pt idx="0">
                  <c:v>203T</c:v>
                </c:pt>
                <c:pt idx="1">
                  <c:v>HOLDER</c:v>
                </c:pt>
                <c:pt idx="2">
                  <c:v>STOPPER</c:v>
                </c:pt>
                <c:pt idx="3">
                  <c:v>SHAFT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'18'!$AD$6:$AD$21</c:f>
              <c:numCache>
                <c:formatCode>0%</c:formatCode>
                <c:ptCount val="16"/>
                <c:pt idx="0">
                  <c:v>0.99948783610755443</c:v>
                </c:pt>
                <c:pt idx="1">
                  <c:v>0.91578737010391686</c:v>
                </c:pt>
                <c:pt idx="2">
                  <c:v>0.95728406326034066</c:v>
                </c:pt>
                <c:pt idx="3">
                  <c:v>0.99993443339525734</c:v>
                </c:pt>
                <c:pt idx="4">
                  <c:v>0.37467032967032965</c:v>
                </c:pt>
                <c:pt idx="5">
                  <c:v>0.99907834101382487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0.74918478260869559</c:v>
                </c:pt>
                <c:pt idx="10">
                  <c:v>0</c:v>
                </c:pt>
                <c:pt idx="11">
                  <c:v>0.79095345345345347</c:v>
                </c:pt>
                <c:pt idx="12">
                  <c:v>0.20667613636363638</c:v>
                </c:pt>
                <c:pt idx="13">
                  <c:v>0.74899103139013445</c:v>
                </c:pt>
                <c:pt idx="14">
                  <c:v>0.99852125693160809</c:v>
                </c:pt>
                <c:pt idx="15">
                  <c:v>0.99996692574830492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'18'!$D$6:$D$21</c:f>
              <c:strCache>
                <c:ptCount val="15"/>
                <c:pt idx="0">
                  <c:v>203T</c:v>
                </c:pt>
                <c:pt idx="1">
                  <c:v>HOLDER</c:v>
                </c:pt>
                <c:pt idx="2">
                  <c:v>STOPPER</c:v>
                </c:pt>
                <c:pt idx="3">
                  <c:v>SHAFT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COVER</c:v>
                </c:pt>
                <c:pt idx="9">
                  <c:v>SAM</c:v>
                </c:pt>
                <c:pt idx="10">
                  <c:v>STOPPER</c:v>
                </c:pt>
                <c:pt idx="11">
                  <c:v>COVER</c:v>
                </c:pt>
                <c:pt idx="12">
                  <c:v>ACTUATOR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'18'!$AE$6:$AE$21</c:f>
              <c:numCache>
                <c:formatCode>0%</c:formatCode>
                <c:ptCount val="16"/>
                <c:pt idx="0">
                  <c:v>0.6493690640031371</c:v>
                </c:pt>
                <c:pt idx="1">
                  <c:v>0.6493690640031371</c:v>
                </c:pt>
                <c:pt idx="2">
                  <c:v>0.6493690640031371</c:v>
                </c:pt>
                <c:pt idx="3">
                  <c:v>0.6493690640031371</c:v>
                </c:pt>
                <c:pt idx="4">
                  <c:v>0.6493690640031371</c:v>
                </c:pt>
                <c:pt idx="5">
                  <c:v>0.6493690640031371</c:v>
                </c:pt>
                <c:pt idx="6">
                  <c:v>0.6493690640031371</c:v>
                </c:pt>
                <c:pt idx="7">
                  <c:v>0.6493690640031371</c:v>
                </c:pt>
                <c:pt idx="8">
                  <c:v>0.6493690640031371</c:v>
                </c:pt>
                <c:pt idx="9">
                  <c:v>0.6493690640031371</c:v>
                </c:pt>
                <c:pt idx="10">
                  <c:v>0.6493690640031371</c:v>
                </c:pt>
                <c:pt idx="11">
                  <c:v>0.6493690640031371</c:v>
                </c:pt>
                <c:pt idx="12">
                  <c:v>0.6493690640031371</c:v>
                </c:pt>
                <c:pt idx="13">
                  <c:v>0.6493690640031371</c:v>
                </c:pt>
                <c:pt idx="14">
                  <c:v>0.6493690640031371</c:v>
                </c:pt>
                <c:pt idx="15">
                  <c:v>0.6493690640031371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351360"/>
        <c:axId val="486554944"/>
      </c:lineChart>
      <c:catAx>
        <c:axId val="54235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6554944"/>
        <c:crosses val="autoZero"/>
        <c:auto val="1"/>
        <c:lblAlgn val="ctr"/>
        <c:lblOffset val="100"/>
        <c:noMultiLvlLbl val="0"/>
      </c:catAx>
      <c:valAx>
        <c:axId val="4865549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42351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506560"/>
        <c:axId val="48670483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506560"/>
        <c:axId val="486704832"/>
      </c:lineChart>
      <c:catAx>
        <c:axId val="54150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86704832"/>
        <c:crosses val="autoZero"/>
        <c:auto val="1"/>
        <c:lblAlgn val="ctr"/>
        <c:lblOffset val="100"/>
        <c:noMultiLvlLbl val="0"/>
      </c:catAx>
      <c:valAx>
        <c:axId val="486704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150656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'21'!$D$6:$D$20</c:f>
              <c:strCache>
                <c:ptCount val="14"/>
                <c:pt idx="0">
                  <c:v>203T</c:v>
                </c:pt>
                <c:pt idx="1">
                  <c:v>HOLDER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'21'!$L$6:$L$20</c:f>
              <c:numCache>
                <c:formatCode>_(* #,##0_);_(* \(#,##0\);_(* "-"_);_(@_)</c:formatCode>
                <c:ptCount val="15"/>
                <c:pt idx="2">
                  <c:v>1911</c:v>
                </c:pt>
                <c:pt idx="3">
                  <c:v>2106</c:v>
                </c:pt>
                <c:pt idx="4">
                  <c:v>8328</c:v>
                </c:pt>
                <c:pt idx="5">
                  <c:v>2821</c:v>
                </c:pt>
                <c:pt idx="9">
                  <c:v>1585</c:v>
                </c:pt>
                <c:pt idx="10">
                  <c:v>1291</c:v>
                </c:pt>
                <c:pt idx="11">
                  <c:v>6673</c:v>
                </c:pt>
                <c:pt idx="12">
                  <c:v>5573</c:v>
                </c:pt>
                <c:pt idx="13">
                  <c:v>3104</c:v>
                </c:pt>
                <c:pt idx="14">
                  <c:v>70332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'21'!$D$6:$D$20</c:f>
              <c:strCache>
                <c:ptCount val="14"/>
                <c:pt idx="0">
                  <c:v>203T</c:v>
                </c:pt>
                <c:pt idx="1">
                  <c:v>HOLDER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'21'!$J$6:$J$20</c:f>
              <c:numCache>
                <c:formatCode>_(* #,##0_);_(* \(#,##0\);_(* "-"_);_(@_)</c:formatCode>
                <c:ptCount val="15"/>
                <c:pt idx="0">
                  <c:v>340</c:v>
                </c:pt>
                <c:pt idx="1">
                  <c:v>8340</c:v>
                </c:pt>
                <c:pt idx="2">
                  <c:v>1920</c:v>
                </c:pt>
                <c:pt idx="3">
                  <c:v>2110</c:v>
                </c:pt>
                <c:pt idx="4">
                  <c:v>8330</c:v>
                </c:pt>
                <c:pt idx="5">
                  <c:v>2830</c:v>
                </c:pt>
                <c:pt idx="6">
                  <c:v>770</c:v>
                </c:pt>
                <c:pt idx="7">
                  <c:v>1130</c:v>
                </c:pt>
                <c:pt idx="8">
                  <c:v>2330</c:v>
                </c:pt>
                <c:pt idx="9">
                  <c:v>1590</c:v>
                </c:pt>
                <c:pt idx="10">
                  <c:v>1300</c:v>
                </c:pt>
                <c:pt idx="11">
                  <c:v>6680</c:v>
                </c:pt>
                <c:pt idx="12">
                  <c:v>5580</c:v>
                </c:pt>
                <c:pt idx="13">
                  <c:v>3110</c:v>
                </c:pt>
                <c:pt idx="14">
                  <c:v>70340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618560"/>
        <c:axId val="486707712"/>
      </c:lineChart>
      <c:catAx>
        <c:axId val="54361856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6707712"/>
        <c:crosses val="autoZero"/>
        <c:auto val="1"/>
        <c:lblAlgn val="ctr"/>
        <c:lblOffset val="100"/>
        <c:noMultiLvlLbl val="0"/>
      </c:catAx>
      <c:valAx>
        <c:axId val="48670771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4361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'21'!$AD$6:$AD$20</c:f>
              <c:strCache>
                <c:ptCount val="1"/>
                <c:pt idx="0">
                  <c:v>0% 0% 41% 46% 87% 71% 0% 0% 0% 37% 29% 100% 100% 62%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'21'!$D$6:$D$20</c:f>
              <c:strCache>
                <c:ptCount val="14"/>
                <c:pt idx="0">
                  <c:v>203T</c:v>
                </c:pt>
                <c:pt idx="1">
                  <c:v>HOLDER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0.41471354166666669</c:v>
                </c:pt>
                <c:pt idx="3">
                  <c:v>0.45746445497630328</c:v>
                </c:pt>
                <c:pt idx="4">
                  <c:v>0.87478991596638656</c:v>
                </c:pt>
                <c:pt idx="5">
                  <c:v>0.70608068315665484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0.37382075471698112</c:v>
                </c:pt>
                <c:pt idx="10">
                  <c:v>0.28964743589743591</c:v>
                </c:pt>
                <c:pt idx="11">
                  <c:v>0.99895209580838318</c:v>
                </c:pt>
                <c:pt idx="12">
                  <c:v>0.99874551971326164</c:v>
                </c:pt>
                <c:pt idx="13">
                  <c:v>0.6237942122186495</c:v>
                </c:pt>
                <c:pt idx="14">
                  <c:v>0.99988626670457781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'21'!$D$6:$D$20</c:f>
              <c:strCache>
                <c:ptCount val="14"/>
                <c:pt idx="0">
                  <c:v>203T</c:v>
                </c:pt>
                <c:pt idx="1">
                  <c:v>HOLDER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'21'!$AE$6:$AE$20</c:f>
              <c:numCache>
                <c:formatCode>0%</c:formatCode>
                <c:ptCount val="15"/>
                <c:pt idx="0">
                  <c:v>0.44919299205502006</c:v>
                </c:pt>
                <c:pt idx="1">
                  <c:v>0.44919299205502006</c:v>
                </c:pt>
                <c:pt idx="2">
                  <c:v>0.44919299205502006</c:v>
                </c:pt>
                <c:pt idx="3">
                  <c:v>0.44919299205502006</c:v>
                </c:pt>
                <c:pt idx="4">
                  <c:v>0.44919299205502006</c:v>
                </c:pt>
                <c:pt idx="5">
                  <c:v>0.44919299205502006</c:v>
                </c:pt>
                <c:pt idx="6">
                  <c:v>0.44919299205502006</c:v>
                </c:pt>
                <c:pt idx="7">
                  <c:v>0.44919299205502006</c:v>
                </c:pt>
                <c:pt idx="8">
                  <c:v>0.44919299205502006</c:v>
                </c:pt>
                <c:pt idx="9">
                  <c:v>0.44919299205502006</c:v>
                </c:pt>
                <c:pt idx="10">
                  <c:v>0.44919299205502006</c:v>
                </c:pt>
                <c:pt idx="11">
                  <c:v>0.44919299205502006</c:v>
                </c:pt>
                <c:pt idx="12">
                  <c:v>0.44919299205502006</c:v>
                </c:pt>
                <c:pt idx="13">
                  <c:v>0.44919299205502006</c:v>
                </c:pt>
                <c:pt idx="14">
                  <c:v>0.44919299205502006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620608"/>
        <c:axId val="486709440"/>
      </c:lineChart>
      <c:catAx>
        <c:axId val="54362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6709440"/>
        <c:crosses val="autoZero"/>
        <c:auto val="1"/>
        <c:lblAlgn val="ctr"/>
        <c:lblOffset val="100"/>
        <c:noMultiLvlLbl val="0"/>
      </c:catAx>
      <c:valAx>
        <c:axId val="4867094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43620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'02'!$AD$6:$AD$21</c:f>
              <c:strCache>
                <c:ptCount val="1"/>
                <c:pt idx="0">
                  <c:v>0% 0% 100% 83% 87% 62% 67% 66% 0% 0% 0% 52% 0% 83% 75% 79%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'02'!$D$6:$D$21</c:f>
              <c:strCache>
                <c:ptCount val="15"/>
                <c:pt idx="1">
                  <c:v>COVER</c:v>
                </c:pt>
                <c:pt idx="2">
                  <c:v>STOPPER</c:v>
                </c:pt>
                <c:pt idx="3">
                  <c:v>BASE</c:v>
                </c:pt>
                <c:pt idx="4">
                  <c:v>SLIDER</c:v>
                </c:pt>
                <c:pt idx="5">
                  <c:v>TOP</c:v>
                </c:pt>
                <c:pt idx="6">
                  <c:v>BOTTOM</c:v>
                </c:pt>
                <c:pt idx="7">
                  <c:v>BASE</c:v>
                </c:pt>
                <c:pt idx="8">
                  <c:v>ACTUATOR</c:v>
                </c:pt>
                <c:pt idx="9">
                  <c:v>BASE</c:v>
                </c:pt>
                <c:pt idx="10">
                  <c:v>BOTTOM</c:v>
                </c:pt>
                <c:pt idx="11">
                  <c:v>BASE</c:v>
                </c:pt>
                <c:pt idx="12">
                  <c:v>FLOAT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'02'!$AD$6:$AD$21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0.99889298892988931</c:v>
                </c:pt>
                <c:pt idx="3">
                  <c:v>0.83288288288288292</c:v>
                </c:pt>
                <c:pt idx="4">
                  <c:v>0.87455012853470437</c:v>
                </c:pt>
                <c:pt idx="5">
                  <c:v>0.62379476584022031</c:v>
                </c:pt>
                <c:pt idx="6">
                  <c:v>0.66666666666666663</c:v>
                </c:pt>
                <c:pt idx="7">
                  <c:v>0.66447187928669404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0.51978390461997015</c:v>
                </c:pt>
                <c:pt idx="12">
                  <c:v>0</c:v>
                </c:pt>
                <c:pt idx="13">
                  <c:v>0.83333333333333337</c:v>
                </c:pt>
                <c:pt idx="14">
                  <c:v>0.74975961538461533</c:v>
                </c:pt>
                <c:pt idx="15">
                  <c:v>0.79157736416619662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'02'!$D$6:$D$21</c:f>
              <c:strCache>
                <c:ptCount val="15"/>
                <c:pt idx="1">
                  <c:v>COVER</c:v>
                </c:pt>
                <c:pt idx="2">
                  <c:v>STOPPER</c:v>
                </c:pt>
                <c:pt idx="3">
                  <c:v>BASE</c:v>
                </c:pt>
                <c:pt idx="4">
                  <c:v>SLIDER</c:v>
                </c:pt>
                <c:pt idx="5">
                  <c:v>TOP</c:v>
                </c:pt>
                <c:pt idx="6">
                  <c:v>BOTTOM</c:v>
                </c:pt>
                <c:pt idx="7">
                  <c:v>BASE</c:v>
                </c:pt>
                <c:pt idx="8">
                  <c:v>ACTUATOR</c:v>
                </c:pt>
                <c:pt idx="9">
                  <c:v>BASE</c:v>
                </c:pt>
                <c:pt idx="10">
                  <c:v>BOTTOM</c:v>
                </c:pt>
                <c:pt idx="11">
                  <c:v>BASE</c:v>
                </c:pt>
                <c:pt idx="12">
                  <c:v>FLOAT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'02'!$AE$6:$AE$21</c:f>
              <c:numCache>
                <c:formatCode>0%</c:formatCode>
                <c:ptCount val="16"/>
                <c:pt idx="0">
                  <c:v>0.50371423530967818</c:v>
                </c:pt>
                <c:pt idx="1">
                  <c:v>0.50371423530967818</c:v>
                </c:pt>
                <c:pt idx="2">
                  <c:v>0.50371423530967818</c:v>
                </c:pt>
                <c:pt idx="3">
                  <c:v>0.50371423530967818</c:v>
                </c:pt>
                <c:pt idx="4">
                  <c:v>0.50371423530967818</c:v>
                </c:pt>
                <c:pt idx="5">
                  <c:v>0.50371423530967818</c:v>
                </c:pt>
                <c:pt idx="6">
                  <c:v>0.50371423530967818</c:v>
                </c:pt>
                <c:pt idx="7">
                  <c:v>0.50371423530967818</c:v>
                </c:pt>
                <c:pt idx="8">
                  <c:v>0.50371423530967818</c:v>
                </c:pt>
                <c:pt idx="9">
                  <c:v>0.50371423530967818</c:v>
                </c:pt>
                <c:pt idx="10">
                  <c:v>0.50371423530967818</c:v>
                </c:pt>
                <c:pt idx="11">
                  <c:v>0.50371423530967818</c:v>
                </c:pt>
                <c:pt idx="12">
                  <c:v>0.50371423530967818</c:v>
                </c:pt>
                <c:pt idx="13">
                  <c:v>0.50371423530967818</c:v>
                </c:pt>
                <c:pt idx="14">
                  <c:v>0.50371423530967818</c:v>
                </c:pt>
                <c:pt idx="15">
                  <c:v>0.50371423530967818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649344"/>
        <c:axId val="649220608"/>
      </c:lineChart>
      <c:catAx>
        <c:axId val="63864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649220608"/>
        <c:crosses val="autoZero"/>
        <c:auto val="1"/>
        <c:lblAlgn val="ctr"/>
        <c:lblOffset val="100"/>
        <c:noMultiLvlLbl val="0"/>
      </c:catAx>
      <c:valAx>
        <c:axId val="6492206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638649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'21'!$D$6:$D$20</c:f>
              <c:strCache>
                <c:ptCount val="14"/>
                <c:pt idx="0">
                  <c:v>203T</c:v>
                </c:pt>
                <c:pt idx="1">
                  <c:v>HOLDER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'21'!$L$6:$L$20</c:f>
              <c:numCache>
                <c:formatCode>_(* #,##0_);_(* \(#,##0\);_(* "-"_);_(@_)</c:formatCode>
                <c:ptCount val="15"/>
                <c:pt idx="2">
                  <c:v>1911</c:v>
                </c:pt>
                <c:pt idx="3">
                  <c:v>2106</c:v>
                </c:pt>
                <c:pt idx="4">
                  <c:v>8328</c:v>
                </c:pt>
                <c:pt idx="5">
                  <c:v>2821</c:v>
                </c:pt>
                <c:pt idx="9">
                  <c:v>1585</c:v>
                </c:pt>
                <c:pt idx="10">
                  <c:v>1291</c:v>
                </c:pt>
                <c:pt idx="11">
                  <c:v>6673</c:v>
                </c:pt>
                <c:pt idx="12">
                  <c:v>5573</c:v>
                </c:pt>
                <c:pt idx="13">
                  <c:v>3104</c:v>
                </c:pt>
                <c:pt idx="14">
                  <c:v>70332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'21'!$D$6:$D$20</c:f>
              <c:strCache>
                <c:ptCount val="14"/>
                <c:pt idx="0">
                  <c:v>203T</c:v>
                </c:pt>
                <c:pt idx="1">
                  <c:v>HOLDER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'21'!$J$6:$J$20</c:f>
              <c:numCache>
                <c:formatCode>_(* #,##0_);_(* \(#,##0\);_(* "-"_);_(@_)</c:formatCode>
                <c:ptCount val="15"/>
                <c:pt idx="0">
                  <c:v>340</c:v>
                </c:pt>
                <c:pt idx="1">
                  <c:v>8340</c:v>
                </c:pt>
                <c:pt idx="2">
                  <c:v>1920</c:v>
                </c:pt>
                <c:pt idx="3">
                  <c:v>2110</c:v>
                </c:pt>
                <c:pt idx="4">
                  <c:v>8330</c:v>
                </c:pt>
                <c:pt idx="5">
                  <c:v>2830</c:v>
                </c:pt>
                <c:pt idx="6">
                  <c:v>770</c:v>
                </c:pt>
                <c:pt idx="7">
                  <c:v>1130</c:v>
                </c:pt>
                <c:pt idx="8">
                  <c:v>2330</c:v>
                </c:pt>
                <c:pt idx="9">
                  <c:v>1590</c:v>
                </c:pt>
                <c:pt idx="10">
                  <c:v>1300</c:v>
                </c:pt>
                <c:pt idx="11">
                  <c:v>6680</c:v>
                </c:pt>
                <c:pt idx="12">
                  <c:v>5580</c:v>
                </c:pt>
                <c:pt idx="13">
                  <c:v>3110</c:v>
                </c:pt>
                <c:pt idx="14">
                  <c:v>70340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879168"/>
        <c:axId val="487465536"/>
      </c:lineChart>
      <c:catAx>
        <c:axId val="54387916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7465536"/>
        <c:crosses val="autoZero"/>
        <c:auto val="1"/>
        <c:lblAlgn val="ctr"/>
        <c:lblOffset val="100"/>
        <c:noMultiLvlLbl val="0"/>
      </c:catAx>
      <c:valAx>
        <c:axId val="48746553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43879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'21'!$AD$6:$AD$20</c:f>
              <c:strCache>
                <c:ptCount val="1"/>
                <c:pt idx="0">
                  <c:v>0% 0% 41% 46% 87% 71% 0% 0% 0% 37% 29% 100% 100% 62%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'21'!$D$6:$D$20</c:f>
              <c:strCache>
                <c:ptCount val="14"/>
                <c:pt idx="0">
                  <c:v>203T</c:v>
                </c:pt>
                <c:pt idx="1">
                  <c:v>HOLDER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0.41471354166666669</c:v>
                </c:pt>
                <c:pt idx="3">
                  <c:v>0.45746445497630328</c:v>
                </c:pt>
                <c:pt idx="4">
                  <c:v>0.87478991596638656</c:v>
                </c:pt>
                <c:pt idx="5">
                  <c:v>0.70608068315665484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0.37382075471698112</c:v>
                </c:pt>
                <c:pt idx="10">
                  <c:v>0.28964743589743591</c:v>
                </c:pt>
                <c:pt idx="11">
                  <c:v>0.99895209580838318</c:v>
                </c:pt>
                <c:pt idx="12">
                  <c:v>0.99874551971326164</c:v>
                </c:pt>
                <c:pt idx="13">
                  <c:v>0.6237942122186495</c:v>
                </c:pt>
                <c:pt idx="14">
                  <c:v>0.99988626670457781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'21'!$D$6:$D$20</c:f>
              <c:strCache>
                <c:ptCount val="14"/>
                <c:pt idx="0">
                  <c:v>203T</c:v>
                </c:pt>
                <c:pt idx="1">
                  <c:v>HOLDER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COVER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'21'!$AE$6:$AE$20</c:f>
              <c:numCache>
                <c:formatCode>0%</c:formatCode>
                <c:ptCount val="15"/>
                <c:pt idx="0">
                  <c:v>0.44919299205502006</c:v>
                </c:pt>
                <c:pt idx="1">
                  <c:v>0.44919299205502006</c:v>
                </c:pt>
                <c:pt idx="2">
                  <c:v>0.44919299205502006</c:v>
                </c:pt>
                <c:pt idx="3">
                  <c:v>0.44919299205502006</c:v>
                </c:pt>
                <c:pt idx="4">
                  <c:v>0.44919299205502006</c:v>
                </c:pt>
                <c:pt idx="5">
                  <c:v>0.44919299205502006</c:v>
                </c:pt>
                <c:pt idx="6">
                  <c:v>0.44919299205502006</c:v>
                </c:pt>
                <c:pt idx="7">
                  <c:v>0.44919299205502006</c:v>
                </c:pt>
                <c:pt idx="8">
                  <c:v>0.44919299205502006</c:v>
                </c:pt>
                <c:pt idx="9">
                  <c:v>0.44919299205502006</c:v>
                </c:pt>
                <c:pt idx="10">
                  <c:v>0.44919299205502006</c:v>
                </c:pt>
                <c:pt idx="11">
                  <c:v>0.44919299205502006</c:v>
                </c:pt>
                <c:pt idx="12">
                  <c:v>0.44919299205502006</c:v>
                </c:pt>
                <c:pt idx="13">
                  <c:v>0.44919299205502006</c:v>
                </c:pt>
                <c:pt idx="14">
                  <c:v>0.44919299205502006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880704"/>
        <c:axId val="487467264"/>
      </c:lineChart>
      <c:catAx>
        <c:axId val="5438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7467264"/>
        <c:crosses val="autoZero"/>
        <c:auto val="1"/>
        <c:lblAlgn val="ctr"/>
        <c:lblOffset val="100"/>
        <c:noMultiLvlLbl val="0"/>
      </c:catAx>
      <c:valAx>
        <c:axId val="4874672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43880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81216"/>
        <c:axId val="48746956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881216"/>
        <c:axId val="487469568"/>
      </c:lineChart>
      <c:catAx>
        <c:axId val="54388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487469568"/>
        <c:crosses val="autoZero"/>
        <c:auto val="1"/>
        <c:lblAlgn val="ctr"/>
        <c:lblOffset val="100"/>
        <c:noMultiLvlLbl val="0"/>
      </c:catAx>
      <c:valAx>
        <c:axId val="4874695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38812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'22'!$D$6:$D$20</c:f>
              <c:strCache>
                <c:ptCount val="14"/>
                <c:pt idx="0">
                  <c:v>BASE</c:v>
                </c:pt>
                <c:pt idx="1">
                  <c:v>HOLDER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COVER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'22'!$L$6:$L$20</c:f>
              <c:numCache>
                <c:formatCode>_(* #,##0_);_(* \(#,##0\);_(* "-"_);_(@_)</c:formatCode>
                <c:ptCount val="15"/>
                <c:pt idx="0">
                  <c:v>4574</c:v>
                </c:pt>
                <c:pt idx="2">
                  <c:v>2500</c:v>
                </c:pt>
                <c:pt idx="3">
                  <c:v>4113</c:v>
                </c:pt>
                <c:pt idx="4">
                  <c:v>11102</c:v>
                </c:pt>
                <c:pt idx="5">
                  <c:v>4925</c:v>
                </c:pt>
                <c:pt idx="6">
                  <c:v>7902</c:v>
                </c:pt>
                <c:pt idx="10">
                  <c:v>540</c:v>
                </c:pt>
                <c:pt idx="11">
                  <c:v>1328</c:v>
                </c:pt>
                <c:pt idx="12">
                  <c:v>4618</c:v>
                </c:pt>
                <c:pt idx="13">
                  <c:v>5222</c:v>
                </c:pt>
                <c:pt idx="14">
                  <c:v>57924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'22'!$D$6:$D$20</c:f>
              <c:strCache>
                <c:ptCount val="14"/>
                <c:pt idx="0">
                  <c:v>BASE</c:v>
                </c:pt>
                <c:pt idx="1">
                  <c:v>HOLDER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COVER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'22'!$J$6:$J$20</c:f>
              <c:numCache>
                <c:formatCode>_(* #,##0_);_(* \(#,##0\);_(* "-"_);_(@_)</c:formatCode>
                <c:ptCount val="15"/>
                <c:pt idx="0">
                  <c:v>4580</c:v>
                </c:pt>
                <c:pt idx="1">
                  <c:v>8340</c:v>
                </c:pt>
                <c:pt idx="2">
                  <c:v>2500</c:v>
                </c:pt>
                <c:pt idx="3">
                  <c:v>4120</c:v>
                </c:pt>
                <c:pt idx="4">
                  <c:v>11110</c:v>
                </c:pt>
                <c:pt idx="5">
                  <c:v>4930</c:v>
                </c:pt>
                <c:pt idx="6">
                  <c:v>7910</c:v>
                </c:pt>
                <c:pt idx="7">
                  <c:v>1130</c:v>
                </c:pt>
                <c:pt idx="8">
                  <c:v>2330</c:v>
                </c:pt>
                <c:pt idx="9">
                  <c:v>1590</c:v>
                </c:pt>
                <c:pt idx="10">
                  <c:v>540</c:v>
                </c:pt>
                <c:pt idx="11">
                  <c:v>1330</c:v>
                </c:pt>
                <c:pt idx="12">
                  <c:v>4620</c:v>
                </c:pt>
                <c:pt idx="13">
                  <c:v>5230</c:v>
                </c:pt>
                <c:pt idx="14">
                  <c:v>58000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057280"/>
        <c:axId val="487472448"/>
      </c:lineChart>
      <c:catAx>
        <c:axId val="54505728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7472448"/>
        <c:crosses val="autoZero"/>
        <c:auto val="1"/>
        <c:lblAlgn val="ctr"/>
        <c:lblOffset val="100"/>
        <c:noMultiLvlLbl val="0"/>
      </c:catAx>
      <c:valAx>
        <c:axId val="4874724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45057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'22'!$AD$6:$AD$20</c:f>
              <c:strCache>
                <c:ptCount val="1"/>
                <c:pt idx="0">
                  <c:v>54% 0% 58% 79% 100% 87% 87% 0% 0% 0% 17% 21% 100% 100% 87%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'22'!$D$6:$D$20</c:f>
              <c:strCache>
                <c:ptCount val="14"/>
                <c:pt idx="0">
                  <c:v>BASE</c:v>
                </c:pt>
                <c:pt idx="1">
                  <c:v>HOLDER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COVER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'22'!$AD$6:$AD$20</c:f>
              <c:numCache>
                <c:formatCode>0%</c:formatCode>
                <c:ptCount val="15"/>
                <c:pt idx="0">
                  <c:v>0.54095705967976704</c:v>
                </c:pt>
                <c:pt idx="1">
                  <c:v>0</c:v>
                </c:pt>
                <c:pt idx="2">
                  <c:v>0.58333333333333337</c:v>
                </c:pt>
                <c:pt idx="3">
                  <c:v>0.79032160194174761</c:v>
                </c:pt>
                <c:pt idx="4">
                  <c:v>0.9992799279927993</c:v>
                </c:pt>
                <c:pt idx="5">
                  <c:v>0.87411257606490866</c:v>
                </c:pt>
                <c:pt idx="6">
                  <c:v>0.87411504424778763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0.16666666666666666</c:v>
                </c:pt>
                <c:pt idx="11">
                  <c:v>0.2080200501253133</c:v>
                </c:pt>
                <c:pt idx="12">
                  <c:v>0.99956709956709955</c:v>
                </c:pt>
                <c:pt idx="13">
                  <c:v>0.99847036328871897</c:v>
                </c:pt>
                <c:pt idx="14">
                  <c:v>0.87385344827586209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'22'!$D$6:$D$20</c:f>
              <c:strCache>
                <c:ptCount val="14"/>
                <c:pt idx="0">
                  <c:v>BASE</c:v>
                </c:pt>
                <c:pt idx="1">
                  <c:v>HOLDER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COVER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'22'!$AE$6:$AE$20</c:f>
              <c:numCache>
                <c:formatCode>0%</c:formatCode>
                <c:ptCount val="15"/>
                <c:pt idx="0">
                  <c:v>0.52724647807893366</c:v>
                </c:pt>
                <c:pt idx="1">
                  <c:v>0.52724647807893366</c:v>
                </c:pt>
                <c:pt idx="2">
                  <c:v>0.52724647807893366</c:v>
                </c:pt>
                <c:pt idx="3">
                  <c:v>0.52724647807893366</c:v>
                </c:pt>
                <c:pt idx="4">
                  <c:v>0.52724647807893366</c:v>
                </c:pt>
                <c:pt idx="5">
                  <c:v>0.52724647807893366</c:v>
                </c:pt>
                <c:pt idx="6">
                  <c:v>0.52724647807893366</c:v>
                </c:pt>
                <c:pt idx="7">
                  <c:v>0.52724647807893366</c:v>
                </c:pt>
                <c:pt idx="8">
                  <c:v>0.52724647807893366</c:v>
                </c:pt>
                <c:pt idx="9">
                  <c:v>0.52724647807893366</c:v>
                </c:pt>
                <c:pt idx="10">
                  <c:v>0.52724647807893366</c:v>
                </c:pt>
                <c:pt idx="11">
                  <c:v>0.52724647807893366</c:v>
                </c:pt>
                <c:pt idx="12">
                  <c:v>0.52724647807893366</c:v>
                </c:pt>
                <c:pt idx="13">
                  <c:v>0.52724647807893366</c:v>
                </c:pt>
                <c:pt idx="14">
                  <c:v>0.52724647807893366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058304"/>
        <c:axId val="488203392"/>
      </c:lineChart>
      <c:catAx>
        <c:axId val="54505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8203392"/>
        <c:crosses val="autoZero"/>
        <c:auto val="1"/>
        <c:lblAlgn val="ctr"/>
        <c:lblOffset val="100"/>
        <c:noMultiLvlLbl val="0"/>
      </c:catAx>
      <c:valAx>
        <c:axId val="48820339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45058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'22'!$D$6:$D$20</c:f>
              <c:strCache>
                <c:ptCount val="14"/>
                <c:pt idx="0">
                  <c:v>BASE</c:v>
                </c:pt>
                <c:pt idx="1">
                  <c:v>HOLDER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COVER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'22'!$L$6:$L$20</c:f>
              <c:numCache>
                <c:formatCode>_(* #,##0_);_(* \(#,##0\);_(* "-"_);_(@_)</c:formatCode>
                <c:ptCount val="15"/>
                <c:pt idx="0">
                  <c:v>4574</c:v>
                </c:pt>
                <c:pt idx="2">
                  <c:v>2500</c:v>
                </c:pt>
                <c:pt idx="3">
                  <c:v>4113</c:v>
                </c:pt>
                <c:pt idx="4">
                  <c:v>11102</c:v>
                </c:pt>
                <c:pt idx="5">
                  <c:v>4925</c:v>
                </c:pt>
                <c:pt idx="6">
                  <c:v>7902</c:v>
                </c:pt>
                <c:pt idx="10">
                  <c:v>540</c:v>
                </c:pt>
                <c:pt idx="11">
                  <c:v>1328</c:v>
                </c:pt>
                <c:pt idx="12">
                  <c:v>4618</c:v>
                </c:pt>
                <c:pt idx="13">
                  <c:v>5222</c:v>
                </c:pt>
                <c:pt idx="14">
                  <c:v>57924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'22'!$D$6:$D$20</c:f>
              <c:strCache>
                <c:ptCount val="14"/>
                <c:pt idx="0">
                  <c:v>BASE</c:v>
                </c:pt>
                <c:pt idx="1">
                  <c:v>HOLDER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COVER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'22'!$J$6:$J$20</c:f>
              <c:numCache>
                <c:formatCode>_(* #,##0_);_(* \(#,##0\);_(* "-"_);_(@_)</c:formatCode>
                <c:ptCount val="15"/>
                <c:pt idx="0">
                  <c:v>4580</c:v>
                </c:pt>
                <c:pt idx="1">
                  <c:v>8340</c:v>
                </c:pt>
                <c:pt idx="2">
                  <c:v>2500</c:v>
                </c:pt>
                <c:pt idx="3">
                  <c:v>4120</c:v>
                </c:pt>
                <c:pt idx="4">
                  <c:v>11110</c:v>
                </c:pt>
                <c:pt idx="5">
                  <c:v>4930</c:v>
                </c:pt>
                <c:pt idx="6">
                  <c:v>7910</c:v>
                </c:pt>
                <c:pt idx="7">
                  <c:v>1130</c:v>
                </c:pt>
                <c:pt idx="8">
                  <c:v>2330</c:v>
                </c:pt>
                <c:pt idx="9">
                  <c:v>1590</c:v>
                </c:pt>
                <c:pt idx="10">
                  <c:v>540</c:v>
                </c:pt>
                <c:pt idx="11">
                  <c:v>1330</c:v>
                </c:pt>
                <c:pt idx="12">
                  <c:v>4620</c:v>
                </c:pt>
                <c:pt idx="13">
                  <c:v>5230</c:v>
                </c:pt>
                <c:pt idx="14">
                  <c:v>58000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243136"/>
        <c:axId val="488205696"/>
      </c:lineChart>
      <c:catAx>
        <c:axId val="54524313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8205696"/>
        <c:crosses val="autoZero"/>
        <c:auto val="1"/>
        <c:lblAlgn val="ctr"/>
        <c:lblOffset val="100"/>
        <c:noMultiLvlLbl val="0"/>
      </c:catAx>
      <c:valAx>
        <c:axId val="48820569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45243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'22'!$AD$6:$AD$20</c:f>
              <c:strCache>
                <c:ptCount val="1"/>
                <c:pt idx="0">
                  <c:v>54% 0% 58% 79% 100% 87% 87% 0% 0% 0% 17% 21% 100% 100% 87%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'22'!$D$6:$D$20</c:f>
              <c:strCache>
                <c:ptCount val="14"/>
                <c:pt idx="0">
                  <c:v>BASE</c:v>
                </c:pt>
                <c:pt idx="1">
                  <c:v>HOLDER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COVER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'22'!$AD$6:$AD$20</c:f>
              <c:numCache>
                <c:formatCode>0%</c:formatCode>
                <c:ptCount val="15"/>
                <c:pt idx="0">
                  <c:v>0.54095705967976704</c:v>
                </c:pt>
                <c:pt idx="1">
                  <c:v>0</c:v>
                </c:pt>
                <c:pt idx="2">
                  <c:v>0.58333333333333337</c:v>
                </c:pt>
                <c:pt idx="3">
                  <c:v>0.79032160194174761</c:v>
                </c:pt>
                <c:pt idx="4">
                  <c:v>0.9992799279927993</c:v>
                </c:pt>
                <c:pt idx="5">
                  <c:v>0.87411257606490866</c:v>
                </c:pt>
                <c:pt idx="6">
                  <c:v>0.87411504424778763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0.16666666666666666</c:v>
                </c:pt>
                <c:pt idx="11">
                  <c:v>0.2080200501253133</c:v>
                </c:pt>
                <c:pt idx="12">
                  <c:v>0.99956709956709955</c:v>
                </c:pt>
                <c:pt idx="13">
                  <c:v>0.99847036328871897</c:v>
                </c:pt>
                <c:pt idx="14">
                  <c:v>0.87385344827586209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'22'!$D$6:$D$20</c:f>
              <c:strCache>
                <c:ptCount val="14"/>
                <c:pt idx="0">
                  <c:v>BASE</c:v>
                </c:pt>
                <c:pt idx="1">
                  <c:v>HOLDER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COVER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'22'!$AE$6:$AE$20</c:f>
              <c:numCache>
                <c:formatCode>0%</c:formatCode>
                <c:ptCount val="15"/>
                <c:pt idx="0">
                  <c:v>0.52724647807893366</c:v>
                </c:pt>
                <c:pt idx="1">
                  <c:v>0.52724647807893366</c:v>
                </c:pt>
                <c:pt idx="2">
                  <c:v>0.52724647807893366</c:v>
                </c:pt>
                <c:pt idx="3">
                  <c:v>0.52724647807893366</c:v>
                </c:pt>
                <c:pt idx="4">
                  <c:v>0.52724647807893366</c:v>
                </c:pt>
                <c:pt idx="5">
                  <c:v>0.52724647807893366</c:v>
                </c:pt>
                <c:pt idx="6">
                  <c:v>0.52724647807893366</c:v>
                </c:pt>
                <c:pt idx="7">
                  <c:v>0.52724647807893366</c:v>
                </c:pt>
                <c:pt idx="8">
                  <c:v>0.52724647807893366</c:v>
                </c:pt>
                <c:pt idx="9">
                  <c:v>0.52724647807893366</c:v>
                </c:pt>
                <c:pt idx="10">
                  <c:v>0.52724647807893366</c:v>
                </c:pt>
                <c:pt idx="11">
                  <c:v>0.52724647807893366</c:v>
                </c:pt>
                <c:pt idx="12">
                  <c:v>0.52724647807893366</c:v>
                </c:pt>
                <c:pt idx="13">
                  <c:v>0.52724647807893366</c:v>
                </c:pt>
                <c:pt idx="14">
                  <c:v>0.52724647807893366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244672"/>
        <c:axId val="488207424"/>
      </c:lineChart>
      <c:catAx>
        <c:axId val="54524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8207424"/>
        <c:crosses val="autoZero"/>
        <c:auto val="1"/>
        <c:lblAlgn val="ctr"/>
        <c:lblOffset val="100"/>
        <c:noMultiLvlLbl val="0"/>
      </c:catAx>
      <c:valAx>
        <c:axId val="4882074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4524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0.51887285312916853</c:v>
                </c:pt>
                <c:pt idx="1">
                  <c:v>0.50371423530967818</c:v>
                </c:pt>
                <c:pt idx="2">
                  <c:v>0.61620120413513846</c:v>
                </c:pt>
                <c:pt idx="3">
                  <c:v>0.66454379103035088</c:v>
                </c:pt>
                <c:pt idx="4">
                  <c:v>0.3126151238085717</c:v>
                </c:pt>
                <c:pt idx="5">
                  <c:v>0.65200555045124864</c:v>
                </c:pt>
                <c:pt idx="6">
                  <c:v>0.71053030239029213</c:v>
                </c:pt>
                <c:pt idx="7">
                  <c:v>0.7353509116584459</c:v>
                </c:pt>
                <c:pt idx="8">
                  <c:v>0.69391351157070635</c:v>
                </c:pt>
                <c:pt idx="9">
                  <c:v>0.58820843950474189</c:v>
                </c:pt>
                <c:pt idx="10">
                  <c:v>0.6162956675492981</c:v>
                </c:pt>
                <c:pt idx="12">
                  <c:v>0.49392861469052768</c:v>
                </c:pt>
                <c:pt idx="13">
                  <c:v>0.55772822965818281</c:v>
                </c:pt>
                <c:pt idx="14">
                  <c:v>0.56893534785390354</c:v>
                </c:pt>
                <c:pt idx="15">
                  <c:v>0.47169281236352462</c:v>
                </c:pt>
                <c:pt idx="16">
                  <c:v>0.58568538809327797</c:v>
                </c:pt>
                <c:pt idx="17">
                  <c:v>0.6493690640031371</c:v>
                </c:pt>
                <c:pt idx="19">
                  <c:v>0.44919299205502006</c:v>
                </c:pt>
                <c:pt idx="20">
                  <c:v>0.44919299205502006</c:v>
                </c:pt>
                <c:pt idx="21">
                  <c:v>0.52724647807893366</c:v>
                </c:pt>
                <c:pt idx="22">
                  <c:v>0.72162593889479665</c:v>
                </c:pt>
                <c:pt idx="23">
                  <c:v>0.55432355156868995</c:v>
                </c:pt>
                <c:pt idx="24">
                  <c:v>0.6099758275612952</c:v>
                </c:pt>
                <c:pt idx="25">
                  <c:v>0.24388994647918052</c:v>
                </c:pt>
                <c:pt idx="26">
                  <c:v>0.38810792167637398</c:v>
                </c:pt>
                <c:pt idx="27">
                  <c:v>0.67885902087950312</c:v>
                </c:pt>
                <c:pt idx="28">
                  <c:v>0.64384104402809483</c:v>
                </c:pt>
                <c:pt idx="29">
                  <c:v>0.71039712009447664</c:v>
                </c:pt>
                <c:pt idx="31">
                  <c:v>0.53054146268571922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245184"/>
        <c:axId val="48820972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245184"/>
        <c:axId val="488209728"/>
      </c:lineChart>
      <c:catAx>
        <c:axId val="54524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488209728"/>
        <c:crosses val="autoZero"/>
        <c:auto val="1"/>
        <c:lblAlgn val="ctr"/>
        <c:lblOffset val="100"/>
        <c:noMultiLvlLbl val="0"/>
      </c:catAx>
      <c:valAx>
        <c:axId val="4882097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524518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'23'!$D$6:$D$20</c:f>
              <c:strCache>
                <c:ptCount val="14"/>
                <c:pt idx="0">
                  <c:v>BASE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'23'!$L$6:$L$20</c:f>
              <c:numCache>
                <c:formatCode>_(* #,##0_);_(* \(#,##0\);_(* "-"_);_(@_)</c:formatCode>
                <c:ptCount val="15"/>
                <c:pt idx="0">
                  <c:v>9324</c:v>
                </c:pt>
                <c:pt idx="1">
                  <c:v>1292</c:v>
                </c:pt>
                <c:pt idx="2">
                  <c:v>4543</c:v>
                </c:pt>
                <c:pt idx="3">
                  <c:v>5545</c:v>
                </c:pt>
                <c:pt idx="4">
                  <c:v>11994</c:v>
                </c:pt>
                <c:pt idx="5">
                  <c:v>6265</c:v>
                </c:pt>
                <c:pt idx="6">
                  <c:v>10038</c:v>
                </c:pt>
                <c:pt idx="8">
                  <c:v>542</c:v>
                </c:pt>
                <c:pt idx="10">
                  <c:v>3489</c:v>
                </c:pt>
                <c:pt idx="11">
                  <c:v>20832</c:v>
                </c:pt>
                <c:pt idx="12">
                  <c:v>2034</c:v>
                </c:pt>
                <c:pt idx="13">
                  <c:v>5230</c:v>
                </c:pt>
                <c:pt idx="14">
                  <c:v>57588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'23'!$D$6:$D$20</c:f>
              <c:strCache>
                <c:ptCount val="14"/>
                <c:pt idx="0">
                  <c:v>BASE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'23'!$J$6:$J$20</c:f>
              <c:numCache>
                <c:formatCode>_(* #,##0_);_(* \(#,##0\);_(* "-"_);_(@_)</c:formatCode>
                <c:ptCount val="15"/>
                <c:pt idx="0">
                  <c:v>9330</c:v>
                </c:pt>
                <c:pt idx="1">
                  <c:v>1300</c:v>
                </c:pt>
                <c:pt idx="2">
                  <c:v>4550</c:v>
                </c:pt>
                <c:pt idx="3">
                  <c:v>5550</c:v>
                </c:pt>
                <c:pt idx="4">
                  <c:v>12000</c:v>
                </c:pt>
                <c:pt idx="5">
                  <c:v>6270</c:v>
                </c:pt>
                <c:pt idx="6">
                  <c:v>10040</c:v>
                </c:pt>
                <c:pt idx="7">
                  <c:v>1130</c:v>
                </c:pt>
                <c:pt idx="8">
                  <c:v>542</c:v>
                </c:pt>
                <c:pt idx="9">
                  <c:v>1590</c:v>
                </c:pt>
                <c:pt idx="10">
                  <c:v>3490</c:v>
                </c:pt>
                <c:pt idx="11">
                  <c:v>20840</c:v>
                </c:pt>
                <c:pt idx="12">
                  <c:v>2040</c:v>
                </c:pt>
                <c:pt idx="13">
                  <c:v>5230</c:v>
                </c:pt>
                <c:pt idx="14">
                  <c:v>57600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1376"/>
        <c:axId val="487983360"/>
      </c:lineChart>
      <c:catAx>
        <c:axId val="54730137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487983360"/>
        <c:crosses val="autoZero"/>
        <c:auto val="1"/>
        <c:lblAlgn val="ctr"/>
        <c:lblOffset val="100"/>
        <c:noMultiLvlLbl val="0"/>
      </c:catAx>
      <c:valAx>
        <c:axId val="48798336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547301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'23'!$AD$6:$AD$20</c:f>
              <c:strCache>
                <c:ptCount val="1"/>
                <c:pt idx="0">
                  <c:v>100% 37% 87% 100% 100% 100% 100% 0% 42% 0% 71% 96% 50% 100%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'23'!$D$6:$D$20</c:f>
              <c:strCache>
                <c:ptCount val="14"/>
                <c:pt idx="0">
                  <c:v>BASE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'23'!$AD$6:$AD$20</c:f>
              <c:numCache>
                <c:formatCode>0%</c:formatCode>
                <c:ptCount val="15"/>
                <c:pt idx="0">
                  <c:v>0.99935691318327979</c:v>
                </c:pt>
                <c:pt idx="1">
                  <c:v>0.37269230769230766</c:v>
                </c:pt>
                <c:pt idx="2">
                  <c:v>0.87365384615384623</c:v>
                </c:pt>
                <c:pt idx="3">
                  <c:v>0.99909909909909911</c:v>
                </c:pt>
                <c:pt idx="4">
                  <c:v>0.99950000000000006</c:v>
                </c:pt>
                <c:pt idx="5">
                  <c:v>0.99920255183413076</c:v>
                </c:pt>
                <c:pt idx="6">
                  <c:v>0.99980079681274903</c:v>
                </c:pt>
                <c:pt idx="7">
                  <c:v>0</c:v>
                </c:pt>
                <c:pt idx="8">
                  <c:v>0.41666666666666669</c:v>
                </c:pt>
                <c:pt idx="9">
                  <c:v>0</c:v>
                </c:pt>
                <c:pt idx="10">
                  <c:v>0.70813037249283672</c:v>
                </c:pt>
                <c:pt idx="11">
                  <c:v>0.95796545105566222</c:v>
                </c:pt>
                <c:pt idx="12">
                  <c:v>0.49852941176470589</c:v>
                </c:pt>
                <c:pt idx="13">
                  <c:v>1</c:v>
                </c:pt>
                <c:pt idx="14">
                  <c:v>0.99979166666666663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'23'!$D$6:$D$20</c:f>
              <c:strCache>
                <c:ptCount val="14"/>
                <c:pt idx="0">
                  <c:v>BASE</c:v>
                </c:pt>
                <c:pt idx="2">
                  <c:v>STOPPER</c:v>
                </c:pt>
                <c:pt idx="3">
                  <c:v>4LEAD</c:v>
                </c:pt>
                <c:pt idx="4">
                  <c:v>SLIDER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STOPPER</c:v>
                </c:pt>
                <c:pt idx="11">
                  <c:v>COVER</c:v>
                </c:pt>
                <c:pt idx="12">
                  <c:v>SLIDER</c:v>
                </c:pt>
                <c:pt idx="13">
                  <c:v>BASE</c:v>
                </c:pt>
              </c:strCache>
            </c:strRef>
          </c:cat>
          <c:val>
            <c:numRef>
              <c:f>'23'!$AE$6:$AE$20</c:f>
              <c:numCache>
                <c:formatCode>0%</c:formatCode>
                <c:ptCount val="15"/>
                <c:pt idx="0">
                  <c:v>0.72162593889479665</c:v>
                </c:pt>
                <c:pt idx="1">
                  <c:v>0.72162593889479665</c:v>
                </c:pt>
                <c:pt idx="2">
                  <c:v>0.72162593889479665</c:v>
                </c:pt>
                <c:pt idx="3">
                  <c:v>0.72162593889479665</c:v>
                </c:pt>
                <c:pt idx="4">
                  <c:v>0.72162593889479665</c:v>
                </c:pt>
                <c:pt idx="5">
                  <c:v>0.72162593889479665</c:v>
                </c:pt>
                <c:pt idx="6">
                  <c:v>0.72162593889479665</c:v>
                </c:pt>
                <c:pt idx="7">
                  <c:v>0.72162593889479665</c:v>
                </c:pt>
                <c:pt idx="8">
                  <c:v>0.72162593889479665</c:v>
                </c:pt>
                <c:pt idx="9">
                  <c:v>0.72162593889479665</c:v>
                </c:pt>
                <c:pt idx="10">
                  <c:v>0.72162593889479665</c:v>
                </c:pt>
                <c:pt idx="11">
                  <c:v>0.72162593889479665</c:v>
                </c:pt>
                <c:pt idx="12">
                  <c:v>0.72162593889479665</c:v>
                </c:pt>
                <c:pt idx="13">
                  <c:v>0.72162593889479665</c:v>
                </c:pt>
                <c:pt idx="14">
                  <c:v>0.72162593889479665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97344"/>
        <c:axId val="487985088"/>
      </c:lineChart>
      <c:catAx>
        <c:axId val="5382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7985088"/>
        <c:crosses val="autoZero"/>
        <c:auto val="1"/>
        <c:lblAlgn val="ctr"/>
        <c:lblOffset val="100"/>
        <c:noMultiLvlLbl val="0"/>
      </c:catAx>
      <c:valAx>
        <c:axId val="48798508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53829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7.xml"/><Relationship Id="rId5" Type="http://schemas.openxmlformats.org/officeDocument/2006/relationships/chart" Target="../charts/chart106.xml"/><Relationship Id="rId4" Type="http://schemas.openxmlformats.org/officeDocument/2006/relationships/chart" Target="../charts/chart105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6" Type="http://schemas.openxmlformats.org/officeDocument/2006/relationships/chart" Target="../charts/chart112.xml"/><Relationship Id="rId5" Type="http://schemas.openxmlformats.org/officeDocument/2006/relationships/chart" Target="../charts/chart111.xml"/><Relationship Id="rId4" Type="http://schemas.openxmlformats.org/officeDocument/2006/relationships/chart" Target="../charts/chart110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7.xml"/><Relationship Id="rId5" Type="http://schemas.openxmlformats.org/officeDocument/2006/relationships/chart" Target="../charts/chart116.xml"/><Relationship Id="rId4" Type="http://schemas.openxmlformats.org/officeDocument/2006/relationships/chart" Target="../charts/chart115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Relationship Id="rId6" Type="http://schemas.openxmlformats.org/officeDocument/2006/relationships/chart" Target="../charts/chart122.xml"/><Relationship Id="rId5" Type="http://schemas.openxmlformats.org/officeDocument/2006/relationships/chart" Target="../charts/chart121.xml"/><Relationship Id="rId4" Type="http://schemas.openxmlformats.org/officeDocument/2006/relationships/chart" Target="../charts/chart120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24.xml"/><Relationship Id="rId1" Type="http://schemas.openxmlformats.org/officeDocument/2006/relationships/chart" Target="../charts/chart123.xml"/><Relationship Id="rId6" Type="http://schemas.openxmlformats.org/officeDocument/2006/relationships/chart" Target="../charts/chart127.xml"/><Relationship Id="rId5" Type="http://schemas.openxmlformats.org/officeDocument/2006/relationships/chart" Target="../charts/chart126.xml"/><Relationship Id="rId4" Type="http://schemas.openxmlformats.org/officeDocument/2006/relationships/chart" Target="../charts/chart125.xml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2.xml"/><Relationship Id="rId5" Type="http://schemas.openxmlformats.org/officeDocument/2006/relationships/chart" Target="../charts/chart131.xml"/><Relationship Id="rId4" Type="http://schemas.openxmlformats.org/officeDocument/2006/relationships/chart" Target="../charts/chart130.xml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Relationship Id="rId6" Type="http://schemas.openxmlformats.org/officeDocument/2006/relationships/chart" Target="../charts/chart137.xml"/><Relationship Id="rId5" Type="http://schemas.openxmlformats.org/officeDocument/2006/relationships/chart" Target="../charts/chart136.xml"/><Relationship Id="rId4" Type="http://schemas.openxmlformats.org/officeDocument/2006/relationships/chart" Target="../charts/chart13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104775</xdr:rowOff>
    </xdr:from>
    <xdr:to>
      <xdr:col>16</xdr:col>
      <xdr:colOff>66675</xdr:colOff>
      <xdr:row>31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200023</xdr:colOff>
      <xdr:row>19</xdr:row>
      <xdr:rowOff>123825</xdr:rowOff>
    </xdr:from>
    <xdr:to>
      <xdr:col>32</xdr:col>
      <xdr:colOff>371474</xdr:colOff>
      <xdr:row>31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44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G19"/>
  <sheetViews>
    <sheetView view="pageBreakPreview"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I14" sqref="AI14"/>
    </sheetView>
  </sheetViews>
  <sheetFormatPr defaultRowHeight="13.5"/>
  <cols>
    <col min="1" max="1" width="7.5" style="75" bestFit="1" customWidth="1"/>
    <col min="2" max="17" width="5.5" style="75" bestFit="1" customWidth="1"/>
    <col min="18" max="18" width="6" style="75" customWidth="1"/>
    <col min="19" max="33" width="5.5" style="75" bestFit="1" customWidth="1"/>
    <col min="34" max="16384" width="9" style="75"/>
  </cols>
  <sheetData>
    <row r="1" spans="1:33" ht="33.75" customHeight="1" thickBot="1">
      <c r="A1" s="450" t="s">
        <v>188</v>
      </c>
      <c r="B1" s="450"/>
      <c r="C1" s="450"/>
      <c r="D1" s="450"/>
      <c r="E1" s="450"/>
      <c r="F1" s="450"/>
      <c r="G1" s="450"/>
      <c r="H1" s="450"/>
    </row>
    <row r="2" spans="1:33" ht="21.75" customHeight="1" thickBot="1">
      <c r="A2" s="96" t="s">
        <v>60</v>
      </c>
      <c r="B2" s="98" t="s">
        <v>75</v>
      </c>
      <c r="C2" s="99" t="s">
        <v>76</v>
      </c>
      <c r="D2" s="99" t="s">
        <v>77</v>
      </c>
      <c r="E2" s="99" t="s">
        <v>78</v>
      </c>
      <c r="F2" s="99" t="s">
        <v>79</v>
      </c>
      <c r="G2" s="99" t="s">
        <v>80</v>
      </c>
      <c r="H2" s="99" t="s">
        <v>81</v>
      </c>
      <c r="I2" s="99" t="s">
        <v>82</v>
      </c>
      <c r="J2" s="99" t="s">
        <v>83</v>
      </c>
      <c r="K2" s="99" t="s">
        <v>84</v>
      </c>
      <c r="L2" s="99" t="s">
        <v>85</v>
      </c>
      <c r="M2" s="99" t="s">
        <v>86</v>
      </c>
      <c r="N2" s="99" t="s">
        <v>87</v>
      </c>
      <c r="O2" s="99" t="s">
        <v>88</v>
      </c>
      <c r="P2" s="99" t="s">
        <v>89</v>
      </c>
      <c r="Q2" s="99" t="s">
        <v>90</v>
      </c>
      <c r="R2" s="99" t="s">
        <v>91</v>
      </c>
      <c r="S2" s="99" t="s">
        <v>92</v>
      </c>
      <c r="T2" s="99" t="s">
        <v>93</v>
      </c>
      <c r="U2" s="99" t="s">
        <v>94</v>
      </c>
      <c r="V2" s="99" t="s">
        <v>95</v>
      </c>
      <c r="W2" s="99" t="s">
        <v>96</v>
      </c>
      <c r="X2" s="99" t="s">
        <v>97</v>
      </c>
      <c r="Y2" s="99" t="s">
        <v>98</v>
      </c>
      <c r="Z2" s="99" t="s">
        <v>99</v>
      </c>
      <c r="AA2" s="99" t="s">
        <v>100</v>
      </c>
      <c r="AB2" s="99" t="s">
        <v>101</v>
      </c>
      <c r="AC2" s="99" t="s">
        <v>102</v>
      </c>
      <c r="AD2" s="99" t="s">
        <v>103</v>
      </c>
      <c r="AE2" s="99" t="s">
        <v>104</v>
      </c>
      <c r="AF2" s="100" t="s">
        <v>105</v>
      </c>
      <c r="AG2" s="96" t="s">
        <v>107</v>
      </c>
    </row>
    <row r="3" spans="1:33" ht="21.75" customHeight="1">
      <c r="A3" s="116" t="s">
        <v>61</v>
      </c>
      <c r="B3" s="111">
        <f>'01'!AD6</f>
        <v>0</v>
      </c>
      <c r="C3" s="111">
        <f>'02'!AD6</f>
        <v>0</v>
      </c>
      <c r="D3" s="104">
        <f>'03'!AD6</f>
        <v>0</v>
      </c>
      <c r="E3" s="104">
        <f>'04'!AD6</f>
        <v>0.37281553398058254</v>
      </c>
      <c r="F3" s="104">
        <f>'05'!AD6</f>
        <v>0</v>
      </c>
      <c r="G3" s="104">
        <f>'06'!AD6</f>
        <v>0</v>
      </c>
      <c r="H3" s="104">
        <f>'07'!AD6</f>
        <v>0</v>
      </c>
      <c r="I3" s="104">
        <f>'08'!AD6</f>
        <v>0</v>
      </c>
      <c r="J3" s="104">
        <f>'09'!AD6</f>
        <v>0</v>
      </c>
      <c r="K3" s="104">
        <f>'10'!AD6</f>
        <v>0</v>
      </c>
      <c r="L3" s="104">
        <f>'11'!AD6</f>
        <v>0.83219489981785066</v>
      </c>
      <c r="M3" s="104"/>
      <c r="N3" s="122">
        <f>'13'!AD6+'13'!AD7</f>
        <v>0.91526117887429681</v>
      </c>
      <c r="O3" s="104">
        <f>'14'!AD6</f>
        <v>0.99993493819128176</v>
      </c>
      <c r="P3" s="104">
        <f>'15'!AD6</f>
        <v>0.99953457446808514</v>
      </c>
      <c r="Q3" s="104">
        <f>'16'!AD6</f>
        <v>0.99946524064171127</v>
      </c>
      <c r="R3" s="104">
        <f>'17'!AD6</f>
        <v>0.99966777408637875</v>
      </c>
      <c r="S3" s="104">
        <f>'18'!AD6</f>
        <v>0.99948783610755443</v>
      </c>
      <c r="T3" s="104"/>
      <c r="U3" s="104">
        <f>'21'!AD6</f>
        <v>0</v>
      </c>
      <c r="V3" s="104">
        <f>'21'!AD6</f>
        <v>0</v>
      </c>
      <c r="W3" s="122">
        <f>'22'!AD6</f>
        <v>0.54095705967976704</v>
      </c>
      <c r="X3" s="104">
        <f>'23'!AD6</f>
        <v>0.99935691318327979</v>
      </c>
      <c r="Y3" s="104">
        <f>'24'!AD6</f>
        <v>0.9901393354769561</v>
      </c>
      <c r="Z3" s="104">
        <f>'25'!AD6</f>
        <v>0.74893805309734507</v>
      </c>
      <c r="AA3" s="104">
        <f>'26'!AD6</f>
        <v>0.37263986013986017</v>
      </c>
      <c r="AB3" s="104">
        <f>'27'!AD6</f>
        <v>0.99957983193277311</v>
      </c>
      <c r="AC3" s="104">
        <f>'28'!AD6</f>
        <v>0.9986666666666667</v>
      </c>
      <c r="AD3" s="104">
        <f>'29'!AD6</f>
        <v>0.99980842911877399</v>
      </c>
      <c r="AE3" s="104">
        <f>'30'!AD6</f>
        <v>0.70810109289617484</v>
      </c>
      <c r="AF3" s="105"/>
      <c r="AG3" s="107">
        <f>SUM(B3:AF3)/30</f>
        <v>0.48255164061197792</v>
      </c>
    </row>
    <row r="4" spans="1:33" ht="21.75" customHeight="1">
      <c r="A4" s="117" t="s">
        <v>62</v>
      </c>
      <c r="B4" s="112">
        <f>'01'!AD7</f>
        <v>0.33308080808080809</v>
      </c>
      <c r="C4" s="112">
        <f>'02'!AD7</f>
        <v>0</v>
      </c>
      <c r="D4" s="81">
        <f>'03'!AD7</f>
        <v>0</v>
      </c>
      <c r="E4" s="81">
        <f>'04'!AD7</f>
        <v>0</v>
      </c>
      <c r="F4" s="81">
        <f>'05'!AD7</f>
        <v>0</v>
      </c>
      <c r="G4" s="81">
        <f>'06'!AD7</f>
        <v>0</v>
      </c>
      <c r="H4" s="81">
        <f>'07'!AD7</f>
        <v>0.5</v>
      </c>
      <c r="I4" s="81">
        <f>'08'!AD7</f>
        <v>0.45833333333333331</v>
      </c>
      <c r="J4" s="81">
        <f>'09'!AD7</f>
        <v>0.79115092290988054</v>
      </c>
      <c r="K4" s="81">
        <f>'10'!AD7</f>
        <v>0.24978070175438596</v>
      </c>
      <c r="L4" s="81">
        <f>'11'!AD7</f>
        <v>0.79146419437340143</v>
      </c>
      <c r="M4" s="81"/>
      <c r="N4" s="81">
        <f>'13'!AD8</f>
        <v>0.70833333333333337</v>
      </c>
      <c r="O4" s="81">
        <f>'14'!AD7</f>
        <v>0.79116813602015112</v>
      </c>
      <c r="P4" s="81">
        <f>'15'!AD7</f>
        <v>0.75</v>
      </c>
      <c r="Q4" s="81">
        <f>'16'!AD7</f>
        <v>0.58295157068062831</v>
      </c>
      <c r="R4" s="81">
        <f>'17'!AD7</f>
        <v>0.99952941176470589</v>
      </c>
      <c r="S4" s="81">
        <f>'18'!AD7</f>
        <v>0.91578737010391686</v>
      </c>
      <c r="T4" s="81"/>
      <c r="U4" s="81">
        <f>'21'!AD7</f>
        <v>0</v>
      </c>
      <c r="V4" s="81">
        <f>'21'!AD7</f>
        <v>0</v>
      </c>
      <c r="W4" s="81">
        <f>'22'!AD7</f>
        <v>0</v>
      </c>
      <c r="X4" s="81">
        <f>'23'!AD7</f>
        <v>0.37269230769230766</v>
      </c>
      <c r="Y4" s="81">
        <f>'24'!AD7</f>
        <v>0</v>
      </c>
      <c r="Z4" s="81">
        <f>'25'!AD7</f>
        <v>0.58126640419947506</v>
      </c>
      <c r="AA4" s="81">
        <f>'26'!AD7</f>
        <v>0.41505028735632188</v>
      </c>
      <c r="AB4" s="81">
        <f>'27'!AD7</f>
        <v>0.79008333333333325</v>
      </c>
      <c r="AC4" s="81">
        <f>'28'!AD7</f>
        <v>0.58264705882352941</v>
      </c>
      <c r="AD4" s="81">
        <f>'29'!AD7</f>
        <v>0.62411032028469748</v>
      </c>
      <c r="AE4" s="81">
        <f>'30'!AD7</f>
        <v>0.78991712707182316</v>
      </c>
      <c r="AF4" s="82"/>
      <c r="AG4" s="83">
        <f t="shared" ref="AG4:AG18" si="0">SUM(B4:AF4)/30</f>
        <v>0.40091155403720108</v>
      </c>
    </row>
    <row r="5" spans="1:33" ht="21.75" customHeight="1">
      <c r="A5" s="118" t="s">
        <v>63</v>
      </c>
      <c r="B5" s="113">
        <f>'01'!AD8</f>
        <v>0.87389520202020199</v>
      </c>
      <c r="C5" s="113">
        <f>'02'!AD8</f>
        <v>0.99889298892988931</v>
      </c>
      <c r="D5" s="84">
        <f>'03'!AD8</f>
        <v>0.95708874458874471</v>
      </c>
      <c r="E5" s="84">
        <f>'04'!AD8</f>
        <v>0.74960422163588392</v>
      </c>
      <c r="F5" s="84">
        <f>'05'!AD8</f>
        <v>0.37365470852017935</v>
      </c>
      <c r="G5" s="84">
        <f>'06'!AD8</f>
        <v>0.99847908745247149</v>
      </c>
      <c r="H5" s="84">
        <f>'07'!AD8</f>
        <v>0.91586080586080576</v>
      </c>
      <c r="I5" s="84">
        <f>'08'!AD8</f>
        <v>0.95815716911764703</v>
      </c>
      <c r="J5" s="84">
        <f>'09'!AD8</f>
        <v>0.99938931297709921</v>
      </c>
      <c r="K5" s="84">
        <f>'10'!AD8</f>
        <v>0.70661094224924015</v>
      </c>
      <c r="L5" s="84">
        <f>'11'!AD8</f>
        <v>0</v>
      </c>
      <c r="M5" s="84"/>
      <c r="N5" s="84">
        <f>'13'!AD9</f>
        <v>0.62418032786885247</v>
      </c>
      <c r="O5" s="84">
        <f>'14'!AD8</f>
        <v>0.79014003673094579</v>
      </c>
      <c r="P5" s="84">
        <f>'15'!AD8</f>
        <v>0.91611223118279561</v>
      </c>
      <c r="Q5" s="84">
        <f>'16'!AD8</f>
        <v>0.87350609756097564</v>
      </c>
      <c r="R5" s="84">
        <f>'17'!AD8</f>
        <v>0.45833333333333331</v>
      </c>
      <c r="S5" s="84">
        <f>'18'!AD8</f>
        <v>0.95728406326034066</v>
      </c>
      <c r="T5" s="84"/>
      <c r="U5" s="84">
        <f>'21'!AD8</f>
        <v>0.41471354166666669</v>
      </c>
      <c r="V5" s="84">
        <f>'21'!AD8</f>
        <v>0.41471354166666669</v>
      </c>
      <c r="W5" s="123">
        <f>'22'!AD8</f>
        <v>0.58333333333333337</v>
      </c>
      <c r="X5" s="84">
        <f>'23'!AD8</f>
        <v>0.87365384615384623</v>
      </c>
      <c r="Y5" s="84">
        <f>'24'!AD8</f>
        <v>0.95777724049000645</v>
      </c>
      <c r="Z5" s="84">
        <f>'25'!AD8</f>
        <v>0.99878892733564018</v>
      </c>
      <c r="AA5" s="84">
        <f>'26'!AD8</f>
        <v>0.41542750929368033</v>
      </c>
      <c r="AB5" s="84">
        <f>'27'!AD8</f>
        <v>0.16399999999999998</v>
      </c>
      <c r="AC5" s="84">
        <f>'28'!AD8</f>
        <v>0.61187499999999995</v>
      </c>
      <c r="AD5" s="84">
        <f>'29'!AD8</f>
        <v>0.99915824915824913</v>
      </c>
      <c r="AE5" s="84">
        <f>'30'!AD8</f>
        <v>0.99949748743718592</v>
      </c>
      <c r="AF5" s="85"/>
      <c r="AG5" s="86">
        <f t="shared" si="0"/>
        <v>0.68613759832748944</v>
      </c>
    </row>
    <row r="6" spans="1:33" ht="21.75" customHeight="1">
      <c r="A6" s="119" t="s">
        <v>64</v>
      </c>
      <c r="B6" s="114">
        <f>'01'!AD9</f>
        <v>1</v>
      </c>
      <c r="C6" s="114">
        <f>'02'!AD9</f>
        <v>0.83288288288288292</v>
      </c>
      <c r="D6" s="87">
        <f>'03'!AD9+'03'!AD10</f>
        <v>0.91515330188679245</v>
      </c>
      <c r="E6" s="87">
        <f>'04'!AD9</f>
        <v>0.99937888198757763</v>
      </c>
      <c r="F6" s="87">
        <f>'05'!AD9</f>
        <v>0.41558159722222227</v>
      </c>
      <c r="G6" s="87">
        <f>'06'!AD9</f>
        <v>0.95754295532646061</v>
      </c>
      <c r="H6" s="87">
        <f>'07'!AD9</f>
        <v>0.7481958762886598</v>
      </c>
      <c r="I6" s="87">
        <f>'08'!AD9</f>
        <v>0.99924385633270318</v>
      </c>
      <c r="J6" s="87">
        <f>'09'!AD9</f>
        <v>0.9998015873015873</v>
      </c>
      <c r="K6" s="87">
        <f>'10'!AD9</f>
        <v>0.78974099099099093</v>
      </c>
      <c r="L6" s="87">
        <f>'11'!AD9</f>
        <v>0.99837251356238699</v>
      </c>
      <c r="M6" s="87"/>
      <c r="N6" s="87">
        <f>'13'!AD10</f>
        <v>0.41640946502057613</v>
      </c>
      <c r="O6" s="87">
        <f>'14'!AD9</f>
        <v>0.66472727272727272</v>
      </c>
      <c r="P6" s="87">
        <f>'15'!AD9</f>
        <v>0.70629659211927587</v>
      </c>
      <c r="Q6" s="87">
        <f>'16'!AD9</f>
        <v>0.74993231046931408</v>
      </c>
      <c r="R6" s="87">
        <f>'17'!AD9</f>
        <v>0.91656808710848237</v>
      </c>
      <c r="S6" s="87">
        <f>'18'!AD9</f>
        <v>0.99993443339525734</v>
      </c>
      <c r="T6" s="87"/>
      <c r="U6" s="87">
        <f>'21'!AD9</f>
        <v>0.45746445497630328</v>
      </c>
      <c r="V6" s="87">
        <f>'21'!AD9</f>
        <v>0.45746445497630328</v>
      </c>
      <c r="W6" s="87">
        <f>'22'!AD9</f>
        <v>0.79032160194174761</v>
      </c>
      <c r="X6" s="87">
        <f>'23'!AD9</f>
        <v>0.99909909909909911</v>
      </c>
      <c r="Y6" s="87">
        <f>'24'!AD9</f>
        <v>0.9992740471869328</v>
      </c>
      <c r="Z6" s="87">
        <f>'25'!AD9+'25'!AD10</f>
        <v>0.91417810061877869</v>
      </c>
      <c r="AA6" s="87">
        <f>'26'!AD9</f>
        <v>0.29143145161290324</v>
      </c>
      <c r="AB6" s="87">
        <f>'27'!AD9</f>
        <v>0</v>
      </c>
      <c r="AC6" s="87">
        <f>'28'!AD9</f>
        <v>0.70629006410256412</v>
      </c>
      <c r="AD6" s="87">
        <f>'29'!AD9</f>
        <v>0.12321428571428572</v>
      </c>
      <c r="AE6" s="87">
        <f>'30'!AD9</f>
        <v>0</v>
      </c>
      <c r="AF6" s="88"/>
      <c r="AG6" s="89">
        <f t="shared" si="0"/>
        <v>0.66161667216171205</v>
      </c>
    </row>
    <row r="7" spans="1:33" ht="21.75" customHeight="1">
      <c r="A7" s="119" t="s">
        <v>65</v>
      </c>
      <c r="B7" s="114">
        <f>'01'!AD10</f>
        <v>0.79014003673094579</v>
      </c>
      <c r="C7" s="114">
        <f>'02'!AD10</f>
        <v>0.87455012853470437</v>
      </c>
      <c r="D7" s="87">
        <f>'03'!AD11</f>
        <v>0.99912280701754386</v>
      </c>
      <c r="E7" s="87">
        <f>'04'!AD10</f>
        <v>0.83333333333333337</v>
      </c>
      <c r="F7" s="87">
        <f>'05'!AD10</f>
        <v>0.41631799163179917</v>
      </c>
      <c r="G7" s="87">
        <f>'06'!AD10</f>
        <v>0.16666666666666666</v>
      </c>
      <c r="H7" s="87">
        <f>'07'!AD10</f>
        <v>1</v>
      </c>
      <c r="I7" s="87">
        <f>'08'!AD10</f>
        <v>0.99933665008291872</v>
      </c>
      <c r="J7" s="87">
        <f>'09'!AD10</f>
        <v>0.79153526970954358</v>
      </c>
      <c r="K7" s="87">
        <f>'10'!AD10</f>
        <v>0</v>
      </c>
      <c r="L7" s="87">
        <f>'11'!AD10</f>
        <v>0.41666666666666669</v>
      </c>
      <c r="M7" s="87"/>
      <c r="N7" s="87">
        <f>'13'!AD11</f>
        <v>0</v>
      </c>
      <c r="O7" s="87">
        <f>'14'!AD10</f>
        <v>0.24973958333333332</v>
      </c>
      <c r="P7" s="87">
        <f>'15'!AD10</f>
        <v>0</v>
      </c>
      <c r="Q7" s="87">
        <f>'16'!AD10</f>
        <v>0</v>
      </c>
      <c r="R7" s="87">
        <f>'17'!AD10</f>
        <v>0.83333333333333337</v>
      </c>
      <c r="S7" s="87">
        <f>'18'!AD10</f>
        <v>0.37467032967032965</v>
      </c>
      <c r="T7" s="87"/>
      <c r="U7" s="87">
        <f>'21'!AD10</f>
        <v>0.87478991596638656</v>
      </c>
      <c r="V7" s="87">
        <f>'21'!AD10</f>
        <v>0.87478991596638656</v>
      </c>
      <c r="W7" s="87">
        <f>'22'!AD10</f>
        <v>0.9992799279927993</v>
      </c>
      <c r="X7" s="87">
        <f>'23'!AD10</f>
        <v>0.99950000000000006</v>
      </c>
      <c r="Y7" s="87">
        <f>'24'!AD10</f>
        <v>0.91666666666666663</v>
      </c>
      <c r="Z7" s="87">
        <f>'25'!AD11+'25'!AD12</f>
        <v>0.62339999999999995</v>
      </c>
      <c r="AA7" s="87">
        <f>'26'!AD10</f>
        <v>0</v>
      </c>
      <c r="AB7" s="87">
        <f>'27'!AD10</f>
        <v>0.66459143968871592</v>
      </c>
      <c r="AC7" s="87">
        <f>'28'!AD10</f>
        <v>0.78983091787439619</v>
      </c>
      <c r="AD7" s="87">
        <f>'29'!AD10</f>
        <v>0.7914192708333333</v>
      </c>
      <c r="AE7" s="87">
        <f>'30'!AD10</f>
        <v>0.16540084388185652</v>
      </c>
      <c r="AF7" s="88"/>
      <c r="AG7" s="89">
        <f t="shared" si="0"/>
        <v>0.5481693898527219</v>
      </c>
    </row>
    <row r="8" spans="1:33" ht="21.75" customHeight="1">
      <c r="A8" s="119" t="s">
        <v>66</v>
      </c>
      <c r="B8" s="114">
        <f>'01'!AD11+'01'!AD12</f>
        <v>0.6217066498316498</v>
      </c>
      <c r="C8" s="114">
        <f>'02'!AD11+'02'!AD12</f>
        <v>1.2904614325068868</v>
      </c>
      <c r="D8" s="87">
        <f>'03'!AD12</f>
        <v>0.625</v>
      </c>
      <c r="E8" s="87">
        <f>'04'!AD11</f>
        <v>0.99889240506329113</v>
      </c>
      <c r="F8" s="87">
        <f>'05'!AD11</f>
        <v>0.33333333333333331</v>
      </c>
      <c r="G8" s="87">
        <f>'06'!AD11</f>
        <v>0.99981751824817522</v>
      </c>
      <c r="H8" s="87">
        <f>'07'!AD11</f>
        <v>0.20833333333333334</v>
      </c>
      <c r="I8" s="87">
        <f>'08'!AD11</f>
        <v>0</v>
      </c>
      <c r="J8" s="87">
        <f>'09'!AD11</f>
        <v>0</v>
      </c>
      <c r="K8" s="87">
        <f>'10'!AD11</f>
        <v>0</v>
      </c>
      <c r="L8" s="87">
        <f>'11'!AD11</f>
        <v>0</v>
      </c>
      <c r="M8" s="87"/>
      <c r="N8" s="87">
        <f>'13'!AD12</f>
        <v>0</v>
      </c>
      <c r="O8" s="87">
        <f>'14'!AD11</f>
        <v>0</v>
      </c>
      <c r="P8" s="87">
        <f>'15'!AD11</f>
        <v>0</v>
      </c>
      <c r="Q8" s="87">
        <f>'16'!AD11</f>
        <v>0.58205128205128209</v>
      </c>
      <c r="R8" s="87">
        <f>'17'!AD11</f>
        <v>0.99889064976228215</v>
      </c>
      <c r="S8" s="87">
        <f>'18'!AD11</f>
        <v>0.99907834101382487</v>
      </c>
      <c r="T8" s="87"/>
      <c r="U8" s="87">
        <f>'21'!AD11</f>
        <v>0.70608068315665484</v>
      </c>
      <c r="V8" s="87">
        <f>'21'!AD11</f>
        <v>0.70608068315665484</v>
      </c>
      <c r="W8" s="87">
        <f>'22'!AD11</f>
        <v>0.87411257606490866</v>
      </c>
      <c r="X8" s="87">
        <f>'23'!AD11</f>
        <v>0.99920255183413076</v>
      </c>
      <c r="Y8" s="87">
        <f>'24'!AD11</f>
        <v>0.79042968749999998</v>
      </c>
      <c r="Z8" s="87">
        <f>'25'!AD13</f>
        <v>0.99984276729559751</v>
      </c>
      <c r="AA8" s="87">
        <f>'26'!AD11</f>
        <v>0.41595319634703198</v>
      </c>
      <c r="AB8" s="87">
        <f>'27'!AD11</f>
        <v>0.70706087824351294</v>
      </c>
      <c r="AC8" s="87">
        <f>'28'!AD11</f>
        <v>0.99953488372093025</v>
      </c>
      <c r="AD8" s="87">
        <f>'29'!AD11</f>
        <v>0.54010791366906474</v>
      </c>
      <c r="AE8" s="87">
        <f>'30'!AD11</f>
        <v>0.99906103286384973</v>
      </c>
      <c r="AF8" s="88"/>
      <c r="AG8" s="89">
        <f t="shared" si="0"/>
        <v>0.54650105996654641</v>
      </c>
    </row>
    <row r="9" spans="1:33" ht="21.75" customHeight="1">
      <c r="A9" s="119" t="s">
        <v>67</v>
      </c>
      <c r="B9" s="114">
        <f>'01'!AD13</f>
        <v>0.99786223277909736</v>
      </c>
      <c r="C9" s="114">
        <f>'02'!AD13</f>
        <v>0.66447187928669404</v>
      </c>
      <c r="D9" s="87">
        <f>'03'!AD13</f>
        <v>0.75</v>
      </c>
      <c r="E9" s="87">
        <f>'04'!AD12</f>
        <v>0.97811860940695294</v>
      </c>
      <c r="F9" s="87">
        <f>'05'!AD12</f>
        <v>0.41598360655737709</v>
      </c>
      <c r="G9" s="87">
        <f>'06'!AD12</f>
        <v>0.7070216049382716</v>
      </c>
      <c r="H9" s="87">
        <f>'07'!AD12</f>
        <v>0.33205944798301484</v>
      </c>
      <c r="I9" s="87">
        <f>'08'!AD12</f>
        <v>0.62372448979591832</v>
      </c>
      <c r="J9" s="87">
        <f>'09'!AD12</f>
        <v>0.83333333333333337</v>
      </c>
      <c r="K9" s="87">
        <f>'10'!AD12</f>
        <v>0.99875000000000003</v>
      </c>
      <c r="L9" s="87">
        <f>'11'!AD12</f>
        <v>0.41647640791476409</v>
      </c>
      <c r="M9" s="87"/>
      <c r="N9" s="87">
        <f>'13'!AD13</f>
        <v>0.4157142857142857</v>
      </c>
      <c r="O9" s="87">
        <f>'14'!AD12</f>
        <v>0.79166666666666663</v>
      </c>
      <c r="P9" s="87">
        <f>'15'!AD12</f>
        <v>0.62377450980392157</v>
      </c>
      <c r="Q9" s="87">
        <f>'16'!AD12</f>
        <v>0.12380952380952381</v>
      </c>
      <c r="R9" s="87">
        <f>'17'!AD12</f>
        <v>0</v>
      </c>
      <c r="S9" s="87">
        <f>'18'!AD12</f>
        <v>0</v>
      </c>
      <c r="T9" s="87"/>
      <c r="U9" s="87">
        <f>'21'!AD12</f>
        <v>0</v>
      </c>
      <c r="V9" s="87">
        <f>'21'!AD12</f>
        <v>0</v>
      </c>
      <c r="W9" s="87">
        <f>'22'!AD12</f>
        <v>0.87411504424778763</v>
      </c>
      <c r="X9" s="87">
        <f>'23'!AD12</f>
        <v>0.99980079681274903</v>
      </c>
      <c r="Y9" s="87">
        <f>'24'!AD12+'24'!AD13</f>
        <v>0.79053030303030303</v>
      </c>
      <c r="Z9" s="87">
        <f>'25'!AD14</f>
        <v>0.9164419934640522</v>
      </c>
      <c r="AA9" s="87">
        <f>'26'!AD12</f>
        <v>0.41531635802469136</v>
      </c>
      <c r="AB9" s="87">
        <f>'27'!AD12</f>
        <v>0.24935897435897436</v>
      </c>
      <c r="AC9" s="87">
        <f>'28'!AD12</f>
        <v>0.87410025706940875</v>
      </c>
      <c r="AD9" s="87">
        <f>'29'!AD12</f>
        <v>8.2552083333333331E-2</v>
      </c>
      <c r="AE9" s="87">
        <f>'30'!AD12</f>
        <v>0</v>
      </c>
      <c r="AF9" s="88"/>
      <c r="AG9" s="89">
        <f t="shared" si="0"/>
        <v>0.49583274694437068</v>
      </c>
    </row>
    <row r="10" spans="1:33" ht="21.75" customHeight="1">
      <c r="A10" s="119" t="s">
        <v>68</v>
      </c>
      <c r="B10" s="114">
        <f>'01'!AD14</f>
        <v>0</v>
      </c>
      <c r="C10" s="114">
        <f>'02'!AD14</f>
        <v>0</v>
      </c>
      <c r="D10" s="87">
        <f>'03'!AD14</f>
        <v>0.33253968253968252</v>
      </c>
      <c r="E10" s="87">
        <f>'04'!AD13</f>
        <v>0</v>
      </c>
      <c r="F10" s="87">
        <f>'05'!AD13</f>
        <v>0.33321657910099239</v>
      </c>
      <c r="G10" s="87">
        <f>'06'!AD13</f>
        <v>0</v>
      </c>
      <c r="H10" s="87">
        <f>'07'!AD13</f>
        <v>0.24878048780487805</v>
      </c>
      <c r="I10" s="87">
        <f>'08'!AD13+'08'!AD14</f>
        <v>0.53878205128205137</v>
      </c>
      <c r="J10" s="87">
        <f>'09'!AD13</f>
        <v>0.70726334340382679</v>
      </c>
      <c r="K10" s="87">
        <f>'10'!AD13</f>
        <v>0.87406716417910446</v>
      </c>
      <c r="L10" s="87">
        <f>'11'!AD13</f>
        <v>0.99928186714542189</v>
      </c>
      <c r="M10" s="87"/>
      <c r="N10" s="87">
        <f>'13'!AD14</f>
        <v>0.99917525773195881</v>
      </c>
      <c r="O10" s="87">
        <f>'14'!AD13</f>
        <v>0.99961538461538457</v>
      </c>
      <c r="P10" s="87">
        <f>'15'!AD13</f>
        <v>0.74849137931034482</v>
      </c>
      <c r="Q10" s="87">
        <f>'16'!AD13</f>
        <v>0</v>
      </c>
      <c r="R10" s="87">
        <f>'17'!AD13</f>
        <v>0</v>
      </c>
      <c r="S10" s="87">
        <f>'18'!AD13</f>
        <v>0</v>
      </c>
      <c r="T10" s="87"/>
      <c r="U10" s="87">
        <f>'21'!AD13</f>
        <v>0</v>
      </c>
      <c r="V10" s="87">
        <f>'21'!AD13</f>
        <v>0</v>
      </c>
      <c r="W10" s="87">
        <f>'22'!AD13</f>
        <v>0</v>
      </c>
      <c r="X10" s="87">
        <f>'23'!AD13</f>
        <v>0</v>
      </c>
      <c r="Y10" s="87">
        <f>'24'!AD14</f>
        <v>0</v>
      </c>
      <c r="Z10" s="87">
        <f>'25'!AD15</f>
        <v>0.75</v>
      </c>
      <c r="AA10" s="87">
        <f>'26'!AD13</f>
        <v>0.41647150663544108</v>
      </c>
      <c r="AB10" s="87">
        <f>'27'!AD13</f>
        <v>0.62284482758620685</v>
      </c>
      <c r="AC10" s="87">
        <f>'28'!AD13</f>
        <v>0.99860383944153575</v>
      </c>
      <c r="AD10" s="87">
        <f>'29'!AD13</f>
        <v>0.87413151364764263</v>
      </c>
      <c r="AE10" s="87">
        <f>'30'!AD13</f>
        <v>0.91517917511832314</v>
      </c>
      <c r="AF10" s="88"/>
      <c r="AG10" s="89">
        <f t="shared" si="0"/>
        <v>0.37861480198475983</v>
      </c>
    </row>
    <row r="11" spans="1:33" ht="21.75" customHeight="1">
      <c r="A11" s="118" t="s">
        <v>69</v>
      </c>
      <c r="B11" s="113">
        <f>'01'!AD15</f>
        <v>0.20833333333333334</v>
      </c>
      <c r="C11" s="113">
        <f>'02'!AD15</f>
        <v>0</v>
      </c>
      <c r="D11" s="84">
        <f>'03'!AD15</f>
        <v>0.33333333333333331</v>
      </c>
      <c r="E11" s="84">
        <f>'04'!AD14</f>
        <v>0.33282051282051284</v>
      </c>
      <c r="F11" s="84">
        <f>'05'!AD14</f>
        <v>0.32298850574712645</v>
      </c>
      <c r="G11" s="84">
        <f>'06'!AD14+'06'!AD15</f>
        <v>0.874</v>
      </c>
      <c r="H11" s="84">
        <f>'07'!AD14</f>
        <v>0.79101058931860035</v>
      </c>
      <c r="I11" s="84">
        <f>'08'!AD15</f>
        <v>0.91473458235753313</v>
      </c>
      <c r="J11" s="84">
        <f>'09'!AD14</f>
        <v>0.62285407725321884</v>
      </c>
      <c r="K11" s="84">
        <f>'10'!AD14</f>
        <v>0</v>
      </c>
      <c r="L11" s="84">
        <f>'11'!AD14</f>
        <v>0</v>
      </c>
      <c r="M11" s="84"/>
      <c r="N11" s="84">
        <f>'13'!AD15</f>
        <v>0</v>
      </c>
      <c r="O11" s="84">
        <f>'14'!AD14</f>
        <v>0</v>
      </c>
      <c r="P11" s="84">
        <f>'15'!AD14</f>
        <v>0</v>
      </c>
      <c r="Q11" s="84">
        <f>'16'!AD14</f>
        <v>0</v>
      </c>
      <c r="R11" s="84">
        <f>'17'!AD14</f>
        <v>0</v>
      </c>
      <c r="S11" s="84">
        <f>'18'!AD14</f>
        <v>0</v>
      </c>
      <c r="T11" s="84"/>
      <c r="U11" s="84">
        <f>'21'!AD14</f>
        <v>0</v>
      </c>
      <c r="V11" s="84">
        <f>'21'!AD14</f>
        <v>0</v>
      </c>
      <c r="W11" s="84">
        <f>'22'!AD14</f>
        <v>0</v>
      </c>
      <c r="X11" s="84">
        <f>'23'!AD14</f>
        <v>0.41666666666666669</v>
      </c>
      <c r="Y11" s="84">
        <f>'24'!AD15</f>
        <v>0.16666666666666666</v>
      </c>
      <c r="Z11" s="84">
        <f>'25'!AD16</f>
        <v>0</v>
      </c>
      <c r="AA11" s="84">
        <f>'26'!AD14</f>
        <v>0</v>
      </c>
      <c r="AB11" s="84">
        <f>'27'!AD14</f>
        <v>0</v>
      </c>
      <c r="AC11" s="84">
        <f>'28'!AD14</f>
        <v>0.29101123595505618</v>
      </c>
      <c r="AD11" s="84">
        <f>'29'!AD14</f>
        <v>0</v>
      </c>
      <c r="AE11" s="84">
        <f>'30'!AD14</f>
        <v>0.41591816367265466</v>
      </c>
      <c r="AF11" s="85"/>
      <c r="AG11" s="86">
        <f t="shared" si="0"/>
        <v>0.18967792223749011</v>
      </c>
    </row>
    <row r="12" spans="1:33" ht="21.75" customHeight="1">
      <c r="A12" s="118" t="s">
        <v>70</v>
      </c>
      <c r="B12" s="113">
        <f>'01'!AD16</f>
        <v>0</v>
      </c>
      <c r="C12" s="113">
        <f>'02'!AD16</f>
        <v>0</v>
      </c>
      <c r="D12" s="84">
        <f>'03'!AD16</f>
        <v>0</v>
      </c>
      <c r="E12" s="84">
        <f>'04'!AD15</f>
        <v>0.99920792079207921</v>
      </c>
      <c r="F12" s="84">
        <f>'05'!AD15</f>
        <v>0.24934210526315789</v>
      </c>
      <c r="G12" s="84">
        <f>'06'!AD16</f>
        <v>0.70679347826086958</v>
      </c>
      <c r="H12" s="84">
        <f>'07'!AD15</f>
        <v>0.99979508196721312</v>
      </c>
      <c r="I12" s="84">
        <f>'08'!AD16</f>
        <v>0.99837067209775965</v>
      </c>
      <c r="J12" s="84">
        <f>'09'!AD15</f>
        <v>0.87381756756756757</v>
      </c>
      <c r="K12" s="84">
        <f>'10'!AD15</f>
        <v>0.99874100719424463</v>
      </c>
      <c r="L12" s="84">
        <f>'11'!AD15</f>
        <v>0.99927927927927929</v>
      </c>
      <c r="M12" s="84"/>
      <c r="N12" s="84">
        <f>'13'!AD16</f>
        <v>0.66529411764705881</v>
      </c>
      <c r="O12" s="84">
        <f>'14'!AD15</f>
        <v>0.99946332737030408</v>
      </c>
      <c r="P12" s="84">
        <f>'15'!AD15</f>
        <v>0.83231707317073178</v>
      </c>
      <c r="Q12" s="84">
        <f>'16'!AD15</f>
        <v>1</v>
      </c>
      <c r="R12" s="84">
        <f>'17'!AD15</f>
        <v>0.99835164835164836</v>
      </c>
      <c r="S12" s="84">
        <f>'18'!AD15</f>
        <v>0.74918478260869559</v>
      </c>
      <c r="T12" s="84"/>
      <c r="U12" s="84">
        <f>'21'!AD15</f>
        <v>0.37382075471698112</v>
      </c>
      <c r="V12" s="84">
        <f>'21'!AD15</f>
        <v>0.37382075471698112</v>
      </c>
      <c r="W12" s="84">
        <f>'22'!AD15</f>
        <v>0</v>
      </c>
      <c r="X12" s="84">
        <f>'23'!AD15</f>
        <v>0</v>
      </c>
      <c r="Y12" s="84">
        <f>'24'!AD16</f>
        <v>0</v>
      </c>
      <c r="Z12" s="84">
        <f>'25'!AD17</f>
        <v>0</v>
      </c>
      <c r="AA12" s="84">
        <f>'26'!AD15</f>
        <v>0</v>
      </c>
      <c r="AB12" s="84">
        <f>'27'!AD15</f>
        <v>0</v>
      </c>
      <c r="AC12" s="84">
        <f>'28'!AD15</f>
        <v>0</v>
      </c>
      <c r="AD12" s="84">
        <f>'29'!AD15</f>
        <v>0</v>
      </c>
      <c r="AE12" s="84">
        <f>'30'!AD15</f>
        <v>0.83224826388888884</v>
      </c>
      <c r="AF12" s="85"/>
      <c r="AG12" s="86">
        <f t="shared" si="0"/>
        <v>0.45499492782978196</v>
      </c>
    </row>
    <row r="13" spans="1:33" ht="21.75" customHeight="1">
      <c r="A13" s="118" t="s">
        <v>71</v>
      </c>
      <c r="B13" s="113">
        <f>'01'!AD17</f>
        <v>0.79166666666666663</v>
      </c>
      <c r="C13" s="113">
        <f>'02'!AD17</f>
        <v>0.51978390461997015</v>
      </c>
      <c r="D13" s="84">
        <f>'03'!AD17</f>
        <v>0.99959677419354842</v>
      </c>
      <c r="E13" s="84">
        <f>'04'!AD16</f>
        <v>0.99818913480885307</v>
      </c>
      <c r="F13" s="84">
        <f>'05'!AD16</f>
        <v>0.28963768115942029</v>
      </c>
      <c r="G13" s="84">
        <f>'06'!AD17</f>
        <v>0.66591760299625458</v>
      </c>
      <c r="H13" s="84">
        <f>'07'!AD16</f>
        <v>1</v>
      </c>
      <c r="I13" s="84">
        <f>'08'!AD17</f>
        <v>0.75</v>
      </c>
      <c r="J13" s="84">
        <f>'09'!AD16</f>
        <v>0.95773809523809528</v>
      </c>
      <c r="K13" s="84">
        <f>'10'!AD16</f>
        <v>0.99827255278310945</v>
      </c>
      <c r="L13" s="84">
        <f>'11'!AD16</f>
        <v>0.91666666666666663</v>
      </c>
      <c r="M13" s="84"/>
      <c r="N13" s="84">
        <f>'13'!AD17</f>
        <v>0</v>
      </c>
      <c r="O13" s="84">
        <f>'14'!AD16</f>
        <v>0</v>
      </c>
      <c r="P13" s="84">
        <f>'15'!AD16</f>
        <v>0.37476562499999999</v>
      </c>
      <c r="Q13" s="84">
        <f>'16'!AD16</f>
        <v>0.16666666666666666</v>
      </c>
      <c r="R13" s="84">
        <f>'17'!AD16</f>
        <v>0</v>
      </c>
      <c r="S13" s="84">
        <f>'18'!AD16</f>
        <v>0</v>
      </c>
      <c r="T13" s="84"/>
      <c r="U13" s="84">
        <f>'21'!AD16</f>
        <v>0.28964743589743591</v>
      </c>
      <c r="V13" s="84">
        <f>'21'!AD16</f>
        <v>0.28964743589743591</v>
      </c>
      <c r="W13" s="84">
        <f>'22'!AD16</f>
        <v>0.16666666666666666</v>
      </c>
      <c r="X13" s="84">
        <f>'23'!AD16</f>
        <v>0.70813037249283672</v>
      </c>
      <c r="Y13" s="84">
        <f>'24'!AD17+'24'!AD18</f>
        <v>0.45643877151799683</v>
      </c>
      <c r="Z13" s="84">
        <f>'25'!AD18</f>
        <v>0.87415865384615388</v>
      </c>
      <c r="AA13" s="84">
        <f>'26'!AD16</f>
        <v>0.33298611111111109</v>
      </c>
      <c r="AB13" s="84">
        <f>'27'!AD16</f>
        <v>0</v>
      </c>
      <c r="AC13" s="84">
        <f>'28'!AD16</f>
        <v>0.49909909909909911</v>
      </c>
      <c r="AD13" s="84">
        <f>'29'!AD16</f>
        <v>0.99963898916967509</v>
      </c>
      <c r="AE13" s="84">
        <f>'30'!AD16</f>
        <v>0.99874326750448839</v>
      </c>
      <c r="AF13" s="85"/>
      <c r="AG13" s="86">
        <f t="shared" si="0"/>
        <v>0.50146860580007169</v>
      </c>
    </row>
    <row r="14" spans="1:33" ht="21.75" customHeight="1">
      <c r="A14" s="118" t="s">
        <v>72</v>
      </c>
      <c r="B14" s="113">
        <f>'01'!AD18</f>
        <v>0.75</v>
      </c>
      <c r="C14" s="113">
        <f>'02'!AD18</f>
        <v>0</v>
      </c>
      <c r="D14" s="84">
        <f>'03'!AD18+'03'!AD19</f>
        <v>0.41535947712418297</v>
      </c>
      <c r="E14" s="84">
        <f>'04'!AD17</f>
        <v>0</v>
      </c>
      <c r="F14" s="84">
        <f>'05'!AD17</f>
        <v>0.33285371702637889</v>
      </c>
      <c r="G14" s="84">
        <f>'06'!AD18</f>
        <v>0.9984555984555985</v>
      </c>
      <c r="H14" s="84">
        <f>'07'!AD17</f>
        <v>0.99961013645224173</v>
      </c>
      <c r="I14" s="84">
        <f>'08'!AD18</f>
        <v>0.8745803357314148</v>
      </c>
      <c r="J14" s="84">
        <f>'09'!AD17</f>
        <v>0.41615853658536589</v>
      </c>
      <c r="K14" s="84">
        <f>'10'!AD17</f>
        <v>0.83323013415892677</v>
      </c>
      <c r="L14" s="84">
        <f>'11'!AD17</f>
        <v>0</v>
      </c>
      <c r="M14" s="84"/>
      <c r="N14" s="84">
        <f>'13'!AD18</f>
        <v>0</v>
      </c>
      <c r="O14" s="84">
        <f>'14'!AD17</f>
        <v>0</v>
      </c>
      <c r="P14" s="84">
        <f>'15'!AD17</f>
        <v>0</v>
      </c>
      <c r="Q14" s="84">
        <f>'16'!AD17</f>
        <v>0</v>
      </c>
      <c r="R14" s="84">
        <f>'17'!AD17</f>
        <v>0</v>
      </c>
      <c r="S14" s="84">
        <f>'18'!AD17</f>
        <v>0.79095345345345347</v>
      </c>
      <c r="T14" s="84"/>
      <c r="U14" s="84">
        <f>'21'!AD17</f>
        <v>0.99895209580838318</v>
      </c>
      <c r="V14" s="84">
        <f>'21'!AD17</f>
        <v>0.99895209580838318</v>
      </c>
      <c r="W14" s="84">
        <f>'22'!AD17</f>
        <v>0.2080200501253133</v>
      </c>
      <c r="X14" s="84">
        <f>'23'!AD17</f>
        <v>0.95796545105566222</v>
      </c>
      <c r="Y14" s="84">
        <f>'24'!AD19</f>
        <v>0.41666666666666669</v>
      </c>
      <c r="Z14" s="84">
        <f>'25'!AD19</f>
        <v>0</v>
      </c>
      <c r="AA14" s="84">
        <f>'26'!AD17</f>
        <v>0</v>
      </c>
      <c r="AB14" s="84">
        <f>'27'!AD17</f>
        <v>0</v>
      </c>
      <c r="AC14" s="84">
        <f>'28'!AD17</f>
        <v>0</v>
      </c>
      <c r="AD14" s="84">
        <f>'29'!AD17</f>
        <v>0.8329633740288569</v>
      </c>
      <c r="AE14" s="84">
        <f>'30'!AD17</f>
        <v>1</v>
      </c>
      <c r="AF14" s="85"/>
      <c r="AG14" s="86">
        <f t="shared" si="0"/>
        <v>0.39415737074936091</v>
      </c>
    </row>
    <row r="15" spans="1:33" ht="21.75" customHeight="1">
      <c r="A15" s="119" t="s">
        <v>73</v>
      </c>
      <c r="B15" s="114">
        <f>'01'!AD19</f>
        <v>0.41640786749482406</v>
      </c>
      <c r="C15" s="114">
        <f>'02'!AD19</f>
        <v>0.83333333333333337</v>
      </c>
      <c r="D15" s="87">
        <f>'03'!AD20</f>
        <v>0.91630789302022175</v>
      </c>
      <c r="E15" s="87">
        <f>'04'!AD18</f>
        <v>0.74826158940397347</v>
      </c>
      <c r="F15" s="87">
        <f>'05'!AD18</f>
        <v>0.37360372340425529</v>
      </c>
      <c r="G15" s="87">
        <f>'06'!AD19</f>
        <v>0.78980078563411893</v>
      </c>
      <c r="H15" s="87">
        <f>'07'!AD18</f>
        <v>0.99837728194726161</v>
      </c>
      <c r="I15" s="87">
        <f>'08'!AD19</f>
        <v>0.95759330759330763</v>
      </c>
      <c r="J15" s="87">
        <f>'09'!AD18</f>
        <v>0.91629403794037945</v>
      </c>
      <c r="K15" s="87">
        <f>'10'!AD18</f>
        <v>0.45772760646108662</v>
      </c>
      <c r="L15" s="87">
        <f>'11'!AD18</f>
        <v>0.87406115879828328</v>
      </c>
      <c r="M15" s="87"/>
      <c r="N15" s="87">
        <f>'13'!AD19</f>
        <v>0.99960629921259847</v>
      </c>
      <c r="O15" s="87">
        <f>'14'!AD18</f>
        <v>0.91666666666666663</v>
      </c>
      <c r="P15" s="87">
        <f>'15'!AD18</f>
        <v>0.87463842975206618</v>
      </c>
      <c r="Q15" s="87">
        <f>'16'!AD18+'16'!AD19</f>
        <v>0.41553672316384183</v>
      </c>
      <c r="R15" s="87">
        <f>'17'!AD18</f>
        <v>0.66531073446327682</v>
      </c>
      <c r="S15" s="87">
        <f>'18'!AD18+'18'!AD19</f>
        <v>0.95566716775377081</v>
      </c>
      <c r="T15" s="87"/>
      <c r="U15" s="87">
        <f>'21'!AD18</f>
        <v>0.99874551971326164</v>
      </c>
      <c r="V15" s="87">
        <f>'21'!AD18</f>
        <v>0.99874551971326164</v>
      </c>
      <c r="W15" s="87">
        <f>'22'!AD18</f>
        <v>0.99956709956709955</v>
      </c>
      <c r="X15" s="87">
        <f>'23'!AD18</f>
        <v>0.49852941176470589</v>
      </c>
      <c r="Y15" s="87">
        <f>'24'!AD20</f>
        <v>0.83178191489361708</v>
      </c>
      <c r="Z15" s="87">
        <f>'25'!AD20</f>
        <v>0.99837251356238699</v>
      </c>
      <c r="AA15" s="87">
        <f>'26'!AD18</f>
        <v>0.41666666666666669</v>
      </c>
      <c r="AB15" s="87">
        <f>'27'!AD18</f>
        <v>0.6245136186770428</v>
      </c>
      <c r="AC15" s="87">
        <f>'28'!AD18</f>
        <v>0.99926605504587152</v>
      </c>
      <c r="AD15" s="87">
        <f>'29'!AD18+'29'!AD19</f>
        <v>1</v>
      </c>
      <c r="AE15" s="87">
        <f>'30'!AD18</f>
        <v>0.99936808846761449</v>
      </c>
      <c r="AF15" s="88"/>
      <c r="AG15" s="89">
        <f t="shared" si="0"/>
        <v>0.74915836713715989</v>
      </c>
    </row>
    <row r="16" spans="1:33" ht="21.75" customHeight="1">
      <c r="A16" s="119" t="s">
        <v>74</v>
      </c>
      <c r="B16" s="114">
        <f>'01'!AD20</f>
        <v>1</v>
      </c>
      <c r="C16" s="114">
        <f>'02'!AD20</f>
        <v>0.74975961538461533</v>
      </c>
      <c r="D16" s="87">
        <f>'03'!AD21</f>
        <v>0.99961013645224173</v>
      </c>
      <c r="E16" s="87">
        <f>'04'!AD19</f>
        <v>0.95753472222222225</v>
      </c>
      <c r="F16" s="87">
        <f>'05'!AD19</f>
        <v>0.41607704402515727</v>
      </c>
      <c r="G16" s="87">
        <f>'06'!AD20</f>
        <v>0.91569019085663561</v>
      </c>
      <c r="H16" s="87">
        <f>'07'!AD19</f>
        <v>0.91596153846153849</v>
      </c>
      <c r="I16" s="87">
        <f>'08'!AD20</f>
        <v>0.95752546540217787</v>
      </c>
      <c r="J16" s="87">
        <f>'09'!AD19+'09'!AD20</f>
        <v>0.49939615327270015</v>
      </c>
      <c r="K16" s="87">
        <f>'10'!AD19</f>
        <v>0.91623731459797031</v>
      </c>
      <c r="L16" s="87">
        <f>'11'!AD19</f>
        <v>1</v>
      </c>
      <c r="M16" s="87"/>
      <c r="N16" s="87">
        <f>'13'!AD20</f>
        <v>0.78995495495495494</v>
      </c>
      <c r="O16" s="87">
        <f>'14'!AD19</f>
        <v>0.16285714285714284</v>
      </c>
      <c r="P16" s="87">
        <f>'15'!AD19</f>
        <v>0.79166666666666663</v>
      </c>
      <c r="Q16" s="87">
        <f>'16'!AD20+'16'!AD21</f>
        <v>0.58165503043322597</v>
      </c>
      <c r="R16" s="87">
        <f>'17'!AD19</f>
        <v>0.91542513167795325</v>
      </c>
      <c r="S16" s="87">
        <f>'18'!AD20</f>
        <v>0.99852125693160809</v>
      </c>
      <c r="T16" s="87"/>
      <c r="U16" s="87">
        <f>'21'!AD19</f>
        <v>0.6237942122186495</v>
      </c>
      <c r="V16" s="87">
        <f>'21'!AD19</f>
        <v>0.6237942122186495</v>
      </c>
      <c r="W16" s="87">
        <f>'22'!AD19</f>
        <v>0.99847036328871897</v>
      </c>
      <c r="X16" s="87">
        <f>'23'!AD19</f>
        <v>1</v>
      </c>
      <c r="Y16" s="87">
        <f>'24'!AD21</f>
        <v>0.99848197343453515</v>
      </c>
      <c r="Z16" s="87">
        <f>'25'!AD21</f>
        <v>0.74424999999999997</v>
      </c>
      <c r="AA16" s="87">
        <f>'26'!AD19</f>
        <v>0.16640624999999998</v>
      </c>
      <c r="AB16" s="87">
        <f>'27'!AD19</f>
        <v>0.99958592132505175</v>
      </c>
      <c r="AC16" s="87">
        <f>'28'!AD19</f>
        <v>0.9988721804511278</v>
      </c>
      <c r="AD16" s="87">
        <f>'29'!AD20</f>
        <v>0.99904397705544934</v>
      </c>
      <c r="AE16" s="87">
        <f>'30'!AD19</f>
        <v>0.99980506822612081</v>
      </c>
      <c r="AF16" s="88"/>
      <c r="AG16" s="89">
        <f t="shared" si="0"/>
        <v>0.75734588408050396</v>
      </c>
    </row>
    <row r="17" spans="1:33" ht="21.75" customHeight="1" thickBot="1">
      <c r="A17" s="120" t="s">
        <v>112</v>
      </c>
      <c r="B17" s="115">
        <f>'01'!AD21</f>
        <v>0</v>
      </c>
      <c r="C17" s="115">
        <f>'02'!AD21</f>
        <v>0.79157736416619662</v>
      </c>
      <c r="D17" s="90">
        <f>'03'!AD22</f>
        <v>0.99990591187078559</v>
      </c>
      <c r="E17" s="90">
        <f>'04'!AD20</f>
        <v>1</v>
      </c>
      <c r="F17" s="90">
        <f>'05'!AD20</f>
        <v>0.41663626413717625</v>
      </c>
      <c r="G17" s="90">
        <f>'06'!AD21</f>
        <v>0.99989776793320839</v>
      </c>
      <c r="H17" s="90">
        <f>'07'!AD20</f>
        <v>0.9999699564368334</v>
      </c>
      <c r="I17" s="90">
        <f>'08'!AD21</f>
        <v>0.99988176174992605</v>
      </c>
      <c r="J17" s="90">
        <f>'09'!AD21</f>
        <v>0.99997043606799707</v>
      </c>
      <c r="K17" s="90">
        <f>'10'!AD20</f>
        <v>0.9999681782020684</v>
      </c>
      <c r="L17" s="90">
        <f>'11'!AD20</f>
        <v>0.99997135901475009</v>
      </c>
      <c r="M17" s="90"/>
      <c r="N17" s="90">
        <f>'13'!AD21</f>
        <v>0.875</v>
      </c>
      <c r="O17" s="90">
        <f>'14'!AD20</f>
        <v>0.99994428969359328</v>
      </c>
      <c r="P17" s="90">
        <f>'15'!AD20+'15'!AD21</f>
        <v>0.91643313633466605</v>
      </c>
      <c r="Q17" s="90">
        <f>'16'!AD22</f>
        <v>0.99981773997569867</v>
      </c>
      <c r="R17" s="90">
        <f>'17'!AD20</f>
        <v>0.99987071751777634</v>
      </c>
      <c r="S17" s="90">
        <f>'18'!AD21</f>
        <v>0.99996692574830492</v>
      </c>
      <c r="T17" s="90"/>
      <c r="U17" s="90">
        <f>'21'!AD20</f>
        <v>0.99988626670457781</v>
      </c>
      <c r="V17" s="90">
        <f>'21'!AD20</f>
        <v>0.99988626670457781</v>
      </c>
      <c r="W17" s="90">
        <f>'22'!AD20</f>
        <v>0.87385344827586209</v>
      </c>
      <c r="X17" s="90">
        <f>'23'!AD20</f>
        <v>0.99979166666666663</v>
      </c>
      <c r="Y17" s="90">
        <f>'24'!AD22</f>
        <v>0</v>
      </c>
      <c r="Z17" s="90">
        <f>'25'!AD22</f>
        <v>0</v>
      </c>
      <c r="AA17" s="90">
        <f>'26'!AD20</f>
        <v>0</v>
      </c>
      <c r="AB17" s="90">
        <f>'27'!AD20</f>
        <v>0</v>
      </c>
      <c r="AC17" s="90">
        <f>'28'!AD20</f>
        <v>0.8330880549423596</v>
      </c>
      <c r="AD17" s="90">
        <f>'29'!AD21</f>
        <v>0.79146725440806043</v>
      </c>
      <c r="AE17" s="90">
        <f>'30'!AD20</f>
        <v>0.83271719038817016</v>
      </c>
      <c r="AF17" s="91"/>
      <c r="AG17" s="92">
        <f t="shared" si="0"/>
        <v>0.71098339856464188</v>
      </c>
    </row>
    <row r="18" spans="1:33" s="93" customFormat="1" ht="21.75" customHeight="1">
      <c r="A18" s="97" t="s">
        <v>106</v>
      </c>
      <c r="B18" s="101">
        <f>'01'!AD22</f>
        <v>0.51887285312916853</v>
      </c>
      <c r="C18" s="101">
        <f>'02'!AD22</f>
        <v>0.50371423530967818</v>
      </c>
      <c r="D18" s="102">
        <f>'03'!AD23</f>
        <v>0.61620120413513846</v>
      </c>
      <c r="E18" s="102">
        <f>'04'!AD21</f>
        <v>0.66454379103035088</v>
      </c>
      <c r="F18" s="102">
        <f>'05'!AD21</f>
        <v>0.3126151238085717</v>
      </c>
      <c r="G18" s="102">
        <f>'06'!AD22</f>
        <v>0.65200555045124864</v>
      </c>
      <c r="H18" s="102">
        <f>'07'!AD21</f>
        <v>0.71053030239029213</v>
      </c>
      <c r="I18" s="102">
        <f>'08'!AD22</f>
        <v>0.7353509116584459</v>
      </c>
      <c r="J18" s="102">
        <f>'09'!AD22</f>
        <v>0.69391351157070635</v>
      </c>
      <c r="K18" s="102">
        <f>'10'!AD21</f>
        <v>0.58820843950474189</v>
      </c>
      <c r="L18" s="102">
        <f>'11'!AD21</f>
        <v>0.6162956675492981</v>
      </c>
      <c r="M18" s="102"/>
      <c r="N18" s="102">
        <f>'13'!AD22</f>
        <v>0.49392861469052768</v>
      </c>
      <c r="O18" s="102">
        <f>'14'!AD21</f>
        <v>0.55772822965818281</v>
      </c>
      <c r="P18" s="102">
        <f>'15'!AD22</f>
        <v>0.56893534785390354</v>
      </c>
      <c r="Q18" s="102">
        <f>'16'!AD23</f>
        <v>0.47169281236352462</v>
      </c>
      <c r="R18" s="102">
        <f>'17'!AD21</f>
        <v>0.58568538809327797</v>
      </c>
      <c r="S18" s="102">
        <f>'18'!AD22</f>
        <v>0.6493690640031371</v>
      </c>
      <c r="T18" s="102"/>
      <c r="U18" s="102">
        <f>'21'!AD21</f>
        <v>0.44919299205502006</v>
      </c>
      <c r="V18" s="102">
        <f>'21'!AD21</f>
        <v>0.44919299205502006</v>
      </c>
      <c r="W18" s="102">
        <f>'22'!AD21</f>
        <v>0.52724647807893366</v>
      </c>
      <c r="X18" s="102">
        <f>'23'!AD21</f>
        <v>0.72162593889479665</v>
      </c>
      <c r="Y18" s="102">
        <f>'24'!AD23</f>
        <v>0.55432355156868995</v>
      </c>
      <c r="Z18" s="102">
        <f>'25'!AD23</f>
        <v>0.6099758275612952</v>
      </c>
      <c r="AA18" s="102">
        <f>'26'!AD21</f>
        <v>0.24388994647918052</v>
      </c>
      <c r="AB18" s="102">
        <f>'27'!AD21</f>
        <v>0.38810792167637398</v>
      </c>
      <c r="AC18" s="102">
        <f>'28'!AD21</f>
        <v>0.67885902087950312</v>
      </c>
      <c r="AD18" s="102">
        <f>'29'!AD22</f>
        <v>0.64384104402809483</v>
      </c>
      <c r="AE18" s="102">
        <f>'30'!AD21</f>
        <v>0.71039712009447664</v>
      </c>
      <c r="AF18" s="103"/>
      <c r="AG18" s="106">
        <f t="shared" si="0"/>
        <v>0.53054146268571922</v>
      </c>
    </row>
    <row r="19" spans="1:33" ht="21.75" customHeight="1" thickBot="1">
      <c r="A19" s="76" t="s">
        <v>110</v>
      </c>
      <c r="B19" s="77">
        <v>0.7</v>
      </c>
      <c r="C19" s="78">
        <v>0.7</v>
      </c>
      <c r="D19" s="78">
        <v>0.7</v>
      </c>
      <c r="E19" s="78">
        <v>0.7</v>
      </c>
      <c r="F19" s="78">
        <v>0.7</v>
      </c>
      <c r="G19" s="78">
        <v>0.7</v>
      </c>
      <c r="H19" s="78">
        <v>0.7</v>
      </c>
      <c r="I19" s="78">
        <v>0.7</v>
      </c>
      <c r="J19" s="78">
        <v>0.7</v>
      </c>
      <c r="K19" s="78">
        <v>0.7</v>
      </c>
      <c r="L19" s="78">
        <v>0.7</v>
      </c>
      <c r="M19" s="78">
        <v>0.7</v>
      </c>
      <c r="N19" s="78">
        <v>0.7</v>
      </c>
      <c r="O19" s="78">
        <v>0.7</v>
      </c>
      <c r="P19" s="78">
        <v>0.7</v>
      </c>
      <c r="Q19" s="78">
        <v>0.7</v>
      </c>
      <c r="R19" s="78">
        <v>0.7</v>
      </c>
      <c r="S19" s="78">
        <v>0.7</v>
      </c>
      <c r="T19" s="78">
        <v>0.7</v>
      </c>
      <c r="U19" s="78">
        <v>0.7</v>
      </c>
      <c r="V19" s="78">
        <v>0.7</v>
      </c>
      <c r="W19" s="78">
        <v>0.7</v>
      </c>
      <c r="X19" s="78">
        <v>0.7</v>
      </c>
      <c r="Y19" s="78">
        <v>0.7</v>
      </c>
      <c r="Z19" s="78">
        <v>0.7</v>
      </c>
      <c r="AA19" s="78">
        <v>0.7</v>
      </c>
      <c r="AB19" s="78">
        <v>0.7</v>
      </c>
      <c r="AC19" s="78">
        <v>0.7</v>
      </c>
      <c r="AD19" s="78">
        <v>0.7</v>
      </c>
      <c r="AE19" s="78">
        <v>0.7</v>
      </c>
      <c r="AF19" s="79">
        <v>0.7</v>
      </c>
      <c r="AG19" s="80">
        <v>0.7</v>
      </c>
    </row>
  </sheetData>
  <mergeCells count="1">
    <mergeCell ref="A1:H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7"/>
  <sheetViews>
    <sheetView topLeftCell="A40" zoomScale="72" zoomScaleNormal="72" zoomScaleSheetLayoutView="70" workbookViewId="0">
      <selection activeCell="A64" sqref="A64:XFD6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51" t="s">
        <v>570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6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222" t="s">
        <v>17</v>
      </c>
      <c r="L5" s="222" t="s">
        <v>18</v>
      </c>
      <c r="M5" s="222" t="s">
        <v>19</v>
      </c>
      <c r="N5" s="22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6" ht="27" customHeight="1">
      <c r="A6" s="108">
        <v>1</v>
      </c>
      <c r="B6" s="11" t="s">
        <v>149</v>
      </c>
      <c r="C6" s="37" t="s">
        <v>177</v>
      </c>
      <c r="D6" s="55" t="s">
        <v>190</v>
      </c>
      <c r="E6" s="57" t="s">
        <v>191</v>
      </c>
      <c r="F6" s="33" t="s">
        <v>184</v>
      </c>
      <c r="G6" s="12">
        <v>1</v>
      </c>
      <c r="H6" s="13">
        <v>25</v>
      </c>
      <c r="I6" s="34">
        <v>3000</v>
      </c>
      <c r="J6" s="5">
        <v>1030</v>
      </c>
      <c r="K6" s="15">
        <f>L6+1319+1024</f>
        <v>2343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0.69391351157070635</v>
      </c>
      <c r="AF6" s="94">
        <f t="shared" ref="AF6:AF21" si="8">A6</f>
        <v>1</v>
      </c>
    </row>
    <row r="7" spans="1:36" ht="27" customHeight="1">
      <c r="A7" s="108">
        <v>2</v>
      </c>
      <c r="B7" s="11" t="s">
        <v>149</v>
      </c>
      <c r="C7" s="37" t="s">
        <v>234</v>
      </c>
      <c r="D7" s="55" t="s">
        <v>190</v>
      </c>
      <c r="E7" s="57" t="s">
        <v>571</v>
      </c>
      <c r="F7" s="33" t="s">
        <v>184</v>
      </c>
      <c r="G7" s="12">
        <v>1</v>
      </c>
      <c r="H7" s="13">
        <v>25</v>
      </c>
      <c r="I7" s="34">
        <v>4000</v>
      </c>
      <c r="J7" s="5">
        <v>3070</v>
      </c>
      <c r="K7" s="15">
        <f>L7</f>
        <v>3068</v>
      </c>
      <c r="L7" s="15">
        <f>2096+972</f>
        <v>3068</v>
      </c>
      <c r="M7" s="16">
        <f t="shared" si="0"/>
        <v>3068</v>
      </c>
      <c r="N7" s="16">
        <v>0</v>
      </c>
      <c r="O7" s="62">
        <f t="shared" si="1"/>
        <v>0</v>
      </c>
      <c r="P7" s="42">
        <f t="shared" si="2"/>
        <v>19</v>
      </c>
      <c r="Q7" s="43">
        <f t="shared" si="3"/>
        <v>5</v>
      </c>
      <c r="R7" s="7">
        <v>5</v>
      </c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0.99934853420195435</v>
      </c>
      <c r="AC7" s="9">
        <f t="shared" si="5"/>
        <v>0.79166666666666663</v>
      </c>
      <c r="AD7" s="10">
        <f t="shared" si="6"/>
        <v>0.79115092290988054</v>
      </c>
      <c r="AE7" s="39">
        <f t="shared" si="7"/>
        <v>0.69391351157070635</v>
      </c>
      <c r="AF7" s="94">
        <f t="shared" si="8"/>
        <v>2</v>
      </c>
    </row>
    <row r="8" spans="1:36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65000</v>
      </c>
      <c r="J8" s="14">
        <v>6550</v>
      </c>
      <c r="K8" s="15">
        <f>L8+452+3795+3955+5414+5383+3788+2222+5252+4546+5439</f>
        <v>46792</v>
      </c>
      <c r="L8" s="15">
        <f>3310+3236</f>
        <v>6546</v>
      </c>
      <c r="M8" s="16">
        <f t="shared" si="0"/>
        <v>6546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0.99938931297709921</v>
      </c>
      <c r="AC8" s="9">
        <f t="shared" si="5"/>
        <v>1</v>
      </c>
      <c r="AD8" s="10">
        <f t="shared" si="6"/>
        <v>0.99938931297709921</v>
      </c>
      <c r="AE8" s="39">
        <f t="shared" si="7"/>
        <v>0.69391351157070635</v>
      </c>
      <c r="AF8" s="94">
        <f>A8</f>
        <v>3</v>
      </c>
    </row>
    <row r="9" spans="1:36" ht="27" customHeight="1">
      <c r="A9" s="110">
        <v>4</v>
      </c>
      <c r="B9" s="11" t="s">
        <v>58</v>
      </c>
      <c r="C9" s="37" t="s">
        <v>118</v>
      </c>
      <c r="D9" s="55" t="s">
        <v>131</v>
      </c>
      <c r="E9" s="57" t="s">
        <v>139</v>
      </c>
      <c r="F9" s="33" t="s">
        <v>146</v>
      </c>
      <c r="G9" s="36">
        <v>1</v>
      </c>
      <c r="H9" s="38">
        <v>25</v>
      </c>
      <c r="I9" s="7">
        <v>45000</v>
      </c>
      <c r="J9" s="5">
        <v>5040</v>
      </c>
      <c r="K9" s="15">
        <f>L9+2660+5083+4690+2113+4827+1915+4846+2903+5286</f>
        <v>39362</v>
      </c>
      <c r="L9" s="15">
        <f>2419+2620</f>
        <v>5039</v>
      </c>
      <c r="M9" s="16">
        <f t="shared" si="0"/>
        <v>5039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0.9998015873015873</v>
      </c>
      <c r="AC9" s="9">
        <f t="shared" si="5"/>
        <v>1</v>
      </c>
      <c r="AD9" s="10">
        <f t="shared" si="6"/>
        <v>0.9998015873015873</v>
      </c>
      <c r="AE9" s="39">
        <f t="shared" si="7"/>
        <v>0.69391351157070635</v>
      </c>
      <c r="AF9" s="94">
        <f t="shared" ref="AF9:AF10" si="9">A9</f>
        <v>4</v>
      </c>
    </row>
    <row r="10" spans="1:36" ht="27" customHeight="1">
      <c r="A10" s="110">
        <v>5</v>
      </c>
      <c r="B10" s="11" t="s">
        <v>58</v>
      </c>
      <c r="C10" s="11" t="s">
        <v>572</v>
      </c>
      <c r="D10" s="55" t="s">
        <v>573</v>
      </c>
      <c r="E10" s="57" t="s">
        <v>574</v>
      </c>
      <c r="F10" s="12" t="s">
        <v>575</v>
      </c>
      <c r="G10" s="12">
        <v>8</v>
      </c>
      <c r="H10" s="13">
        <v>25</v>
      </c>
      <c r="I10" s="34">
        <v>20000</v>
      </c>
      <c r="J10" s="14">
        <v>36150</v>
      </c>
      <c r="K10" s="15">
        <f>L10</f>
        <v>36144</v>
      </c>
      <c r="L10" s="15">
        <f>1773*8+2745*8</f>
        <v>36144</v>
      </c>
      <c r="M10" s="16">
        <f t="shared" si="0"/>
        <v>36144</v>
      </c>
      <c r="N10" s="16">
        <v>0</v>
      </c>
      <c r="O10" s="62">
        <f t="shared" si="1"/>
        <v>0</v>
      </c>
      <c r="P10" s="42">
        <f t="shared" si="2"/>
        <v>19</v>
      </c>
      <c r="Q10" s="43">
        <f t="shared" si="3"/>
        <v>5</v>
      </c>
      <c r="R10" s="7"/>
      <c r="S10" s="6"/>
      <c r="T10" s="17"/>
      <c r="U10" s="17"/>
      <c r="V10" s="18"/>
      <c r="W10" s="19"/>
      <c r="X10" s="17"/>
      <c r="Y10" s="20"/>
      <c r="Z10" s="20"/>
      <c r="AA10" s="21">
        <v>5</v>
      </c>
      <c r="AB10" s="8">
        <f t="shared" si="4"/>
        <v>0.99983402489626561</v>
      </c>
      <c r="AC10" s="9">
        <f t="shared" si="5"/>
        <v>0.79166666666666663</v>
      </c>
      <c r="AD10" s="10">
        <f t="shared" si="6"/>
        <v>0.79153526970954358</v>
      </c>
      <c r="AE10" s="39">
        <f t="shared" si="7"/>
        <v>0.69391351157070635</v>
      </c>
      <c r="AF10" s="94">
        <f t="shared" si="9"/>
        <v>5</v>
      </c>
    </row>
    <row r="11" spans="1:36" ht="27" customHeight="1">
      <c r="A11" s="110">
        <v>6</v>
      </c>
      <c r="B11" s="11" t="s">
        <v>58</v>
      </c>
      <c r="C11" s="11" t="s">
        <v>173</v>
      </c>
      <c r="D11" s="55" t="s">
        <v>129</v>
      </c>
      <c r="E11" s="57" t="s">
        <v>483</v>
      </c>
      <c r="F11" s="12" t="s">
        <v>148</v>
      </c>
      <c r="G11" s="12">
        <v>1</v>
      </c>
      <c r="H11" s="13">
        <v>25</v>
      </c>
      <c r="I11" s="34">
        <v>500</v>
      </c>
      <c r="J11" s="14">
        <v>650</v>
      </c>
      <c r="K11" s="15">
        <f>L11+650</f>
        <v>650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/>
      <c r="X11" s="17"/>
      <c r="Y11" s="20"/>
      <c r="Z11" s="20"/>
      <c r="AA11" s="21">
        <v>24</v>
      </c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0.69391351157070635</v>
      </c>
      <c r="AF11" s="94">
        <f t="shared" si="8"/>
        <v>6</v>
      </c>
    </row>
    <row r="12" spans="1:36" ht="27" customHeight="1">
      <c r="A12" s="110">
        <v>7</v>
      </c>
      <c r="B12" s="11" t="s">
        <v>58</v>
      </c>
      <c r="C12" s="11" t="s">
        <v>118</v>
      </c>
      <c r="D12" s="55" t="s">
        <v>57</v>
      </c>
      <c r="E12" s="57" t="s">
        <v>160</v>
      </c>
      <c r="F12" s="12" t="s">
        <v>145</v>
      </c>
      <c r="G12" s="12">
        <v>1</v>
      </c>
      <c r="H12" s="13">
        <v>25</v>
      </c>
      <c r="I12" s="7">
        <v>62000</v>
      </c>
      <c r="J12" s="14">
        <v>3400</v>
      </c>
      <c r="K12" s="15">
        <f>L12+3062+3955+2262+4171+4492+4201+2422+2930+4783+1827+2695+1564+2934</f>
        <v>44698</v>
      </c>
      <c r="L12" s="15">
        <f>2088+1312</f>
        <v>3400</v>
      </c>
      <c r="M12" s="16">
        <f t="shared" si="0"/>
        <v>3400</v>
      </c>
      <c r="N12" s="16">
        <v>0</v>
      </c>
      <c r="O12" s="62">
        <f t="shared" si="1"/>
        <v>0</v>
      </c>
      <c r="P12" s="42">
        <f t="shared" si="2"/>
        <v>20</v>
      </c>
      <c r="Q12" s="43">
        <f t="shared" si="3"/>
        <v>4</v>
      </c>
      <c r="R12" s="7"/>
      <c r="S12" s="6">
        <v>4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0.83333333333333337</v>
      </c>
      <c r="AD12" s="10">
        <f t="shared" si="6"/>
        <v>0.83333333333333337</v>
      </c>
      <c r="AE12" s="39">
        <f t="shared" si="7"/>
        <v>0.69391351157070635</v>
      </c>
      <c r="AF12" s="94">
        <f t="shared" si="8"/>
        <v>7</v>
      </c>
    </row>
    <row r="13" spans="1:36" ht="27" customHeight="1">
      <c r="A13" s="110">
        <v>8</v>
      </c>
      <c r="B13" s="11" t="s">
        <v>58</v>
      </c>
      <c r="C13" s="11" t="s">
        <v>309</v>
      </c>
      <c r="D13" s="55" t="s">
        <v>576</v>
      </c>
      <c r="E13" s="57" t="s">
        <v>577</v>
      </c>
      <c r="F13" s="12">
        <v>7301</v>
      </c>
      <c r="G13" s="12">
        <v>1</v>
      </c>
      <c r="H13" s="13">
        <v>25</v>
      </c>
      <c r="I13" s="7">
        <v>20000</v>
      </c>
      <c r="J13" s="14">
        <v>3310</v>
      </c>
      <c r="K13" s="15">
        <f>L13</f>
        <v>3305</v>
      </c>
      <c r="L13" s="15">
        <f>484+2821</f>
        <v>3305</v>
      </c>
      <c r="M13" s="16">
        <f t="shared" si="0"/>
        <v>3305</v>
      </c>
      <c r="N13" s="16">
        <v>0</v>
      </c>
      <c r="O13" s="62">
        <f t="shared" si="1"/>
        <v>0</v>
      </c>
      <c r="P13" s="42">
        <f t="shared" si="2"/>
        <v>17</v>
      </c>
      <c r="Q13" s="43">
        <f t="shared" si="3"/>
        <v>7</v>
      </c>
      <c r="R13" s="7"/>
      <c r="S13" s="6">
        <v>7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0.99848942598187307</v>
      </c>
      <c r="AC13" s="9">
        <f t="shared" si="5"/>
        <v>0.70833333333333337</v>
      </c>
      <c r="AD13" s="10">
        <f t="shared" si="6"/>
        <v>0.70726334340382679</v>
      </c>
      <c r="AE13" s="39">
        <f t="shared" si="7"/>
        <v>0.69391351157070635</v>
      </c>
      <c r="AF13" s="94">
        <f t="shared" si="8"/>
        <v>8</v>
      </c>
    </row>
    <row r="14" spans="1:36" ht="27" customHeight="1">
      <c r="A14" s="109">
        <v>9</v>
      </c>
      <c r="B14" s="11" t="s">
        <v>149</v>
      </c>
      <c r="C14" s="37" t="s">
        <v>163</v>
      </c>
      <c r="D14" s="55" t="s">
        <v>190</v>
      </c>
      <c r="E14" s="57" t="s">
        <v>436</v>
      </c>
      <c r="F14" s="33" t="s">
        <v>437</v>
      </c>
      <c r="G14" s="36">
        <v>1</v>
      </c>
      <c r="H14" s="38">
        <v>25</v>
      </c>
      <c r="I14" s="7">
        <v>11000</v>
      </c>
      <c r="J14" s="5">
        <v>2330</v>
      </c>
      <c r="K14" s="15">
        <f>L14+2030+3617+4261</f>
        <v>12230</v>
      </c>
      <c r="L14" s="15">
        <v>2322</v>
      </c>
      <c r="M14" s="16">
        <f t="shared" si="0"/>
        <v>2322</v>
      </c>
      <c r="N14" s="16">
        <v>0</v>
      </c>
      <c r="O14" s="62">
        <f t="shared" si="1"/>
        <v>0</v>
      </c>
      <c r="P14" s="42">
        <f t="shared" si="2"/>
        <v>15</v>
      </c>
      <c r="Q14" s="43">
        <f t="shared" si="3"/>
        <v>9</v>
      </c>
      <c r="R14" s="7"/>
      <c r="S14" s="6"/>
      <c r="T14" s="17"/>
      <c r="U14" s="17"/>
      <c r="V14" s="18"/>
      <c r="W14" s="19">
        <v>9</v>
      </c>
      <c r="X14" s="17"/>
      <c r="Y14" s="20"/>
      <c r="Z14" s="20"/>
      <c r="AA14" s="21"/>
      <c r="AB14" s="8">
        <f t="shared" si="4"/>
        <v>0.99656652360515019</v>
      </c>
      <c r="AC14" s="9">
        <f t="shared" si="5"/>
        <v>0.625</v>
      </c>
      <c r="AD14" s="10">
        <f t="shared" si="6"/>
        <v>0.62285407725321884</v>
      </c>
      <c r="AE14" s="39">
        <f t="shared" si="7"/>
        <v>0.69391351157070635</v>
      </c>
      <c r="AF14" s="94">
        <f t="shared" si="8"/>
        <v>9</v>
      </c>
    </row>
    <row r="15" spans="1:36" ht="27" customHeight="1">
      <c r="A15" s="109">
        <v>10</v>
      </c>
      <c r="B15" s="11" t="s">
        <v>149</v>
      </c>
      <c r="C15" s="11" t="s">
        <v>195</v>
      </c>
      <c r="D15" s="55" t="s">
        <v>420</v>
      </c>
      <c r="E15" s="57" t="s">
        <v>421</v>
      </c>
      <c r="F15" s="12">
        <v>8301</v>
      </c>
      <c r="G15" s="12">
        <v>1</v>
      </c>
      <c r="H15" s="13">
        <v>20</v>
      </c>
      <c r="I15" s="34">
        <v>21000</v>
      </c>
      <c r="J15" s="14">
        <v>4440</v>
      </c>
      <c r="K15" s="15">
        <f>L15+2754+4879+4902</f>
        <v>16969</v>
      </c>
      <c r="L15" s="15">
        <f>2458+1976</f>
        <v>4434</v>
      </c>
      <c r="M15" s="16">
        <f t="shared" si="0"/>
        <v>4434</v>
      </c>
      <c r="N15" s="16">
        <v>0</v>
      </c>
      <c r="O15" s="62">
        <f t="shared" si="1"/>
        <v>0</v>
      </c>
      <c r="P15" s="42">
        <f t="shared" si="2"/>
        <v>21</v>
      </c>
      <c r="Q15" s="43">
        <f t="shared" si="3"/>
        <v>3</v>
      </c>
      <c r="R15" s="7"/>
      <c r="S15" s="6">
        <v>3</v>
      </c>
      <c r="T15" s="17"/>
      <c r="U15" s="17"/>
      <c r="V15" s="18"/>
      <c r="W15" s="19"/>
      <c r="X15" s="17"/>
      <c r="Y15" s="20"/>
      <c r="Z15" s="20"/>
      <c r="AA15" s="21"/>
      <c r="AB15" s="8">
        <f t="shared" si="4"/>
        <v>0.99864864864864866</v>
      </c>
      <c r="AC15" s="9">
        <f t="shared" si="5"/>
        <v>0.875</v>
      </c>
      <c r="AD15" s="10">
        <f t="shared" si="6"/>
        <v>0.87381756756756757</v>
      </c>
      <c r="AE15" s="39">
        <f t="shared" si="7"/>
        <v>0.69391351157070635</v>
      </c>
      <c r="AF15" s="94">
        <f t="shared" si="8"/>
        <v>10</v>
      </c>
    </row>
    <row r="16" spans="1:36" ht="27.75" customHeight="1">
      <c r="A16" s="109">
        <v>11</v>
      </c>
      <c r="B16" s="11" t="s">
        <v>149</v>
      </c>
      <c r="C16" s="11" t="s">
        <v>309</v>
      </c>
      <c r="D16" s="55" t="s">
        <v>578</v>
      </c>
      <c r="E16" s="56" t="s">
        <v>579</v>
      </c>
      <c r="F16" s="12">
        <v>7301</v>
      </c>
      <c r="G16" s="36">
        <v>1</v>
      </c>
      <c r="H16" s="38">
        <v>25</v>
      </c>
      <c r="I16" s="7">
        <v>7000</v>
      </c>
      <c r="J16" s="14">
        <v>4830</v>
      </c>
      <c r="K16" s="15">
        <f>L16</f>
        <v>4827</v>
      </c>
      <c r="L16" s="15">
        <f>2150+2677</f>
        <v>4827</v>
      </c>
      <c r="M16" s="16">
        <f t="shared" si="0"/>
        <v>4827</v>
      </c>
      <c r="N16" s="16">
        <v>0</v>
      </c>
      <c r="O16" s="62">
        <f t="shared" si="1"/>
        <v>0</v>
      </c>
      <c r="P16" s="42">
        <f t="shared" si="2"/>
        <v>23</v>
      </c>
      <c r="Q16" s="43">
        <f t="shared" si="3"/>
        <v>1</v>
      </c>
      <c r="R16" s="7"/>
      <c r="S16" s="6"/>
      <c r="T16" s="17">
        <v>1</v>
      </c>
      <c r="U16" s="17"/>
      <c r="V16" s="18"/>
      <c r="W16" s="19"/>
      <c r="X16" s="17"/>
      <c r="Y16" s="20"/>
      <c r="Z16" s="20"/>
      <c r="AA16" s="21"/>
      <c r="AB16" s="8">
        <f t="shared" si="4"/>
        <v>0.99937888198757763</v>
      </c>
      <c r="AC16" s="9">
        <f t="shared" si="5"/>
        <v>0.95833333333333337</v>
      </c>
      <c r="AD16" s="10">
        <f t="shared" si="6"/>
        <v>0.95773809523809528</v>
      </c>
      <c r="AE16" s="39">
        <f t="shared" si="7"/>
        <v>0.69391351157070635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149</v>
      </c>
      <c r="C17" s="37" t="s">
        <v>195</v>
      </c>
      <c r="D17" s="55" t="s">
        <v>399</v>
      </c>
      <c r="E17" s="56" t="s">
        <v>369</v>
      </c>
      <c r="F17" s="12">
        <v>8301</v>
      </c>
      <c r="G17" s="12">
        <v>1</v>
      </c>
      <c r="H17" s="13">
        <v>25</v>
      </c>
      <c r="I17" s="34">
        <v>14000</v>
      </c>
      <c r="J17" s="5">
        <v>2460</v>
      </c>
      <c r="K17" s="15">
        <f>L17+1388+5172+5128+4168</f>
        <v>18313</v>
      </c>
      <c r="L17" s="15">
        <v>2457</v>
      </c>
      <c r="M17" s="16">
        <f t="shared" si="0"/>
        <v>2457</v>
      </c>
      <c r="N17" s="16">
        <v>0</v>
      </c>
      <c r="O17" s="62">
        <f t="shared" si="1"/>
        <v>0</v>
      </c>
      <c r="P17" s="42">
        <f t="shared" si="2"/>
        <v>10</v>
      </c>
      <c r="Q17" s="43">
        <f t="shared" si="3"/>
        <v>14</v>
      </c>
      <c r="R17" s="7"/>
      <c r="S17" s="6"/>
      <c r="T17" s="17"/>
      <c r="U17" s="17"/>
      <c r="V17" s="18"/>
      <c r="W17" s="19">
        <v>14</v>
      </c>
      <c r="X17" s="17"/>
      <c r="Y17" s="20"/>
      <c r="Z17" s="20"/>
      <c r="AA17" s="21"/>
      <c r="AB17" s="8">
        <f t="shared" si="4"/>
        <v>0.99878048780487805</v>
      </c>
      <c r="AC17" s="9">
        <f t="shared" si="5"/>
        <v>0.41666666666666669</v>
      </c>
      <c r="AD17" s="10">
        <f t="shared" si="6"/>
        <v>0.41615853658536589</v>
      </c>
      <c r="AE17" s="39">
        <f t="shared" si="7"/>
        <v>0.69391351157070635</v>
      </c>
      <c r="AF17" s="94">
        <f t="shared" ref="AF17" si="10">A17</f>
        <v>12</v>
      </c>
    </row>
    <row r="18" spans="1:32" ht="27" customHeight="1">
      <c r="A18" s="110">
        <v>13</v>
      </c>
      <c r="B18" s="11" t="s">
        <v>58</v>
      </c>
      <c r="C18" s="37" t="s">
        <v>118</v>
      </c>
      <c r="D18" s="55" t="s">
        <v>131</v>
      </c>
      <c r="E18" s="57" t="s">
        <v>158</v>
      </c>
      <c r="F18" s="33" t="s">
        <v>142</v>
      </c>
      <c r="G18" s="36">
        <v>1</v>
      </c>
      <c r="H18" s="38">
        <v>25</v>
      </c>
      <c r="I18" s="7">
        <v>62000</v>
      </c>
      <c r="J18" s="5">
        <v>4920</v>
      </c>
      <c r="K18" s="15">
        <f>L18+2232+4609+1982+1137+3270+2188+1609+3870+5108+3013+1873+2963+4922+5176</f>
        <v>48870</v>
      </c>
      <c r="L18" s="15">
        <f>2802+2116</f>
        <v>4918</v>
      </c>
      <c r="M18" s="16">
        <f t="shared" si="0"/>
        <v>4918</v>
      </c>
      <c r="N18" s="16">
        <v>0</v>
      </c>
      <c r="O18" s="62">
        <f t="shared" si="1"/>
        <v>0</v>
      </c>
      <c r="P18" s="42">
        <f t="shared" si="2"/>
        <v>22</v>
      </c>
      <c r="Q18" s="43">
        <f t="shared" si="3"/>
        <v>2</v>
      </c>
      <c r="R18" s="7"/>
      <c r="S18" s="6">
        <v>2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0.99959349593495939</v>
      </c>
      <c r="AC18" s="9">
        <f t="shared" si="5"/>
        <v>0.91666666666666663</v>
      </c>
      <c r="AD18" s="10">
        <f t="shared" si="6"/>
        <v>0.91629403794037945</v>
      </c>
      <c r="AE18" s="39">
        <f t="shared" si="7"/>
        <v>0.69391351157070635</v>
      </c>
      <c r="AF18" s="94">
        <f t="shared" si="8"/>
        <v>13</v>
      </c>
    </row>
    <row r="19" spans="1:32" ht="27" customHeight="1">
      <c r="A19" s="110">
        <v>14</v>
      </c>
      <c r="B19" s="11" t="s">
        <v>58</v>
      </c>
      <c r="C19" s="11" t="s">
        <v>151</v>
      </c>
      <c r="D19" s="55" t="s">
        <v>164</v>
      </c>
      <c r="E19" s="56" t="s">
        <v>537</v>
      </c>
      <c r="F19" s="12" t="s">
        <v>538</v>
      </c>
      <c r="G19" s="12">
        <v>1</v>
      </c>
      <c r="H19" s="38">
        <v>25</v>
      </c>
      <c r="I19" s="34">
        <v>12000</v>
      </c>
      <c r="J19" s="5">
        <v>3530</v>
      </c>
      <c r="K19" s="15">
        <f>L19+9482</f>
        <v>13010</v>
      </c>
      <c r="L19" s="15">
        <f>1764*2</f>
        <v>3528</v>
      </c>
      <c r="M19" s="16">
        <f t="shared" si="0"/>
        <v>3528</v>
      </c>
      <c r="N19" s="16">
        <v>0</v>
      </c>
      <c r="O19" s="62">
        <f t="shared" si="1"/>
        <v>0</v>
      </c>
      <c r="P19" s="42">
        <f t="shared" si="2"/>
        <v>7</v>
      </c>
      <c r="Q19" s="43">
        <f t="shared" si="3"/>
        <v>17</v>
      </c>
      <c r="R19" s="7"/>
      <c r="S19" s="6"/>
      <c r="T19" s="17"/>
      <c r="U19" s="17"/>
      <c r="V19" s="18"/>
      <c r="W19" s="19">
        <v>17</v>
      </c>
      <c r="X19" s="17"/>
      <c r="Y19" s="20"/>
      <c r="Z19" s="20"/>
      <c r="AA19" s="21"/>
      <c r="AB19" s="8">
        <f t="shared" si="4"/>
        <v>0.99943342776203969</v>
      </c>
      <c r="AC19" s="9">
        <f t="shared" si="5"/>
        <v>0.29166666666666669</v>
      </c>
      <c r="AD19" s="10">
        <f t="shared" si="6"/>
        <v>0.29150141643059491</v>
      </c>
      <c r="AE19" s="39">
        <f t="shared" si="7"/>
        <v>0.69391351157070635</v>
      </c>
      <c r="AF19" s="94">
        <f t="shared" si="8"/>
        <v>14</v>
      </c>
    </row>
    <row r="20" spans="1:32" ht="27" customHeight="1">
      <c r="A20" s="110">
        <v>14</v>
      </c>
      <c r="B20" s="11" t="s">
        <v>58</v>
      </c>
      <c r="C20" s="11" t="s">
        <v>580</v>
      </c>
      <c r="D20" s="55" t="s">
        <v>581</v>
      </c>
      <c r="E20" s="56" t="s">
        <v>582</v>
      </c>
      <c r="F20" s="12" t="s">
        <v>538</v>
      </c>
      <c r="G20" s="12">
        <v>1</v>
      </c>
      <c r="H20" s="38">
        <v>25</v>
      </c>
      <c r="I20" s="34">
        <v>500</v>
      </c>
      <c r="J20" s="5">
        <v>950</v>
      </c>
      <c r="K20" s="15">
        <f>L20</f>
        <v>948</v>
      </c>
      <c r="L20" s="15">
        <v>948</v>
      </c>
      <c r="M20" s="16">
        <f t="shared" ref="M20" si="11">L20-N20</f>
        <v>948</v>
      </c>
      <c r="N20" s="16">
        <v>0</v>
      </c>
      <c r="O20" s="62">
        <f t="shared" ref="O20" si="12">IF(L20=0,"0",N20/L20)</f>
        <v>0</v>
      </c>
      <c r="P20" s="42">
        <f t="shared" ref="P20" si="13">IF(L20=0,"0",(24-Q20))</f>
        <v>5</v>
      </c>
      <c r="Q20" s="43">
        <f t="shared" ref="Q20" si="14">SUM(R20:AA20)</f>
        <v>19</v>
      </c>
      <c r="R20" s="7"/>
      <c r="S20" s="6"/>
      <c r="T20" s="17"/>
      <c r="U20" s="17"/>
      <c r="V20" s="18"/>
      <c r="W20" s="19">
        <v>19</v>
      </c>
      <c r="X20" s="17"/>
      <c r="Y20" s="20"/>
      <c r="Z20" s="20"/>
      <c r="AA20" s="21"/>
      <c r="AB20" s="8">
        <f t="shared" ref="AB20" si="15">IF(J20=0,"0",(L20/J20))</f>
        <v>0.99789473684210528</v>
      </c>
      <c r="AC20" s="9">
        <f t="shared" ref="AC20" si="16">IF(P20=0,"0",(P20/24))</f>
        <v>0.20833333333333334</v>
      </c>
      <c r="AD20" s="10">
        <f t="shared" ref="AD20" si="17">AC20*AB20*(1-O20)</f>
        <v>0.20789473684210527</v>
      </c>
      <c r="AE20" s="39">
        <f t="shared" si="7"/>
        <v>0.69391351157070635</v>
      </c>
      <c r="AF20" s="94">
        <f t="shared" ref="AF20" si="18">A20</f>
        <v>14</v>
      </c>
    </row>
    <row r="21" spans="1:32" ht="27" customHeight="1" thickBot="1">
      <c r="A21" s="110">
        <v>15</v>
      </c>
      <c r="B21" s="11" t="s">
        <v>58</v>
      </c>
      <c r="C21" s="11" t="s">
        <v>115</v>
      </c>
      <c r="D21" s="55"/>
      <c r="E21" s="56" t="s">
        <v>250</v>
      </c>
      <c r="F21" s="12" t="s">
        <v>116</v>
      </c>
      <c r="G21" s="12">
        <v>4</v>
      </c>
      <c r="H21" s="38">
        <v>15</v>
      </c>
      <c r="I21" s="7">
        <v>300000</v>
      </c>
      <c r="J21" s="14">
        <v>67650</v>
      </c>
      <c r="K21" s="15">
        <f>L21+35456+63764+63820+27408+58684+66568+67652</f>
        <v>451000</v>
      </c>
      <c r="L21" s="15">
        <f>8284*4+8628*4</f>
        <v>67648</v>
      </c>
      <c r="M21" s="16">
        <f t="shared" si="0"/>
        <v>67648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0.99997043606799707</v>
      </c>
      <c r="AC21" s="9">
        <f t="shared" si="5"/>
        <v>1</v>
      </c>
      <c r="AD21" s="10">
        <f t="shared" si="6"/>
        <v>0.99997043606799707</v>
      </c>
      <c r="AE21" s="39">
        <f t="shared" si="7"/>
        <v>0.69391351157070635</v>
      </c>
      <c r="AF21" s="94">
        <f t="shared" si="8"/>
        <v>15</v>
      </c>
    </row>
    <row r="22" spans="1:32" ht="31.5" customHeight="1" thickBot="1">
      <c r="A22" s="465" t="s">
        <v>34</v>
      </c>
      <c r="B22" s="466"/>
      <c r="C22" s="466"/>
      <c r="D22" s="466"/>
      <c r="E22" s="466"/>
      <c r="F22" s="466"/>
      <c r="G22" s="466"/>
      <c r="H22" s="467"/>
      <c r="I22" s="25">
        <f t="shared" ref="I22:N22" si="19">SUM(I6:I21)</f>
        <v>647000</v>
      </c>
      <c r="J22" s="22">
        <f t="shared" si="19"/>
        <v>150310</v>
      </c>
      <c r="K22" s="23">
        <f t="shared" si="19"/>
        <v>742529</v>
      </c>
      <c r="L22" s="24">
        <f t="shared" si="19"/>
        <v>148584</v>
      </c>
      <c r="M22" s="23">
        <f t="shared" si="19"/>
        <v>148584</v>
      </c>
      <c r="N22" s="24">
        <f t="shared" si="19"/>
        <v>0</v>
      </c>
      <c r="O22" s="44">
        <f t="shared" si="1"/>
        <v>0</v>
      </c>
      <c r="P22" s="45">
        <f t="shared" ref="P22:AA22" si="20">SUM(P6:P21)</f>
        <v>250</v>
      </c>
      <c r="Q22" s="46">
        <f t="shared" si="20"/>
        <v>134</v>
      </c>
      <c r="R22" s="26">
        <f t="shared" si="20"/>
        <v>29</v>
      </c>
      <c r="S22" s="27">
        <f t="shared" si="20"/>
        <v>16</v>
      </c>
      <c r="T22" s="27">
        <f t="shared" si="20"/>
        <v>1</v>
      </c>
      <c r="U22" s="27">
        <f t="shared" si="20"/>
        <v>0</v>
      </c>
      <c r="V22" s="28">
        <f t="shared" si="20"/>
        <v>0</v>
      </c>
      <c r="W22" s="29">
        <f t="shared" si="20"/>
        <v>59</v>
      </c>
      <c r="X22" s="30">
        <f t="shared" si="20"/>
        <v>0</v>
      </c>
      <c r="Y22" s="30">
        <f t="shared" si="20"/>
        <v>0</v>
      </c>
      <c r="Z22" s="30">
        <f t="shared" si="20"/>
        <v>0</v>
      </c>
      <c r="AA22" s="30">
        <f t="shared" si="20"/>
        <v>29</v>
      </c>
      <c r="AB22" s="31">
        <f>SUM(AB6:AB21)/15</f>
        <v>0.93247530160080894</v>
      </c>
      <c r="AC22" s="4">
        <f>SUM(AC6:AC21)/15</f>
        <v>0.69444444444444442</v>
      </c>
      <c r="AD22" s="4">
        <f>SUM(AD6:AD21)/15</f>
        <v>0.69391351157070635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68" t="s">
        <v>45</v>
      </c>
      <c r="B49" s="468"/>
      <c r="C49" s="468"/>
      <c r="D49" s="468"/>
      <c r="E49" s="468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69" t="s">
        <v>583</v>
      </c>
      <c r="B50" s="470"/>
      <c r="C50" s="470"/>
      <c r="D50" s="470"/>
      <c r="E50" s="470"/>
      <c r="F50" s="470"/>
      <c r="G50" s="470"/>
      <c r="H50" s="470"/>
      <c r="I50" s="470"/>
      <c r="J50" s="470"/>
      <c r="K50" s="470"/>
      <c r="L50" s="470"/>
      <c r="M50" s="471"/>
      <c r="N50" s="472" t="s">
        <v>601</v>
      </c>
      <c r="O50" s="473"/>
      <c r="P50" s="473"/>
      <c r="Q50" s="473"/>
      <c r="R50" s="473"/>
      <c r="S50" s="473"/>
      <c r="T50" s="473"/>
      <c r="U50" s="473"/>
      <c r="V50" s="473"/>
      <c r="W50" s="473"/>
      <c r="X50" s="473"/>
      <c r="Y50" s="473"/>
      <c r="Z50" s="473"/>
      <c r="AA50" s="473"/>
      <c r="AB50" s="473"/>
      <c r="AC50" s="473"/>
      <c r="AD50" s="474"/>
    </row>
    <row r="51" spans="1:32" ht="27" customHeight="1">
      <c r="A51" s="475" t="s">
        <v>2</v>
      </c>
      <c r="B51" s="476"/>
      <c r="C51" s="223" t="s">
        <v>46</v>
      </c>
      <c r="D51" s="223" t="s">
        <v>47</v>
      </c>
      <c r="E51" s="223" t="s">
        <v>109</v>
      </c>
      <c r="F51" s="476" t="s">
        <v>108</v>
      </c>
      <c r="G51" s="476"/>
      <c r="H51" s="476"/>
      <c r="I51" s="476"/>
      <c r="J51" s="476"/>
      <c r="K51" s="476"/>
      <c r="L51" s="476"/>
      <c r="M51" s="477"/>
      <c r="N51" s="73" t="s">
        <v>113</v>
      </c>
      <c r="O51" s="223" t="s">
        <v>46</v>
      </c>
      <c r="P51" s="478" t="s">
        <v>47</v>
      </c>
      <c r="Q51" s="479"/>
      <c r="R51" s="478" t="s">
        <v>38</v>
      </c>
      <c r="S51" s="480"/>
      <c r="T51" s="480"/>
      <c r="U51" s="479"/>
      <c r="V51" s="478" t="s">
        <v>48</v>
      </c>
      <c r="W51" s="480"/>
      <c r="X51" s="480"/>
      <c r="Y51" s="480"/>
      <c r="Z51" s="480"/>
      <c r="AA51" s="480"/>
      <c r="AB51" s="480"/>
      <c r="AC51" s="480"/>
      <c r="AD51" s="481"/>
    </row>
    <row r="52" spans="1:32" ht="27" customHeight="1">
      <c r="A52" s="492" t="s">
        <v>118</v>
      </c>
      <c r="B52" s="493"/>
      <c r="C52" s="224" t="s">
        <v>235</v>
      </c>
      <c r="D52" s="225" t="s">
        <v>584</v>
      </c>
      <c r="E52" s="224" t="s">
        <v>585</v>
      </c>
      <c r="F52" s="494" t="s">
        <v>150</v>
      </c>
      <c r="G52" s="494"/>
      <c r="H52" s="494"/>
      <c r="I52" s="494"/>
      <c r="J52" s="494"/>
      <c r="K52" s="494"/>
      <c r="L52" s="494"/>
      <c r="M52" s="495"/>
      <c r="N52" s="229" t="s">
        <v>234</v>
      </c>
      <c r="O52" s="74" t="s">
        <v>492</v>
      </c>
      <c r="P52" s="496" t="s">
        <v>581</v>
      </c>
      <c r="Q52" s="497"/>
      <c r="R52" s="498" t="s">
        <v>602</v>
      </c>
      <c r="S52" s="498"/>
      <c r="T52" s="498"/>
      <c r="U52" s="498"/>
      <c r="V52" s="494" t="s">
        <v>503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586</v>
      </c>
      <c r="B53" s="493"/>
      <c r="C53" s="224" t="s">
        <v>370</v>
      </c>
      <c r="D53" s="225" t="s">
        <v>587</v>
      </c>
      <c r="E53" s="224" t="s">
        <v>588</v>
      </c>
      <c r="F53" s="494" t="s">
        <v>150</v>
      </c>
      <c r="G53" s="494"/>
      <c r="H53" s="494"/>
      <c r="I53" s="494"/>
      <c r="J53" s="494"/>
      <c r="K53" s="494"/>
      <c r="L53" s="494"/>
      <c r="M53" s="495"/>
      <c r="N53" s="229" t="s">
        <v>173</v>
      </c>
      <c r="O53" s="74" t="s">
        <v>235</v>
      </c>
      <c r="P53" s="496" t="s">
        <v>603</v>
      </c>
      <c r="Q53" s="497"/>
      <c r="R53" s="498" t="s">
        <v>604</v>
      </c>
      <c r="S53" s="498"/>
      <c r="T53" s="498"/>
      <c r="U53" s="498"/>
      <c r="V53" s="494" t="s">
        <v>150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173</v>
      </c>
      <c r="B54" s="493"/>
      <c r="C54" s="224" t="s">
        <v>267</v>
      </c>
      <c r="D54" s="225" t="s">
        <v>57</v>
      </c>
      <c r="E54" s="224" t="s">
        <v>160</v>
      </c>
      <c r="F54" s="494" t="s">
        <v>589</v>
      </c>
      <c r="G54" s="494"/>
      <c r="H54" s="494"/>
      <c r="I54" s="494"/>
      <c r="J54" s="494"/>
      <c r="K54" s="494"/>
      <c r="L54" s="494"/>
      <c r="M54" s="495"/>
      <c r="N54" s="229" t="s">
        <v>258</v>
      </c>
      <c r="O54" s="74" t="s">
        <v>606</v>
      </c>
      <c r="P54" s="496" t="s">
        <v>591</v>
      </c>
      <c r="Q54" s="497"/>
      <c r="R54" s="498" t="s">
        <v>605</v>
      </c>
      <c r="S54" s="498"/>
      <c r="T54" s="498"/>
      <c r="U54" s="498"/>
      <c r="V54" s="494" t="s">
        <v>150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590</v>
      </c>
      <c r="B55" s="493"/>
      <c r="C55" s="224" t="s">
        <v>206</v>
      </c>
      <c r="D55" s="225" t="s">
        <v>591</v>
      </c>
      <c r="E55" s="224" t="s">
        <v>592</v>
      </c>
      <c r="F55" s="494" t="s">
        <v>593</v>
      </c>
      <c r="G55" s="494"/>
      <c r="H55" s="494"/>
      <c r="I55" s="494"/>
      <c r="J55" s="494"/>
      <c r="K55" s="494"/>
      <c r="L55" s="494"/>
      <c r="M55" s="495"/>
      <c r="N55" s="229"/>
      <c r="O55" s="74"/>
      <c r="P55" s="496"/>
      <c r="Q55" s="497"/>
      <c r="R55" s="498"/>
      <c r="S55" s="498"/>
      <c r="T55" s="498"/>
      <c r="U55" s="498"/>
      <c r="V55" s="494"/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572</v>
      </c>
      <c r="B56" s="493"/>
      <c r="C56" s="224" t="s">
        <v>259</v>
      </c>
      <c r="D56" s="225" t="s">
        <v>594</v>
      </c>
      <c r="E56" s="224" t="s">
        <v>595</v>
      </c>
      <c r="F56" s="494" t="s">
        <v>150</v>
      </c>
      <c r="G56" s="494"/>
      <c r="H56" s="494"/>
      <c r="I56" s="494"/>
      <c r="J56" s="494"/>
      <c r="K56" s="494"/>
      <c r="L56" s="494"/>
      <c r="M56" s="495"/>
      <c r="N56" s="229"/>
      <c r="O56" s="74"/>
      <c r="P56" s="496"/>
      <c r="Q56" s="497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 t="s">
        <v>309</v>
      </c>
      <c r="B57" s="493"/>
      <c r="C57" s="224" t="s">
        <v>596</v>
      </c>
      <c r="D57" s="225" t="s">
        <v>597</v>
      </c>
      <c r="E57" s="224" t="s">
        <v>598</v>
      </c>
      <c r="F57" s="494" t="s">
        <v>599</v>
      </c>
      <c r="G57" s="494"/>
      <c r="H57" s="494"/>
      <c r="I57" s="494"/>
      <c r="J57" s="494"/>
      <c r="K57" s="494"/>
      <c r="L57" s="494"/>
      <c r="M57" s="495"/>
      <c r="N57" s="229"/>
      <c r="O57" s="74"/>
      <c r="P57" s="498"/>
      <c r="Q57" s="498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 t="s">
        <v>309</v>
      </c>
      <c r="B58" s="493"/>
      <c r="C58" s="224" t="s">
        <v>600</v>
      </c>
      <c r="D58" s="225" t="s">
        <v>578</v>
      </c>
      <c r="E58" s="224" t="s">
        <v>579</v>
      </c>
      <c r="F58" s="494" t="s">
        <v>150</v>
      </c>
      <c r="G58" s="494"/>
      <c r="H58" s="494"/>
      <c r="I58" s="494"/>
      <c r="J58" s="494"/>
      <c r="K58" s="494"/>
      <c r="L58" s="494"/>
      <c r="M58" s="495"/>
      <c r="N58" s="229"/>
      <c r="O58" s="74"/>
      <c r="P58" s="496"/>
      <c r="Q58" s="497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492"/>
      <c r="B59" s="493"/>
      <c r="C59" s="224"/>
      <c r="D59" s="225"/>
      <c r="E59" s="224"/>
      <c r="F59" s="494"/>
      <c r="G59" s="494"/>
      <c r="H59" s="494"/>
      <c r="I59" s="494"/>
      <c r="J59" s="494"/>
      <c r="K59" s="494"/>
      <c r="L59" s="494"/>
      <c r="M59" s="495"/>
      <c r="N59" s="229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</row>
    <row r="60" spans="1:32" ht="27" customHeight="1">
      <c r="A60" s="508"/>
      <c r="B60" s="498"/>
      <c r="C60" s="225"/>
      <c r="D60" s="225"/>
      <c r="E60" s="225"/>
      <c r="F60" s="494"/>
      <c r="G60" s="494"/>
      <c r="H60" s="494"/>
      <c r="I60" s="494"/>
      <c r="J60" s="494"/>
      <c r="K60" s="494"/>
      <c r="L60" s="494"/>
      <c r="M60" s="495"/>
      <c r="N60" s="229"/>
      <c r="O60" s="74"/>
      <c r="P60" s="498"/>
      <c r="Q60" s="498"/>
      <c r="R60" s="498"/>
      <c r="S60" s="498"/>
      <c r="T60" s="498"/>
      <c r="U60" s="498"/>
      <c r="V60" s="494"/>
      <c r="W60" s="494"/>
      <c r="X60" s="494"/>
      <c r="Y60" s="494"/>
      <c r="Z60" s="494"/>
      <c r="AA60" s="494"/>
      <c r="AB60" s="494"/>
      <c r="AC60" s="494"/>
      <c r="AD60" s="495"/>
      <c r="AF60" s="94">
        <f>8*3000</f>
        <v>24000</v>
      </c>
    </row>
    <row r="61" spans="1:32" ht="27" customHeight="1" thickBot="1">
      <c r="A61" s="499"/>
      <c r="B61" s="500"/>
      <c r="C61" s="227"/>
      <c r="D61" s="227"/>
      <c r="E61" s="227"/>
      <c r="F61" s="501"/>
      <c r="G61" s="501"/>
      <c r="H61" s="501"/>
      <c r="I61" s="501"/>
      <c r="J61" s="501"/>
      <c r="K61" s="501"/>
      <c r="L61" s="501"/>
      <c r="M61" s="502"/>
      <c r="N61" s="226"/>
      <c r="O61" s="121"/>
      <c r="P61" s="500"/>
      <c r="Q61" s="500"/>
      <c r="R61" s="500"/>
      <c r="S61" s="500"/>
      <c r="T61" s="500"/>
      <c r="U61" s="500"/>
      <c r="V61" s="501"/>
      <c r="W61" s="501"/>
      <c r="X61" s="501"/>
      <c r="Y61" s="501"/>
      <c r="Z61" s="501"/>
      <c r="AA61" s="501"/>
      <c r="AB61" s="501"/>
      <c r="AC61" s="501"/>
      <c r="AD61" s="502"/>
      <c r="AF61" s="94">
        <f>16*3000</f>
        <v>48000</v>
      </c>
    </row>
    <row r="62" spans="1:32" ht="27.75" thickBot="1">
      <c r="A62" s="503" t="s">
        <v>607</v>
      </c>
      <c r="B62" s="503"/>
      <c r="C62" s="503"/>
      <c r="D62" s="503"/>
      <c r="E62" s="503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504" t="s">
        <v>114</v>
      </c>
      <c r="B63" s="505"/>
      <c r="C63" s="228" t="s">
        <v>2</v>
      </c>
      <c r="D63" s="228" t="s">
        <v>37</v>
      </c>
      <c r="E63" s="228" t="s">
        <v>3</v>
      </c>
      <c r="F63" s="505" t="s">
        <v>111</v>
      </c>
      <c r="G63" s="505"/>
      <c r="H63" s="505"/>
      <c r="I63" s="505"/>
      <c r="J63" s="505"/>
      <c r="K63" s="505" t="s">
        <v>39</v>
      </c>
      <c r="L63" s="505"/>
      <c r="M63" s="228" t="s">
        <v>40</v>
      </c>
      <c r="N63" s="505" t="s">
        <v>41</v>
      </c>
      <c r="O63" s="505"/>
      <c r="P63" s="506" t="s">
        <v>42</v>
      </c>
      <c r="Q63" s="507"/>
      <c r="R63" s="506" t="s">
        <v>43</v>
      </c>
      <c r="S63" s="509"/>
      <c r="T63" s="509"/>
      <c r="U63" s="509"/>
      <c r="V63" s="509"/>
      <c r="W63" s="509"/>
      <c r="X63" s="509"/>
      <c r="Y63" s="509"/>
      <c r="Z63" s="509"/>
      <c r="AA63" s="507"/>
      <c r="AB63" s="505" t="s">
        <v>44</v>
      </c>
      <c r="AC63" s="505"/>
      <c r="AD63" s="510"/>
      <c r="AF63" s="94">
        <f>SUM(AF60:AF62)</f>
        <v>96000</v>
      </c>
    </row>
    <row r="64" spans="1:32" ht="25.5" customHeight="1">
      <c r="A64" s="511">
        <v>1</v>
      </c>
      <c r="B64" s="512"/>
      <c r="C64" s="124" t="s">
        <v>562</v>
      </c>
      <c r="D64" s="232"/>
      <c r="E64" s="230" t="s">
        <v>608</v>
      </c>
      <c r="F64" s="513" t="s">
        <v>609</v>
      </c>
      <c r="G64" s="514"/>
      <c r="H64" s="514"/>
      <c r="I64" s="514"/>
      <c r="J64" s="514"/>
      <c r="K64" s="514" t="s">
        <v>565</v>
      </c>
      <c r="L64" s="514"/>
      <c r="M64" s="54" t="s">
        <v>169</v>
      </c>
      <c r="N64" s="514">
        <v>6</v>
      </c>
      <c r="O64" s="514"/>
      <c r="P64" s="515">
        <v>100</v>
      </c>
      <c r="Q64" s="515"/>
      <c r="R64" s="494" t="s">
        <v>567</v>
      </c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2</v>
      </c>
      <c r="B65" s="512"/>
      <c r="C65" s="124" t="s">
        <v>572</v>
      </c>
      <c r="D65" s="232"/>
      <c r="E65" s="230" t="s">
        <v>610</v>
      </c>
      <c r="F65" s="513" t="s">
        <v>595</v>
      </c>
      <c r="G65" s="514"/>
      <c r="H65" s="514"/>
      <c r="I65" s="514"/>
      <c r="J65" s="514"/>
      <c r="K65" s="514" t="s">
        <v>611</v>
      </c>
      <c r="L65" s="514"/>
      <c r="M65" s="54" t="s">
        <v>612</v>
      </c>
      <c r="N65" s="514">
        <v>5</v>
      </c>
      <c r="O65" s="514"/>
      <c r="P65" s="515">
        <v>400</v>
      </c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3</v>
      </c>
      <c r="B66" s="512"/>
      <c r="C66" s="124" t="s">
        <v>234</v>
      </c>
      <c r="D66" s="232"/>
      <c r="E66" s="230" t="s">
        <v>613</v>
      </c>
      <c r="F66" s="513" t="s">
        <v>614</v>
      </c>
      <c r="G66" s="514"/>
      <c r="H66" s="514"/>
      <c r="I66" s="514"/>
      <c r="J66" s="514"/>
      <c r="K66" s="514" t="s">
        <v>615</v>
      </c>
      <c r="L66" s="514"/>
      <c r="M66" s="54" t="s">
        <v>616</v>
      </c>
      <c r="N66" s="514">
        <v>14</v>
      </c>
      <c r="O66" s="514"/>
      <c r="P66" s="515">
        <v>200</v>
      </c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4</v>
      </c>
      <c r="B67" s="512"/>
      <c r="C67" s="124"/>
      <c r="D67" s="232"/>
      <c r="E67" s="230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5</v>
      </c>
      <c r="B68" s="512"/>
      <c r="C68" s="124"/>
      <c r="D68" s="232"/>
      <c r="E68" s="230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6</v>
      </c>
      <c r="B69" s="512"/>
      <c r="C69" s="124"/>
      <c r="D69" s="232"/>
      <c r="E69" s="230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7</v>
      </c>
      <c r="B70" s="512"/>
      <c r="C70" s="124"/>
      <c r="D70" s="232"/>
      <c r="E70" s="230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5.5" customHeight="1">
      <c r="A71" s="511">
        <v>8</v>
      </c>
      <c r="B71" s="512"/>
      <c r="C71" s="124"/>
      <c r="D71" s="232"/>
      <c r="E71" s="230"/>
      <c r="F71" s="513"/>
      <c r="G71" s="514"/>
      <c r="H71" s="514"/>
      <c r="I71" s="514"/>
      <c r="J71" s="514"/>
      <c r="K71" s="514"/>
      <c r="L71" s="514"/>
      <c r="M71" s="54"/>
      <c r="N71" s="514"/>
      <c r="O71" s="514"/>
      <c r="P71" s="515"/>
      <c r="Q71" s="515"/>
      <c r="R71" s="494"/>
      <c r="S71" s="494"/>
      <c r="T71" s="494"/>
      <c r="U71" s="494"/>
      <c r="V71" s="494"/>
      <c r="W71" s="494"/>
      <c r="X71" s="494"/>
      <c r="Y71" s="494"/>
      <c r="Z71" s="494"/>
      <c r="AA71" s="494"/>
      <c r="AB71" s="514"/>
      <c r="AC71" s="514"/>
      <c r="AD71" s="516"/>
      <c r="AF71" s="53"/>
    </row>
    <row r="72" spans="1:32" ht="26.25" customHeight="1" thickBot="1">
      <c r="A72" s="517" t="s">
        <v>617</v>
      </c>
      <c r="B72" s="517"/>
      <c r="C72" s="517"/>
      <c r="D72" s="517"/>
      <c r="E72" s="517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518" t="s">
        <v>114</v>
      </c>
      <c r="B73" s="519"/>
      <c r="C73" s="231" t="s">
        <v>2</v>
      </c>
      <c r="D73" s="231" t="s">
        <v>37</v>
      </c>
      <c r="E73" s="231" t="s">
        <v>3</v>
      </c>
      <c r="F73" s="519" t="s">
        <v>38</v>
      </c>
      <c r="G73" s="519"/>
      <c r="H73" s="519"/>
      <c r="I73" s="519"/>
      <c r="J73" s="519"/>
      <c r="K73" s="520" t="s">
        <v>59</v>
      </c>
      <c r="L73" s="521"/>
      <c r="M73" s="521"/>
      <c r="N73" s="521"/>
      <c r="O73" s="521"/>
      <c r="P73" s="521"/>
      <c r="Q73" s="521"/>
      <c r="R73" s="521"/>
      <c r="S73" s="522"/>
      <c r="T73" s="519" t="s">
        <v>49</v>
      </c>
      <c r="U73" s="519"/>
      <c r="V73" s="520" t="s">
        <v>50</v>
      </c>
      <c r="W73" s="522"/>
      <c r="X73" s="521" t="s">
        <v>51</v>
      </c>
      <c r="Y73" s="521"/>
      <c r="Z73" s="521"/>
      <c r="AA73" s="521"/>
      <c r="AB73" s="521"/>
      <c r="AC73" s="521"/>
      <c r="AD73" s="523"/>
      <c r="AF73" s="53"/>
    </row>
    <row r="74" spans="1:32" ht="33.75" customHeight="1">
      <c r="A74" s="532">
        <v>1</v>
      </c>
      <c r="B74" s="533"/>
      <c r="C74" s="233" t="s">
        <v>117</v>
      </c>
      <c r="D74" s="233"/>
      <c r="E74" s="71" t="s">
        <v>123</v>
      </c>
      <c r="F74" s="534" t="s">
        <v>124</v>
      </c>
      <c r="G74" s="535"/>
      <c r="H74" s="535"/>
      <c r="I74" s="535"/>
      <c r="J74" s="536"/>
      <c r="K74" s="537" t="s">
        <v>119</v>
      </c>
      <c r="L74" s="538"/>
      <c r="M74" s="538"/>
      <c r="N74" s="538"/>
      <c r="O74" s="538"/>
      <c r="P74" s="538"/>
      <c r="Q74" s="538"/>
      <c r="R74" s="538"/>
      <c r="S74" s="539"/>
      <c r="T74" s="540">
        <v>42901</v>
      </c>
      <c r="U74" s="541"/>
      <c r="V74" s="542"/>
      <c r="W74" s="542"/>
      <c r="X74" s="543"/>
      <c r="Y74" s="543"/>
      <c r="Z74" s="543"/>
      <c r="AA74" s="543"/>
      <c r="AB74" s="543"/>
      <c r="AC74" s="543"/>
      <c r="AD74" s="544"/>
      <c r="AF74" s="53"/>
    </row>
    <row r="75" spans="1:32" ht="30" customHeight="1">
      <c r="A75" s="524">
        <f>A74+1</f>
        <v>2</v>
      </c>
      <c r="B75" s="525"/>
      <c r="C75" s="232" t="s">
        <v>117</v>
      </c>
      <c r="D75" s="232"/>
      <c r="E75" s="35" t="s">
        <v>120</v>
      </c>
      <c r="F75" s="525" t="s">
        <v>121</v>
      </c>
      <c r="G75" s="525"/>
      <c r="H75" s="525"/>
      <c r="I75" s="525"/>
      <c r="J75" s="525"/>
      <c r="K75" s="526" t="s">
        <v>122</v>
      </c>
      <c r="L75" s="527"/>
      <c r="M75" s="527"/>
      <c r="N75" s="527"/>
      <c r="O75" s="527"/>
      <c r="P75" s="527"/>
      <c r="Q75" s="527"/>
      <c r="R75" s="527"/>
      <c r="S75" s="528"/>
      <c r="T75" s="529">
        <v>42867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ref="A76:A82" si="21">A75+1</f>
        <v>3</v>
      </c>
      <c r="B76" s="525"/>
      <c r="C76" s="232" t="s">
        <v>133</v>
      </c>
      <c r="D76" s="232"/>
      <c r="E76" s="35" t="s">
        <v>131</v>
      </c>
      <c r="F76" s="525" t="s">
        <v>134</v>
      </c>
      <c r="G76" s="525"/>
      <c r="H76" s="525"/>
      <c r="I76" s="525"/>
      <c r="J76" s="525"/>
      <c r="K76" s="526" t="s">
        <v>119</v>
      </c>
      <c r="L76" s="527"/>
      <c r="M76" s="527"/>
      <c r="N76" s="527"/>
      <c r="O76" s="527"/>
      <c r="P76" s="527"/>
      <c r="Q76" s="527"/>
      <c r="R76" s="527"/>
      <c r="S76" s="528"/>
      <c r="T76" s="529">
        <v>42937</v>
      </c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21"/>
        <v>4</v>
      </c>
      <c r="B77" s="525"/>
      <c r="C77" s="232" t="s">
        <v>118</v>
      </c>
      <c r="D77" s="232"/>
      <c r="E77" s="35" t="s">
        <v>129</v>
      </c>
      <c r="F77" s="525" t="s">
        <v>130</v>
      </c>
      <c r="G77" s="525"/>
      <c r="H77" s="525"/>
      <c r="I77" s="525"/>
      <c r="J77" s="525"/>
      <c r="K77" s="526" t="s">
        <v>132</v>
      </c>
      <c r="L77" s="527"/>
      <c r="M77" s="527"/>
      <c r="N77" s="527"/>
      <c r="O77" s="527"/>
      <c r="P77" s="527"/>
      <c r="Q77" s="527"/>
      <c r="R77" s="527"/>
      <c r="S77" s="528"/>
      <c r="T77" s="529">
        <v>42920</v>
      </c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21"/>
        <v>5</v>
      </c>
      <c r="B78" s="525"/>
      <c r="C78" s="232" t="s">
        <v>117</v>
      </c>
      <c r="D78" s="232"/>
      <c r="E78" s="35" t="s">
        <v>136</v>
      </c>
      <c r="F78" s="525" t="s">
        <v>156</v>
      </c>
      <c r="G78" s="525"/>
      <c r="H78" s="525"/>
      <c r="I78" s="525"/>
      <c r="J78" s="525"/>
      <c r="K78" s="526" t="s">
        <v>157</v>
      </c>
      <c r="L78" s="527"/>
      <c r="M78" s="527"/>
      <c r="N78" s="527"/>
      <c r="O78" s="527"/>
      <c r="P78" s="527"/>
      <c r="Q78" s="527"/>
      <c r="R78" s="527"/>
      <c r="S78" s="528"/>
      <c r="T78" s="529">
        <v>43033</v>
      </c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21"/>
        <v>6</v>
      </c>
      <c r="B79" s="525"/>
      <c r="C79" s="232"/>
      <c r="D79" s="232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21"/>
        <v>7</v>
      </c>
      <c r="B80" s="525"/>
      <c r="C80" s="232"/>
      <c r="D80" s="232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21"/>
        <v>8</v>
      </c>
      <c r="B81" s="525"/>
      <c r="C81" s="232"/>
      <c r="D81" s="232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0" customHeight="1">
      <c r="A82" s="524">
        <f t="shared" si="21"/>
        <v>9</v>
      </c>
      <c r="B82" s="525"/>
      <c r="C82" s="232"/>
      <c r="D82" s="232"/>
      <c r="E82" s="35"/>
      <c r="F82" s="525"/>
      <c r="G82" s="525"/>
      <c r="H82" s="525"/>
      <c r="I82" s="525"/>
      <c r="J82" s="525"/>
      <c r="K82" s="526"/>
      <c r="L82" s="527"/>
      <c r="M82" s="527"/>
      <c r="N82" s="527"/>
      <c r="O82" s="527"/>
      <c r="P82" s="527"/>
      <c r="Q82" s="527"/>
      <c r="R82" s="527"/>
      <c r="S82" s="528"/>
      <c r="T82" s="529"/>
      <c r="U82" s="529"/>
      <c r="V82" s="529"/>
      <c r="W82" s="529"/>
      <c r="X82" s="530"/>
      <c r="Y82" s="530"/>
      <c r="Z82" s="530"/>
      <c r="AA82" s="530"/>
      <c r="AB82" s="530"/>
      <c r="AC82" s="530"/>
      <c r="AD82" s="531"/>
      <c r="AF82" s="53"/>
    </row>
    <row r="83" spans="1:32" ht="36" thickBot="1">
      <c r="A83" s="517" t="s">
        <v>618</v>
      </c>
      <c r="B83" s="517"/>
      <c r="C83" s="517"/>
      <c r="D83" s="517"/>
      <c r="E83" s="517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518" t="s">
        <v>114</v>
      </c>
      <c r="B84" s="519"/>
      <c r="C84" s="545" t="s">
        <v>52</v>
      </c>
      <c r="D84" s="545"/>
      <c r="E84" s="545" t="s">
        <v>53</v>
      </c>
      <c r="F84" s="545"/>
      <c r="G84" s="545"/>
      <c r="H84" s="545"/>
      <c r="I84" s="545"/>
      <c r="J84" s="545"/>
      <c r="K84" s="545" t="s">
        <v>54</v>
      </c>
      <c r="L84" s="545"/>
      <c r="M84" s="545"/>
      <c r="N84" s="545"/>
      <c r="O84" s="545"/>
      <c r="P84" s="545"/>
      <c r="Q84" s="545"/>
      <c r="R84" s="545"/>
      <c r="S84" s="545"/>
      <c r="T84" s="545" t="s">
        <v>55</v>
      </c>
      <c r="U84" s="545"/>
      <c r="V84" s="545" t="s">
        <v>56</v>
      </c>
      <c r="W84" s="545"/>
      <c r="X84" s="545"/>
      <c r="Y84" s="545" t="s">
        <v>51</v>
      </c>
      <c r="Z84" s="545"/>
      <c r="AA84" s="545"/>
      <c r="AB84" s="545"/>
      <c r="AC84" s="545"/>
      <c r="AD84" s="546"/>
      <c r="AF84" s="53"/>
    </row>
    <row r="85" spans="1:32" ht="30.75" customHeight="1">
      <c r="A85" s="532">
        <v>1</v>
      </c>
      <c r="B85" s="533"/>
      <c r="C85" s="547"/>
      <c r="D85" s="547"/>
      <c r="E85" s="547"/>
      <c r="F85" s="547"/>
      <c r="G85" s="547"/>
      <c r="H85" s="547"/>
      <c r="I85" s="547"/>
      <c r="J85" s="547"/>
      <c r="K85" s="547"/>
      <c r="L85" s="547"/>
      <c r="M85" s="547"/>
      <c r="N85" s="547"/>
      <c r="O85" s="547"/>
      <c r="P85" s="547"/>
      <c r="Q85" s="547"/>
      <c r="R85" s="547"/>
      <c r="S85" s="547"/>
      <c r="T85" s="547"/>
      <c r="U85" s="547"/>
      <c r="V85" s="548"/>
      <c r="W85" s="548"/>
      <c r="X85" s="548"/>
      <c r="Y85" s="549"/>
      <c r="Z85" s="549"/>
      <c r="AA85" s="549"/>
      <c r="AB85" s="549"/>
      <c r="AC85" s="549"/>
      <c r="AD85" s="550"/>
      <c r="AF85" s="53"/>
    </row>
    <row r="86" spans="1:32" ht="30.75" customHeight="1">
      <c r="A86" s="524">
        <v>2</v>
      </c>
      <c r="B86" s="525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9"/>
      <c r="U86" s="559"/>
      <c r="V86" s="560"/>
      <c r="W86" s="560"/>
      <c r="X86" s="560"/>
      <c r="Y86" s="551"/>
      <c r="Z86" s="551"/>
      <c r="AA86" s="551"/>
      <c r="AB86" s="551"/>
      <c r="AC86" s="551"/>
      <c r="AD86" s="552"/>
      <c r="AF86" s="53"/>
    </row>
    <row r="87" spans="1:32" ht="30.75" customHeight="1" thickBot="1">
      <c r="A87" s="553">
        <v>3</v>
      </c>
      <c r="B87" s="554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555"/>
      <c r="Q87" s="555"/>
      <c r="R87" s="555"/>
      <c r="S87" s="555"/>
      <c r="T87" s="555"/>
      <c r="U87" s="555"/>
      <c r="V87" s="555"/>
      <c r="W87" s="555"/>
      <c r="X87" s="555"/>
      <c r="Y87" s="556"/>
      <c r="Z87" s="556"/>
      <c r="AA87" s="556"/>
      <c r="AB87" s="556"/>
      <c r="AC87" s="556"/>
      <c r="AD87" s="557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topLeftCell="A43" zoomScale="72" zoomScaleNormal="72" zoomScaleSheetLayoutView="70" workbookViewId="0">
      <selection activeCell="L11" sqref="L11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51" t="s">
        <v>619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6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245" t="s">
        <v>17</v>
      </c>
      <c r="L5" s="245" t="s">
        <v>18</v>
      </c>
      <c r="M5" s="245" t="s">
        <v>19</v>
      </c>
      <c r="N5" s="24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6" ht="27" customHeight="1">
      <c r="A6" s="108">
        <v>1</v>
      </c>
      <c r="B6" s="11" t="s">
        <v>149</v>
      </c>
      <c r="C6" s="37" t="s">
        <v>177</v>
      </c>
      <c r="D6" s="55" t="s">
        <v>190</v>
      </c>
      <c r="E6" s="57" t="s">
        <v>191</v>
      </c>
      <c r="F6" s="33" t="s">
        <v>184</v>
      </c>
      <c r="G6" s="12">
        <v>1</v>
      </c>
      <c r="H6" s="13">
        <v>25</v>
      </c>
      <c r="I6" s="34">
        <v>3000</v>
      </c>
      <c r="J6" s="5">
        <v>1030</v>
      </c>
      <c r="K6" s="15">
        <f>L6+1319+1024</f>
        <v>2343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0.58820843950474189</v>
      </c>
      <c r="AF6" s="94">
        <f t="shared" ref="AF6:AF20" si="8">A6</f>
        <v>1</v>
      </c>
    </row>
    <row r="7" spans="1:36" ht="27" customHeight="1">
      <c r="A7" s="108">
        <v>2</v>
      </c>
      <c r="B7" s="11" t="s">
        <v>149</v>
      </c>
      <c r="C7" s="37" t="s">
        <v>234</v>
      </c>
      <c r="D7" s="55" t="s">
        <v>190</v>
      </c>
      <c r="E7" s="57" t="s">
        <v>571</v>
      </c>
      <c r="F7" s="33" t="s">
        <v>184</v>
      </c>
      <c r="G7" s="12">
        <v>1</v>
      </c>
      <c r="H7" s="13">
        <v>25</v>
      </c>
      <c r="I7" s="34">
        <v>4000</v>
      </c>
      <c r="J7" s="5">
        <v>1140</v>
      </c>
      <c r="K7" s="15">
        <f>L7+3068</f>
        <v>4207</v>
      </c>
      <c r="L7" s="15">
        <v>1139</v>
      </c>
      <c r="M7" s="16">
        <f t="shared" si="0"/>
        <v>1139</v>
      </c>
      <c r="N7" s="16">
        <v>0</v>
      </c>
      <c r="O7" s="62">
        <f t="shared" si="1"/>
        <v>0</v>
      </c>
      <c r="P7" s="42">
        <f t="shared" si="2"/>
        <v>6</v>
      </c>
      <c r="Q7" s="43">
        <f t="shared" si="3"/>
        <v>18</v>
      </c>
      <c r="R7" s="7"/>
      <c r="S7" s="6"/>
      <c r="T7" s="17"/>
      <c r="U7" s="17"/>
      <c r="V7" s="18"/>
      <c r="W7" s="19">
        <v>18</v>
      </c>
      <c r="X7" s="17"/>
      <c r="Y7" s="20"/>
      <c r="Z7" s="20"/>
      <c r="AA7" s="21"/>
      <c r="AB7" s="8">
        <f t="shared" si="4"/>
        <v>0.99912280701754386</v>
      </c>
      <c r="AC7" s="9">
        <f t="shared" si="5"/>
        <v>0.25</v>
      </c>
      <c r="AD7" s="10">
        <f t="shared" si="6"/>
        <v>0.24978070175438596</v>
      </c>
      <c r="AE7" s="39">
        <f t="shared" si="7"/>
        <v>0.58820843950474189</v>
      </c>
      <c r="AF7" s="94">
        <f t="shared" si="8"/>
        <v>2</v>
      </c>
    </row>
    <row r="8" spans="1:36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65000</v>
      </c>
      <c r="J8" s="14">
        <v>3290</v>
      </c>
      <c r="K8" s="15">
        <f>L8+452+3795+3955+5414+5383+3788+2222+5252+4546+5439+6546</f>
        <v>50074</v>
      </c>
      <c r="L8" s="15">
        <f>1380+1902</f>
        <v>3282</v>
      </c>
      <c r="M8" s="16">
        <f t="shared" si="0"/>
        <v>3282</v>
      </c>
      <c r="N8" s="16">
        <v>0</v>
      </c>
      <c r="O8" s="62">
        <f t="shared" si="1"/>
        <v>0</v>
      </c>
      <c r="P8" s="42">
        <f t="shared" si="2"/>
        <v>17</v>
      </c>
      <c r="Q8" s="43">
        <f t="shared" si="3"/>
        <v>7</v>
      </c>
      <c r="R8" s="7"/>
      <c r="S8" s="6">
        <v>7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0.9975683890577508</v>
      </c>
      <c r="AC8" s="9">
        <f t="shared" si="5"/>
        <v>0.70833333333333337</v>
      </c>
      <c r="AD8" s="10">
        <f t="shared" si="6"/>
        <v>0.70661094224924015</v>
      </c>
      <c r="AE8" s="39">
        <f t="shared" si="7"/>
        <v>0.58820843950474189</v>
      </c>
      <c r="AF8" s="94">
        <f>A8</f>
        <v>3</v>
      </c>
    </row>
    <row r="9" spans="1:36" ht="27" customHeight="1">
      <c r="A9" s="110">
        <v>4</v>
      </c>
      <c r="B9" s="11" t="s">
        <v>58</v>
      </c>
      <c r="C9" s="37" t="s">
        <v>118</v>
      </c>
      <c r="D9" s="55" t="s">
        <v>131</v>
      </c>
      <c r="E9" s="57" t="s">
        <v>620</v>
      </c>
      <c r="F9" s="33" t="s">
        <v>146</v>
      </c>
      <c r="G9" s="36">
        <v>1</v>
      </c>
      <c r="H9" s="38">
        <v>25</v>
      </c>
      <c r="I9" s="7">
        <v>15000</v>
      </c>
      <c r="J9" s="5">
        <v>3700</v>
      </c>
      <c r="K9" s="15">
        <f>L9</f>
        <v>3691</v>
      </c>
      <c r="L9" s="15">
        <f>2371+1320</f>
        <v>3691</v>
      </c>
      <c r="M9" s="16">
        <f t="shared" si="0"/>
        <v>3691</v>
      </c>
      <c r="N9" s="16">
        <v>0</v>
      </c>
      <c r="O9" s="62">
        <f t="shared" si="1"/>
        <v>0</v>
      </c>
      <c r="P9" s="42">
        <f t="shared" si="2"/>
        <v>19</v>
      </c>
      <c r="Q9" s="43">
        <f t="shared" si="3"/>
        <v>5</v>
      </c>
      <c r="R9" s="7"/>
      <c r="S9" s="6">
        <v>5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0.99756756756756759</v>
      </c>
      <c r="AC9" s="9">
        <f t="shared" si="5"/>
        <v>0.79166666666666663</v>
      </c>
      <c r="AD9" s="10">
        <f t="shared" si="6"/>
        <v>0.78974099099099093</v>
      </c>
      <c r="AE9" s="39">
        <f t="shared" si="7"/>
        <v>0.58820843950474189</v>
      </c>
      <c r="AF9" s="94">
        <f t="shared" ref="AF9:AF10" si="9">A9</f>
        <v>4</v>
      </c>
    </row>
    <row r="10" spans="1:36" ht="27" customHeight="1">
      <c r="A10" s="110">
        <v>5</v>
      </c>
      <c r="B10" s="11" t="s">
        <v>58</v>
      </c>
      <c r="C10" s="11" t="s">
        <v>572</v>
      </c>
      <c r="D10" s="55" t="s">
        <v>573</v>
      </c>
      <c r="E10" s="57" t="s">
        <v>574</v>
      </c>
      <c r="F10" s="12" t="s">
        <v>575</v>
      </c>
      <c r="G10" s="12">
        <v>8</v>
      </c>
      <c r="H10" s="13">
        <v>25</v>
      </c>
      <c r="I10" s="34">
        <v>20000</v>
      </c>
      <c r="J10" s="14">
        <v>36150</v>
      </c>
      <c r="K10" s="15">
        <f>L10+36144</f>
        <v>36144</v>
      </c>
      <c r="L10" s="15">
        <v>0</v>
      </c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/>
      <c r="X10" s="17"/>
      <c r="Y10" s="20"/>
      <c r="Z10" s="20"/>
      <c r="AA10" s="21">
        <v>24</v>
      </c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0.58820843950474189</v>
      </c>
      <c r="AF10" s="94">
        <f t="shared" si="9"/>
        <v>5</v>
      </c>
    </row>
    <row r="11" spans="1:36" ht="27" customHeight="1">
      <c r="A11" s="110">
        <v>6</v>
      </c>
      <c r="B11" s="11" t="s">
        <v>58</v>
      </c>
      <c r="C11" s="11" t="s">
        <v>173</v>
      </c>
      <c r="D11" s="55" t="s">
        <v>129</v>
      </c>
      <c r="E11" s="57" t="s">
        <v>483</v>
      </c>
      <c r="F11" s="12" t="s">
        <v>148</v>
      </c>
      <c r="G11" s="12">
        <v>1</v>
      </c>
      <c r="H11" s="13">
        <v>25</v>
      </c>
      <c r="I11" s="34">
        <v>500</v>
      </c>
      <c r="J11" s="14">
        <v>650</v>
      </c>
      <c r="K11" s="15">
        <f>L11+650</f>
        <v>650</v>
      </c>
      <c r="L11" s="15">
        <v>0</v>
      </c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/>
      <c r="X11" s="17"/>
      <c r="Y11" s="20"/>
      <c r="Z11" s="20"/>
      <c r="AA11" s="21">
        <v>24</v>
      </c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0.58820843950474189</v>
      </c>
      <c r="AF11" s="94">
        <f t="shared" si="8"/>
        <v>6</v>
      </c>
    </row>
    <row r="12" spans="1:36" ht="27" customHeight="1">
      <c r="A12" s="110">
        <v>7</v>
      </c>
      <c r="B12" s="11" t="s">
        <v>58</v>
      </c>
      <c r="C12" s="11" t="s">
        <v>118</v>
      </c>
      <c r="D12" s="55" t="s">
        <v>57</v>
      </c>
      <c r="E12" s="57" t="s">
        <v>160</v>
      </c>
      <c r="F12" s="12" t="s">
        <v>145</v>
      </c>
      <c r="G12" s="12">
        <v>1</v>
      </c>
      <c r="H12" s="13">
        <v>25</v>
      </c>
      <c r="I12" s="7">
        <v>62000</v>
      </c>
      <c r="J12" s="14">
        <v>4000</v>
      </c>
      <c r="K12" s="15">
        <f>L12+3062+3955+2262+4171+4492+4201+2422+2930+4783+1827+2695+1564+2934+3400</f>
        <v>48693</v>
      </c>
      <c r="L12" s="15">
        <f>2062+1933</f>
        <v>3995</v>
      </c>
      <c r="M12" s="16">
        <f t="shared" si="0"/>
        <v>3995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0.99875000000000003</v>
      </c>
      <c r="AC12" s="9">
        <f t="shared" si="5"/>
        <v>1</v>
      </c>
      <c r="AD12" s="10">
        <f t="shared" si="6"/>
        <v>0.99875000000000003</v>
      </c>
      <c r="AE12" s="39">
        <f t="shared" si="7"/>
        <v>0.58820843950474189</v>
      </c>
      <c r="AF12" s="94">
        <f t="shared" si="8"/>
        <v>7</v>
      </c>
    </row>
    <row r="13" spans="1:36" ht="27" customHeight="1">
      <c r="A13" s="110">
        <v>8</v>
      </c>
      <c r="B13" s="11" t="s">
        <v>58</v>
      </c>
      <c r="C13" s="11" t="s">
        <v>309</v>
      </c>
      <c r="D13" s="55" t="s">
        <v>576</v>
      </c>
      <c r="E13" s="57" t="s">
        <v>577</v>
      </c>
      <c r="F13" s="12">
        <v>7301</v>
      </c>
      <c r="G13" s="12">
        <v>1</v>
      </c>
      <c r="H13" s="13">
        <v>25</v>
      </c>
      <c r="I13" s="7">
        <v>20000</v>
      </c>
      <c r="J13" s="14">
        <v>4690</v>
      </c>
      <c r="K13" s="15">
        <f>L13+3305</f>
        <v>7990</v>
      </c>
      <c r="L13" s="15">
        <f>2783+1902</f>
        <v>4685</v>
      </c>
      <c r="M13" s="16">
        <f t="shared" si="0"/>
        <v>4685</v>
      </c>
      <c r="N13" s="16">
        <v>0</v>
      </c>
      <c r="O13" s="62">
        <f t="shared" si="1"/>
        <v>0</v>
      </c>
      <c r="P13" s="42">
        <f t="shared" si="2"/>
        <v>21</v>
      </c>
      <c r="Q13" s="43">
        <f t="shared" si="3"/>
        <v>3</v>
      </c>
      <c r="R13" s="7"/>
      <c r="S13" s="6">
        <v>3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0.99893390191897657</v>
      </c>
      <c r="AC13" s="9">
        <f t="shared" si="5"/>
        <v>0.875</v>
      </c>
      <c r="AD13" s="10">
        <f t="shared" si="6"/>
        <v>0.87406716417910446</v>
      </c>
      <c r="AE13" s="39">
        <f t="shared" si="7"/>
        <v>0.58820843950474189</v>
      </c>
      <c r="AF13" s="94">
        <f t="shared" si="8"/>
        <v>8</v>
      </c>
    </row>
    <row r="14" spans="1:36" ht="27" customHeight="1">
      <c r="A14" s="109">
        <v>9</v>
      </c>
      <c r="B14" s="11" t="s">
        <v>149</v>
      </c>
      <c r="C14" s="37" t="s">
        <v>163</v>
      </c>
      <c r="D14" s="55" t="s">
        <v>190</v>
      </c>
      <c r="E14" s="57" t="s">
        <v>436</v>
      </c>
      <c r="F14" s="33" t="s">
        <v>437</v>
      </c>
      <c r="G14" s="36">
        <v>1</v>
      </c>
      <c r="H14" s="38">
        <v>25</v>
      </c>
      <c r="I14" s="7">
        <v>11000</v>
      </c>
      <c r="J14" s="5">
        <v>2330</v>
      </c>
      <c r="K14" s="15">
        <f>L14+2030+3617+4261+2322</f>
        <v>12230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0.58820843950474189</v>
      </c>
      <c r="AF14" s="94">
        <f t="shared" si="8"/>
        <v>9</v>
      </c>
    </row>
    <row r="15" spans="1:36" ht="27" customHeight="1">
      <c r="A15" s="109">
        <v>10</v>
      </c>
      <c r="B15" s="11" t="s">
        <v>149</v>
      </c>
      <c r="C15" s="11" t="s">
        <v>195</v>
      </c>
      <c r="D15" s="55" t="s">
        <v>420</v>
      </c>
      <c r="E15" s="57" t="s">
        <v>421</v>
      </c>
      <c r="F15" s="12">
        <v>8301</v>
      </c>
      <c r="G15" s="12">
        <v>1</v>
      </c>
      <c r="H15" s="13">
        <v>20</v>
      </c>
      <c r="I15" s="34">
        <v>21000</v>
      </c>
      <c r="J15" s="14">
        <v>5560</v>
      </c>
      <c r="K15" s="15">
        <f>L15+2754+4879+4902+4434</f>
        <v>22522</v>
      </c>
      <c r="L15" s="15">
        <f>2893+2660</f>
        <v>5553</v>
      </c>
      <c r="M15" s="16">
        <f t="shared" si="0"/>
        <v>5553</v>
      </c>
      <c r="N15" s="16">
        <v>0</v>
      </c>
      <c r="O15" s="62">
        <f t="shared" si="1"/>
        <v>0</v>
      </c>
      <c r="P15" s="42">
        <f t="shared" si="2"/>
        <v>24</v>
      </c>
      <c r="Q15" s="43">
        <f t="shared" si="3"/>
        <v>0</v>
      </c>
      <c r="R15" s="7"/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0.99874100719424463</v>
      </c>
      <c r="AC15" s="9">
        <f t="shared" si="5"/>
        <v>1</v>
      </c>
      <c r="AD15" s="10">
        <f t="shared" si="6"/>
        <v>0.99874100719424463</v>
      </c>
      <c r="AE15" s="39">
        <f t="shared" si="7"/>
        <v>0.58820843950474189</v>
      </c>
      <c r="AF15" s="94">
        <f t="shared" si="8"/>
        <v>10</v>
      </c>
    </row>
    <row r="16" spans="1:36" ht="27.75" customHeight="1">
      <c r="A16" s="109">
        <v>11</v>
      </c>
      <c r="B16" s="11" t="s">
        <v>149</v>
      </c>
      <c r="C16" s="11" t="s">
        <v>309</v>
      </c>
      <c r="D16" s="55" t="s">
        <v>578</v>
      </c>
      <c r="E16" s="56" t="s">
        <v>579</v>
      </c>
      <c r="F16" s="12">
        <v>7301</v>
      </c>
      <c r="G16" s="36">
        <v>1</v>
      </c>
      <c r="H16" s="38">
        <v>25</v>
      </c>
      <c r="I16" s="7">
        <v>7000</v>
      </c>
      <c r="J16" s="14">
        <v>5210</v>
      </c>
      <c r="K16" s="15">
        <f>L16+4827</f>
        <v>10028</v>
      </c>
      <c r="L16" s="15">
        <f>2695+2506</f>
        <v>5201</v>
      </c>
      <c r="M16" s="16">
        <f t="shared" si="0"/>
        <v>5201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0.99827255278310945</v>
      </c>
      <c r="AC16" s="9">
        <f t="shared" si="5"/>
        <v>1</v>
      </c>
      <c r="AD16" s="10">
        <f t="shared" si="6"/>
        <v>0.99827255278310945</v>
      </c>
      <c r="AE16" s="39">
        <f t="shared" si="7"/>
        <v>0.58820843950474189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149</v>
      </c>
      <c r="C17" s="37" t="s">
        <v>133</v>
      </c>
      <c r="D17" s="55" t="s">
        <v>621</v>
      </c>
      <c r="E17" s="56" t="s">
        <v>622</v>
      </c>
      <c r="F17" s="12" t="s">
        <v>623</v>
      </c>
      <c r="G17" s="12">
        <v>4</v>
      </c>
      <c r="H17" s="13">
        <v>25</v>
      </c>
      <c r="I17" s="34">
        <v>11000</v>
      </c>
      <c r="J17" s="5">
        <v>16150</v>
      </c>
      <c r="K17" s="15">
        <f>L17</f>
        <v>16148</v>
      </c>
      <c r="L17" s="15">
        <f>2006*4+2031*4</f>
        <v>16148</v>
      </c>
      <c r="M17" s="16">
        <f t="shared" si="0"/>
        <v>16148</v>
      </c>
      <c r="N17" s="16">
        <v>0</v>
      </c>
      <c r="O17" s="62">
        <f t="shared" si="1"/>
        <v>0</v>
      </c>
      <c r="P17" s="42">
        <f t="shared" si="2"/>
        <v>20</v>
      </c>
      <c r="Q17" s="43">
        <f t="shared" si="3"/>
        <v>4</v>
      </c>
      <c r="R17" s="7"/>
      <c r="S17" s="6"/>
      <c r="T17" s="17">
        <v>4</v>
      </c>
      <c r="U17" s="17"/>
      <c r="V17" s="18"/>
      <c r="W17" s="19"/>
      <c r="X17" s="17"/>
      <c r="Y17" s="20"/>
      <c r="Z17" s="20"/>
      <c r="AA17" s="21"/>
      <c r="AB17" s="8">
        <f t="shared" si="4"/>
        <v>0.99987616099071208</v>
      </c>
      <c r="AC17" s="9">
        <f t="shared" si="5"/>
        <v>0.83333333333333337</v>
      </c>
      <c r="AD17" s="10">
        <f t="shared" si="6"/>
        <v>0.83323013415892677</v>
      </c>
      <c r="AE17" s="39">
        <f t="shared" si="7"/>
        <v>0.58820843950474189</v>
      </c>
      <c r="AF17" s="94">
        <f t="shared" ref="AF17" si="10">A17</f>
        <v>12</v>
      </c>
    </row>
    <row r="18" spans="1:32" ht="27" customHeight="1">
      <c r="A18" s="110">
        <v>13</v>
      </c>
      <c r="B18" s="11" t="s">
        <v>58</v>
      </c>
      <c r="C18" s="37" t="s">
        <v>118</v>
      </c>
      <c r="D18" s="55" t="s">
        <v>131</v>
      </c>
      <c r="E18" s="57" t="s">
        <v>158</v>
      </c>
      <c r="F18" s="33" t="s">
        <v>142</v>
      </c>
      <c r="G18" s="36">
        <v>1</v>
      </c>
      <c r="H18" s="38">
        <v>25</v>
      </c>
      <c r="I18" s="7">
        <v>62000</v>
      </c>
      <c r="J18" s="5">
        <v>2270</v>
      </c>
      <c r="K18" s="15">
        <f>L18+2232+4609+1982+1137+3270+2188+1609+3870+5108+3013+1873+2963+4922+5176+4918</f>
        <v>51137</v>
      </c>
      <c r="L18" s="15">
        <f>1841+426</f>
        <v>2267</v>
      </c>
      <c r="M18" s="16">
        <f t="shared" si="0"/>
        <v>2267</v>
      </c>
      <c r="N18" s="16">
        <v>0</v>
      </c>
      <c r="O18" s="62">
        <f t="shared" si="1"/>
        <v>0</v>
      </c>
      <c r="P18" s="42">
        <f t="shared" si="2"/>
        <v>11</v>
      </c>
      <c r="Q18" s="43">
        <f t="shared" si="3"/>
        <v>13</v>
      </c>
      <c r="R18" s="7"/>
      <c r="S18" s="6">
        <v>13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0.99867841409691627</v>
      </c>
      <c r="AC18" s="9">
        <f t="shared" si="5"/>
        <v>0.45833333333333331</v>
      </c>
      <c r="AD18" s="10">
        <f t="shared" si="6"/>
        <v>0.45772760646108662</v>
      </c>
      <c r="AE18" s="39">
        <f t="shared" si="7"/>
        <v>0.58820843950474189</v>
      </c>
      <c r="AF18" s="94">
        <f t="shared" si="8"/>
        <v>13</v>
      </c>
    </row>
    <row r="19" spans="1:32" ht="27" customHeight="1">
      <c r="A19" s="110">
        <v>14</v>
      </c>
      <c r="B19" s="11" t="s">
        <v>58</v>
      </c>
      <c r="C19" s="11" t="s">
        <v>118</v>
      </c>
      <c r="D19" s="55" t="s">
        <v>624</v>
      </c>
      <c r="E19" s="56" t="s">
        <v>625</v>
      </c>
      <c r="F19" s="12" t="s">
        <v>626</v>
      </c>
      <c r="G19" s="12">
        <v>1</v>
      </c>
      <c r="H19" s="38">
        <v>25</v>
      </c>
      <c r="I19" s="34">
        <v>7000</v>
      </c>
      <c r="J19" s="5">
        <v>4270</v>
      </c>
      <c r="K19" s="15">
        <f>L19</f>
        <v>4268</v>
      </c>
      <c r="L19" s="15">
        <f>1466+2802</f>
        <v>4268</v>
      </c>
      <c r="M19" s="16">
        <f t="shared" si="0"/>
        <v>4268</v>
      </c>
      <c r="N19" s="16">
        <v>0</v>
      </c>
      <c r="O19" s="62">
        <f t="shared" si="1"/>
        <v>0</v>
      </c>
      <c r="P19" s="42">
        <f t="shared" si="2"/>
        <v>22</v>
      </c>
      <c r="Q19" s="43">
        <f t="shared" si="3"/>
        <v>2</v>
      </c>
      <c r="R19" s="7"/>
      <c r="S19" s="6">
        <v>2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0.99953161592505857</v>
      </c>
      <c r="AC19" s="9">
        <f t="shared" si="5"/>
        <v>0.91666666666666663</v>
      </c>
      <c r="AD19" s="10">
        <f t="shared" si="6"/>
        <v>0.91623731459797031</v>
      </c>
      <c r="AE19" s="39">
        <f t="shared" si="7"/>
        <v>0.58820843950474189</v>
      </c>
      <c r="AF19" s="94">
        <f t="shared" si="8"/>
        <v>14</v>
      </c>
    </row>
    <row r="20" spans="1:32" ht="27" customHeight="1" thickBot="1">
      <c r="A20" s="110">
        <v>15</v>
      </c>
      <c r="B20" s="11" t="s">
        <v>58</v>
      </c>
      <c r="C20" s="11" t="s">
        <v>115</v>
      </c>
      <c r="D20" s="55"/>
      <c r="E20" s="56" t="s">
        <v>250</v>
      </c>
      <c r="F20" s="12" t="s">
        <v>116</v>
      </c>
      <c r="G20" s="12">
        <v>4</v>
      </c>
      <c r="H20" s="38">
        <v>15</v>
      </c>
      <c r="I20" s="7">
        <v>300000</v>
      </c>
      <c r="J20" s="14">
        <v>62850</v>
      </c>
      <c r="K20" s="15">
        <f>L20+35456+63764+63820+27408+58684+66568+67652+67648</f>
        <v>513848</v>
      </c>
      <c r="L20" s="15">
        <f>8387*4+7325*4</f>
        <v>62848</v>
      </c>
      <c r="M20" s="16">
        <f t="shared" si="0"/>
        <v>62848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0.9999681782020684</v>
      </c>
      <c r="AC20" s="9">
        <f t="shared" si="5"/>
        <v>1</v>
      </c>
      <c r="AD20" s="10">
        <f t="shared" si="6"/>
        <v>0.9999681782020684</v>
      </c>
      <c r="AE20" s="39">
        <f t="shared" si="7"/>
        <v>0.58820843950474189</v>
      </c>
      <c r="AF20" s="94">
        <f t="shared" si="8"/>
        <v>15</v>
      </c>
    </row>
    <row r="21" spans="1:32" ht="31.5" customHeight="1" thickBot="1">
      <c r="A21" s="465" t="s">
        <v>34</v>
      </c>
      <c r="B21" s="466"/>
      <c r="C21" s="466"/>
      <c r="D21" s="466"/>
      <c r="E21" s="466"/>
      <c r="F21" s="466"/>
      <c r="G21" s="466"/>
      <c r="H21" s="467"/>
      <c r="I21" s="25">
        <f t="shared" ref="I21:N21" si="11">SUM(I6:I20)</f>
        <v>608500</v>
      </c>
      <c r="J21" s="22">
        <f t="shared" si="11"/>
        <v>153290</v>
      </c>
      <c r="K21" s="23">
        <f t="shared" si="11"/>
        <v>783973</v>
      </c>
      <c r="L21" s="24">
        <f t="shared" si="11"/>
        <v>113077</v>
      </c>
      <c r="M21" s="23">
        <f t="shared" si="11"/>
        <v>113077</v>
      </c>
      <c r="N21" s="24">
        <f t="shared" si="11"/>
        <v>0</v>
      </c>
      <c r="O21" s="44">
        <f t="shared" si="1"/>
        <v>0</v>
      </c>
      <c r="P21" s="45">
        <f t="shared" ref="P21:AA21" si="12">SUM(P6:P20)</f>
        <v>212</v>
      </c>
      <c r="Q21" s="46">
        <f t="shared" si="12"/>
        <v>148</v>
      </c>
      <c r="R21" s="26">
        <f t="shared" si="12"/>
        <v>24</v>
      </c>
      <c r="S21" s="27">
        <f t="shared" si="12"/>
        <v>30</v>
      </c>
      <c r="T21" s="27">
        <f t="shared" si="12"/>
        <v>4</v>
      </c>
      <c r="U21" s="27">
        <f t="shared" si="12"/>
        <v>0</v>
      </c>
      <c r="V21" s="28">
        <f t="shared" si="12"/>
        <v>0</v>
      </c>
      <c r="W21" s="29">
        <f t="shared" si="12"/>
        <v>42</v>
      </c>
      <c r="X21" s="30">
        <f t="shared" si="12"/>
        <v>0</v>
      </c>
      <c r="Y21" s="30">
        <f t="shared" si="12"/>
        <v>0</v>
      </c>
      <c r="Z21" s="30">
        <f t="shared" si="12"/>
        <v>0</v>
      </c>
      <c r="AA21" s="30">
        <f t="shared" si="12"/>
        <v>48</v>
      </c>
      <c r="AB21" s="31">
        <f>SUM(AB6:AB20)/15</f>
        <v>0.73246737298359654</v>
      </c>
      <c r="AC21" s="4">
        <f>SUM(AC6:AC20)/15</f>
        <v>0.5888888888888888</v>
      </c>
      <c r="AD21" s="4">
        <f>SUM(AD6:AD20)/15</f>
        <v>0.58820843950474189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68" t="s">
        <v>45</v>
      </c>
      <c r="B48" s="468"/>
      <c r="C48" s="468"/>
      <c r="D48" s="468"/>
      <c r="E48" s="468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69" t="s">
        <v>627</v>
      </c>
      <c r="B49" s="470"/>
      <c r="C49" s="470"/>
      <c r="D49" s="470"/>
      <c r="E49" s="470"/>
      <c r="F49" s="470"/>
      <c r="G49" s="470"/>
      <c r="H49" s="470"/>
      <c r="I49" s="470"/>
      <c r="J49" s="470"/>
      <c r="K49" s="470"/>
      <c r="L49" s="470"/>
      <c r="M49" s="471"/>
      <c r="N49" s="472" t="s">
        <v>647</v>
      </c>
      <c r="O49" s="473"/>
      <c r="P49" s="473"/>
      <c r="Q49" s="473"/>
      <c r="R49" s="473"/>
      <c r="S49" s="473"/>
      <c r="T49" s="473"/>
      <c r="U49" s="473"/>
      <c r="V49" s="473"/>
      <c r="W49" s="473"/>
      <c r="X49" s="473"/>
      <c r="Y49" s="473"/>
      <c r="Z49" s="473"/>
      <c r="AA49" s="473"/>
      <c r="AB49" s="473"/>
      <c r="AC49" s="473"/>
      <c r="AD49" s="474"/>
    </row>
    <row r="50" spans="1:32" ht="27" customHeight="1">
      <c r="A50" s="475" t="s">
        <v>2</v>
      </c>
      <c r="B50" s="476"/>
      <c r="C50" s="244" t="s">
        <v>46</v>
      </c>
      <c r="D50" s="244" t="s">
        <v>47</v>
      </c>
      <c r="E50" s="244" t="s">
        <v>109</v>
      </c>
      <c r="F50" s="476" t="s">
        <v>108</v>
      </c>
      <c r="G50" s="476"/>
      <c r="H50" s="476"/>
      <c r="I50" s="476"/>
      <c r="J50" s="476"/>
      <c r="K50" s="476"/>
      <c r="L50" s="476"/>
      <c r="M50" s="477"/>
      <c r="N50" s="73" t="s">
        <v>113</v>
      </c>
      <c r="O50" s="244" t="s">
        <v>46</v>
      </c>
      <c r="P50" s="478" t="s">
        <v>47</v>
      </c>
      <c r="Q50" s="479"/>
      <c r="R50" s="478" t="s">
        <v>38</v>
      </c>
      <c r="S50" s="480"/>
      <c r="T50" s="480"/>
      <c r="U50" s="479"/>
      <c r="V50" s="478" t="s">
        <v>48</v>
      </c>
      <c r="W50" s="480"/>
      <c r="X50" s="480"/>
      <c r="Y50" s="480"/>
      <c r="Z50" s="480"/>
      <c r="AA50" s="480"/>
      <c r="AB50" s="480"/>
      <c r="AC50" s="480"/>
      <c r="AD50" s="481"/>
    </row>
    <row r="51" spans="1:32" ht="27" customHeight="1">
      <c r="A51" s="492" t="s">
        <v>118</v>
      </c>
      <c r="B51" s="493"/>
      <c r="C51" s="243" t="s">
        <v>235</v>
      </c>
      <c r="D51" s="240" t="s">
        <v>624</v>
      </c>
      <c r="E51" s="243" t="s">
        <v>628</v>
      </c>
      <c r="F51" s="494" t="s">
        <v>629</v>
      </c>
      <c r="G51" s="494"/>
      <c r="H51" s="494"/>
      <c r="I51" s="494"/>
      <c r="J51" s="494"/>
      <c r="K51" s="494"/>
      <c r="L51" s="494"/>
      <c r="M51" s="495"/>
      <c r="N51" s="239" t="s">
        <v>234</v>
      </c>
      <c r="O51" s="74" t="s">
        <v>635</v>
      </c>
      <c r="P51" s="496" t="s">
        <v>648</v>
      </c>
      <c r="Q51" s="497"/>
      <c r="R51" s="498" t="s">
        <v>649</v>
      </c>
      <c r="S51" s="498"/>
      <c r="T51" s="498"/>
      <c r="U51" s="498"/>
      <c r="V51" s="494" t="s">
        <v>656</v>
      </c>
      <c r="W51" s="494"/>
      <c r="X51" s="494"/>
      <c r="Y51" s="494"/>
      <c r="Z51" s="494"/>
      <c r="AA51" s="494"/>
      <c r="AB51" s="494"/>
      <c r="AC51" s="494"/>
      <c r="AD51" s="495"/>
    </row>
    <row r="52" spans="1:32" ht="27" customHeight="1">
      <c r="A52" s="492" t="s">
        <v>586</v>
      </c>
      <c r="B52" s="493"/>
      <c r="C52" s="243" t="s">
        <v>370</v>
      </c>
      <c r="D52" s="240" t="s">
        <v>587</v>
      </c>
      <c r="E52" s="243" t="s">
        <v>588</v>
      </c>
      <c r="F52" s="494" t="s">
        <v>630</v>
      </c>
      <c r="G52" s="494"/>
      <c r="H52" s="494"/>
      <c r="I52" s="494"/>
      <c r="J52" s="494"/>
      <c r="K52" s="494"/>
      <c r="L52" s="494"/>
      <c r="M52" s="495"/>
      <c r="N52" s="239" t="s">
        <v>173</v>
      </c>
      <c r="O52" s="74" t="s">
        <v>650</v>
      </c>
      <c r="P52" s="496" t="s">
        <v>651</v>
      </c>
      <c r="Q52" s="497"/>
      <c r="R52" s="498" t="s">
        <v>652</v>
      </c>
      <c r="S52" s="498"/>
      <c r="T52" s="498"/>
      <c r="U52" s="498"/>
      <c r="V52" s="494" t="s">
        <v>150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173</v>
      </c>
      <c r="B53" s="493"/>
      <c r="C53" s="243" t="s">
        <v>631</v>
      </c>
      <c r="D53" s="240" t="s">
        <v>632</v>
      </c>
      <c r="E53" s="243" t="s">
        <v>633</v>
      </c>
      <c r="F53" s="494" t="s">
        <v>634</v>
      </c>
      <c r="G53" s="494"/>
      <c r="H53" s="494"/>
      <c r="I53" s="494"/>
      <c r="J53" s="494"/>
      <c r="K53" s="494"/>
      <c r="L53" s="494"/>
      <c r="M53" s="495"/>
      <c r="N53" s="239" t="s">
        <v>118</v>
      </c>
      <c r="O53" s="74" t="s">
        <v>252</v>
      </c>
      <c r="P53" s="496" t="s">
        <v>653</v>
      </c>
      <c r="Q53" s="497"/>
      <c r="R53" s="498" t="s">
        <v>654</v>
      </c>
      <c r="S53" s="498"/>
      <c r="T53" s="498"/>
      <c r="U53" s="498"/>
      <c r="V53" s="494" t="s">
        <v>150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118</v>
      </c>
      <c r="B54" s="493"/>
      <c r="C54" s="243" t="s">
        <v>635</v>
      </c>
      <c r="D54" s="240" t="s">
        <v>636</v>
      </c>
      <c r="E54" s="243" t="s">
        <v>637</v>
      </c>
      <c r="F54" s="494" t="s">
        <v>638</v>
      </c>
      <c r="G54" s="494"/>
      <c r="H54" s="494"/>
      <c r="I54" s="494"/>
      <c r="J54" s="494"/>
      <c r="K54" s="494"/>
      <c r="L54" s="494"/>
      <c r="M54" s="495"/>
      <c r="N54" s="239" t="s">
        <v>118</v>
      </c>
      <c r="O54" s="74" t="s">
        <v>643</v>
      </c>
      <c r="P54" s="496" t="s">
        <v>655</v>
      </c>
      <c r="Q54" s="497"/>
      <c r="R54" s="498" t="s">
        <v>645</v>
      </c>
      <c r="S54" s="498"/>
      <c r="T54" s="498"/>
      <c r="U54" s="498"/>
      <c r="V54" s="494" t="s">
        <v>656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639</v>
      </c>
      <c r="B55" s="493"/>
      <c r="C55" s="243" t="s">
        <v>640</v>
      </c>
      <c r="D55" s="240" t="s">
        <v>641</v>
      </c>
      <c r="E55" s="243" t="s">
        <v>622</v>
      </c>
      <c r="F55" s="494" t="s">
        <v>642</v>
      </c>
      <c r="G55" s="494"/>
      <c r="H55" s="494"/>
      <c r="I55" s="494"/>
      <c r="J55" s="494"/>
      <c r="K55" s="494"/>
      <c r="L55" s="494"/>
      <c r="M55" s="495"/>
      <c r="N55" s="239"/>
      <c r="O55" s="74"/>
      <c r="P55" s="496"/>
      <c r="Q55" s="497"/>
      <c r="R55" s="498"/>
      <c r="S55" s="498"/>
      <c r="T55" s="498"/>
      <c r="U55" s="498"/>
      <c r="V55" s="494"/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118</v>
      </c>
      <c r="B56" s="493"/>
      <c r="C56" s="243" t="s">
        <v>643</v>
      </c>
      <c r="D56" s="240" t="s">
        <v>644</v>
      </c>
      <c r="E56" s="243" t="s">
        <v>645</v>
      </c>
      <c r="F56" s="494" t="s">
        <v>646</v>
      </c>
      <c r="G56" s="494"/>
      <c r="H56" s="494"/>
      <c r="I56" s="494"/>
      <c r="J56" s="494"/>
      <c r="K56" s="494"/>
      <c r="L56" s="494"/>
      <c r="M56" s="495"/>
      <c r="N56" s="239"/>
      <c r="O56" s="74"/>
      <c r="P56" s="498"/>
      <c r="Q56" s="498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/>
      <c r="B57" s="493"/>
      <c r="C57" s="243"/>
      <c r="D57" s="240"/>
      <c r="E57" s="243"/>
      <c r="F57" s="494"/>
      <c r="G57" s="494"/>
      <c r="H57" s="494"/>
      <c r="I57" s="494"/>
      <c r="J57" s="494"/>
      <c r="K57" s="494"/>
      <c r="L57" s="494"/>
      <c r="M57" s="495"/>
      <c r="N57" s="239"/>
      <c r="O57" s="74"/>
      <c r="P57" s="496"/>
      <c r="Q57" s="497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/>
      <c r="B58" s="493"/>
      <c r="C58" s="243"/>
      <c r="D58" s="240"/>
      <c r="E58" s="243"/>
      <c r="F58" s="494"/>
      <c r="G58" s="494"/>
      <c r="H58" s="494"/>
      <c r="I58" s="494"/>
      <c r="J58" s="494"/>
      <c r="K58" s="494"/>
      <c r="L58" s="494"/>
      <c r="M58" s="495"/>
      <c r="N58" s="239"/>
      <c r="O58" s="74"/>
      <c r="P58" s="498"/>
      <c r="Q58" s="498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508"/>
      <c r="B59" s="498"/>
      <c r="C59" s="240"/>
      <c r="D59" s="240"/>
      <c r="E59" s="240"/>
      <c r="F59" s="494"/>
      <c r="G59" s="494"/>
      <c r="H59" s="494"/>
      <c r="I59" s="494"/>
      <c r="J59" s="494"/>
      <c r="K59" s="494"/>
      <c r="L59" s="494"/>
      <c r="M59" s="495"/>
      <c r="N59" s="239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  <c r="AF59" s="94">
        <f>8*3000</f>
        <v>24000</v>
      </c>
    </row>
    <row r="60" spans="1:32" ht="27" customHeight="1" thickBot="1">
      <c r="A60" s="499"/>
      <c r="B60" s="500"/>
      <c r="C60" s="242"/>
      <c r="D60" s="242"/>
      <c r="E60" s="242"/>
      <c r="F60" s="501"/>
      <c r="G60" s="501"/>
      <c r="H60" s="501"/>
      <c r="I60" s="501"/>
      <c r="J60" s="501"/>
      <c r="K60" s="501"/>
      <c r="L60" s="501"/>
      <c r="M60" s="502"/>
      <c r="N60" s="241"/>
      <c r="O60" s="121"/>
      <c r="P60" s="500"/>
      <c r="Q60" s="500"/>
      <c r="R60" s="500"/>
      <c r="S60" s="500"/>
      <c r="T60" s="500"/>
      <c r="U60" s="500"/>
      <c r="V60" s="501"/>
      <c r="W60" s="501"/>
      <c r="X60" s="501"/>
      <c r="Y60" s="501"/>
      <c r="Z60" s="501"/>
      <c r="AA60" s="501"/>
      <c r="AB60" s="501"/>
      <c r="AC60" s="501"/>
      <c r="AD60" s="502"/>
      <c r="AF60" s="94">
        <f>16*3000</f>
        <v>48000</v>
      </c>
    </row>
    <row r="61" spans="1:32" ht="27.75" thickBot="1">
      <c r="A61" s="503" t="s">
        <v>657</v>
      </c>
      <c r="B61" s="503"/>
      <c r="C61" s="503"/>
      <c r="D61" s="503"/>
      <c r="E61" s="503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504" t="s">
        <v>114</v>
      </c>
      <c r="B62" s="505"/>
      <c r="C62" s="238" t="s">
        <v>2</v>
      </c>
      <c r="D62" s="238" t="s">
        <v>37</v>
      </c>
      <c r="E62" s="238" t="s">
        <v>3</v>
      </c>
      <c r="F62" s="505" t="s">
        <v>111</v>
      </c>
      <c r="G62" s="505"/>
      <c r="H62" s="505"/>
      <c r="I62" s="505"/>
      <c r="J62" s="505"/>
      <c r="K62" s="505" t="s">
        <v>39</v>
      </c>
      <c r="L62" s="505"/>
      <c r="M62" s="238" t="s">
        <v>40</v>
      </c>
      <c r="N62" s="505" t="s">
        <v>41</v>
      </c>
      <c r="O62" s="505"/>
      <c r="P62" s="506" t="s">
        <v>42</v>
      </c>
      <c r="Q62" s="507"/>
      <c r="R62" s="506" t="s">
        <v>43</v>
      </c>
      <c r="S62" s="509"/>
      <c r="T62" s="509"/>
      <c r="U62" s="509"/>
      <c r="V62" s="509"/>
      <c r="W62" s="509"/>
      <c r="X62" s="509"/>
      <c r="Y62" s="509"/>
      <c r="Z62" s="509"/>
      <c r="AA62" s="507"/>
      <c r="AB62" s="505" t="s">
        <v>44</v>
      </c>
      <c r="AC62" s="505"/>
      <c r="AD62" s="510"/>
      <c r="AF62" s="94">
        <f>SUM(AF59:AF61)</f>
        <v>96000</v>
      </c>
    </row>
    <row r="63" spans="1:32" ht="25.5" customHeight="1">
      <c r="A63" s="511">
        <v>1</v>
      </c>
      <c r="B63" s="512"/>
      <c r="C63" s="124"/>
      <c r="D63" s="234"/>
      <c r="E63" s="237"/>
      <c r="F63" s="513"/>
      <c r="G63" s="514"/>
      <c r="H63" s="514"/>
      <c r="I63" s="514"/>
      <c r="J63" s="514"/>
      <c r="K63" s="514"/>
      <c r="L63" s="514"/>
      <c r="M63" s="54"/>
      <c r="N63" s="514"/>
      <c r="O63" s="514"/>
      <c r="P63" s="515"/>
      <c r="Q63" s="515"/>
      <c r="R63" s="494"/>
      <c r="S63" s="494"/>
      <c r="T63" s="494"/>
      <c r="U63" s="494"/>
      <c r="V63" s="494"/>
      <c r="W63" s="494"/>
      <c r="X63" s="494"/>
      <c r="Y63" s="494"/>
      <c r="Z63" s="494"/>
      <c r="AA63" s="494"/>
      <c r="AB63" s="514"/>
      <c r="AC63" s="514"/>
      <c r="AD63" s="516"/>
      <c r="AF63" s="53"/>
    </row>
    <row r="64" spans="1:32" ht="25.5" customHeight="1">
      <c r="A64" s="511">
        <v>2</v>
      </c>
      <c r="B64" s="512"/>
      <c r="C64" s="124"/>
      <c r="D64" s="234"/>
      <c r="E64" s="237"/>
      <c r="F64" s="513"/>
      <c r="G64" s="514"/>
      <c r="H64" s="514"/>
      <c r="I64" s="514"/>
      <c r="J64" s="514"/>
      <c r="K64" s="514"/>
      <c r="L64" s="514"/>
      <c r="M64" s="54"/>
      <c r="N64" s="514"/>
      <c r="O64" s="514"/>
      <c r="P64" s="515"/>
      <c r="Q64" s="515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3</v>
      </c>
      <c r="B65" s="512"/>
      <c r="C65" s="124"/>
      <c r="D65" s="234"/>
      <c r="E65" s="237"/>
      <c r="F65" s="513"/>
      <c r="G65" s="514"/>
      <c r="H65" s="514"/>
      <c r="I65" s="514"/>
      <c r="J65" s="514"/>
      <c r="K65" s="514"/>
      <c r="L65" s="514"/>
      <c r="M65" s="54"/>
      <c r="N65" s="514"/>
      <c r="O65" s="514"/>
      <c r="P65" s="515"/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4</v>
      </c>
      <c r="B66" s="512"/>
      <c r="C66" s="124"/>
      <c r="D66" s="234"/>
      <c r="E66" s="237"/>
      <c r="F66" s="513"/>
      <c r="G66" s="514"/>
      <c r="H66" s="514"/>
      <c r="I66" s="514"/>
      <c r="J66" s="514"/>
      <c r="K66" s="514"/>
      <c r="L66" s="514"/>
      <c r="M66" s="54"/>
      <c r="N66" s="514"/>
      <c r="O66" s="514"/>
      <c r="P66" s="515"/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5</v>
      </c>
      <c r="B67" s="512"/>
      <c r="C67" s="124"/>
      <c r="D67" s="234"/>
      <c r="E67" s="237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6</v>
      </c>
      <c r="B68" s="512"/>
      <c r="C68" s="124"/>
      <c r="D68" s="234"/>
      <c r="E68" s="237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7</v>
      </c>
      <c r="B69" s="512"/>
      <c r="C69" s="124"/>
      <c r="D69" s="234"/>
      <c r="E69" s="237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8</v>
      </c>
      <c r="B70" s="512"/>
      <c r="C70" s="124"/>
      <c r="D70" s="234"/>
      <c r="E70" s="237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6.25" customHeight="1" thickBot="1">
      <c r="A71" s="517" t="s">
        <v>658</v>
      </c>
      <c r="B71" s="517"/>
      <c r="C71" s="517"/>
      <c r="D71" s="517"/>
      <c r="E71" s="51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518" t="s">
        <v>114</v>
      </c>
      <c r="B72" s="519"/>
      <c r="C72" s="236" t="s">
        <v>2</v>
      </c>
      <c r="D72" s="236" t="s">
        <v>37</v>
      </c>
      <c r="E72" s="236" t="s">
        <v>3</v>
      </c>
      <c r="F72" s="519" t="s">
        <v>38</v>
      </c>
      <c r="G72" s="519"/>
      <c r="H72" s="519"/>
      <c r="I72" s="519"/>
      <c r="J72" s="519"/>
      <c r="K72" s="520" t="s">
        <v>59</v>
      </c>
      <c r="L72" s="521"/>
      <c r="M72" s="521"/>
      <c r="N72" s="521"/>
      <c r="O72" s="521"/>
      <c r="P72" s="521"/>
      <c r="Q72" s="521"/>
      <c r="R72" s="521"/>
      <c r="S72" s="522"/>
      <c r="T72" s="519" t="s">
        <v>49</v>
      </c>
      <c r="U72" s="519"/>
      <c r="V72" s="520" t="s">
        <v>50</v>
      </c>
      <c r="W72" s="522"/>
      <c r="X72" s="521" t="s">
        <v>51</v>
      </c>
      <c r="Y72" s="521"/>
      <c r="Z72" s="521"/>
      <c r="AA72" s="521"/>
      <c r="AB72" s="521"/>
      <c r="AC72" s="521"/>
      <c r="AD72" s="523"/>
      <c r="AF72" s="53"/>
    </row>
    <row r="73" spans="1:32" ht="33.75" customHeight="1">
      <c r="A73" s="532">
        <v>1</v>
      </c>
      <c r="B73" s="533"/>
      <c r="C73" s="235" t="s">
        <v>117</v>
      </c>
      <c r="D73" s="235"/>
      <c r="E73" s="71" t="s">
        <v>123</v>
      </c>
      <c r="F73" s="534" t="s">
        <v>124</v>
      </c>
      <c r="G73" s="535"/>
      <c r="H73" s="535"/>
      <c r="I73" s="535"/>
      <c r="J73" s="536"/>
      <c r="K73" s="537" t="s">
        <v>119</v>
      </c>
      <c r="L73" s="538"/>
      <c r="M73" s="538"/>
      <c r="N73" s="538"/>
      <c r="O73" s="538"/>
      <c r="P73" s="538"/>
      <c r="Q73" s="538"/>
      <c r="R73" s="538"/>
      <c r="S73" s="539"/>
      <c r="T73" s="540">
        <v>42901</v>
      </c>
      <c r="U73" s="541"/>
      <c r="V73" s="542"/>
      <c r="W73" s="542"/>
      <c r="X73" s="543"/>
      <c r="Y73" s="543"/>
      <c r="Z73" s="543"/>
      <c r="AA73" s="543"/>
      <c r="AB73" s="543"/>
      <c r="AC73" s="543"/>
      <c r="AD73" s="544"/>
      <c r="AF73" s="53"/>
    </row>
    <row r="74" spans="1:32" ht="30" customHeight="1">
      <c r="A74" s="524">
        <f>A73+1</f>
        <v>2</v>
      </c>
      <c r="B74" s="525"/>
      <c r="C74" s="234" t="s">
        <v>117</v>
      </c>
      <c r="D74" s="234"/>
      <c r="E74" s="35" t="s">
        <v>120</v>
      </c>
      <c r="F74" s="525" t="s">
        <v>121</v>
      </c>
      <c r="G74" s="525"/>
      <c r="H74" s="525"/>
      <c r="I74" s="525"/>
      <c r="J74" s="525"/>
      <c r="K74" s="526" t="s">
        <v>122</v>
      </c>
      <c r="L74" s="527"/>
      <c r="M74" s="527"/>
      <c r="N74" s="527"/>
      <c r="O74" s="527"/>
      <c r="P74" s="527"/>
      <c r="Q74" s="527"/>
      <c r="R74" s="527"/>
      <c r="S74" s="528"/>
      <c r="T74" s="529">
        <v>42867</v>
      </c>
      <c r="U74" s="529"/>
      <c r="V74" s="529"/>
      <c r="W74" s="529"/>
      <c r="X74" s="530"/>
      <c r="Y74" s="530"/>
      <c r="Z74" s="530"/>
      <c r="AA74" s="530"/>
      <c r="AB74" s="530"/>
      <c r="AC74" s="530"/>
      <c r="AD74" s="531"/>
      <c r="AF74" s="53"/>
    </row>
    <row r="75" spans="1:32" ht="30" customHeight="1">
      <c r="A75" s="524">
        <f t="shared" ref="A75:A81" si="13">A74+1</f>
        <v>3</v>
      </c>
      <c r="B75" s="525"/>
      <c r="C75" s="234" t="s">
        <v>133</v>
      </c>
      <c r="D75" s="234"/>
      <c r="E75" s="35" t="s">
        <v>131</v>
      </c>
      <c r="F75" s="525" t="s">
        <v>134</v>
      </c>
      <c r="G75" s="525"/>
      <c r="H75" s="525"/>
      <c r="I75" s="525"/>
      <c r="J75" s="525"/>
      <c r="K75" s="526" t="s">
        <v>119</v>
      </c>
      <c r="L75" s="527"/>
      <c r="M75" s="527"/>
      <c r="N75" s="527"/>
      <c r="O75" s="527"/>
      <c r="P75" s="527"/>
      <c r="Q75" s="527"/>
      <c r="R75" s="527"/>
      <c r="S75" s="528"/>
      <c r="T75" s="529">
        <v>42937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si="13"/>
        <v>4</v>
      </c>
      <c r="B76" s="525"/>
      <c r="C76" s="234" t="s">
        <v>118</v>
      </c>
      <c r="D76" s="234"/>
      <c r="E76" s="35" t="s">
        <v>129</v>
      </c>
      <c r="F76" s="525" t="s">
        <v>130</v>
      </c>
      <c r="G76" s="525"/>
      <c r="H76" s="525"/>
      <c r="I76" s="525"/>
      <c r="J76" s="525"/>
      <c r="K76" s="526" t="s">
        <v>132</v>
      </c>
      <c r="L76" s="527"/>
      <c r="M76" s="527"/>
      <c r="N76" s="527"/>
      <c r="O76" s="527"/>
      <c r="P76" s="527"/>
      <c r="Q76" s="527"/>
      <c r="R76" s="527"/>
      <c r="S76" s="528"/>
      <c r="T76" s="529">
        <v>42920</v>
      </c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13"/>
        <v>5</v>
      </c>
      <c r="B77" s="525"/>
      <c r="C77" s="234" t="s">
        <v>117</v>
      </c>
      <c r="D77" s="234"/>
      <c r="E77" s="35" t="s">
        <v>136</v>
      </c>
      <c r="F77" s="525" t="s">
        <v>156</v>
      </c>
      <c r="G77" s="525"/>
      <c r="H77" s="525"/>
      <c r="I77" s="525"/>
      <c r="J77" s="525"/>
      <c r="K77" s="526" t="s">
        <v>157</v>
      </c>
      <c r="L77" s="527"/>
      <c r="M77" s="527"/>
      <c r="N77" s="527"/>
      <c r="O77" s="527"/>
      <c r="P77" s="527"/>
      <c r="Q77" s="527"/>
      <c r="R77" s="527"/>
      <c r="S77" s="528"/>
      <c r="T77" s="529">
        <v>43033</v>
      </c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13"/>
        <v>6</v>
      </c>
      <c r="B78" s="525"/>
      <c r="C78" s="234"/>
      <c r="D78" s="234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13"/>
        <v>7</v>
      </c>
      <c r="B79" s="525"/>
      <c r="C79" s="234"/>
      <c r="D79" s="234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13"/>
        <v>8</v>
      </c>
      <c r="B80" s="525"/>
      <c r="C80" s="234"/>
      <c r="D80" s="234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13"/>
        <v>9</v>
      </c>
      <c r="B81" s="525"/>
      <c r="C81" s="234"/>
      <c r="D81" s="234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6" thickBot="1">
      <c r="A82" s="517" t="s">
        <v>659</v>
      </c>
      <c r="B82" s="517"/>
      <c r="C82" s="517"/>
      <c r="D82" s="517"/>
      <c r="E82" s="51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518" t="s">
        <v>114</v>
      </c>
      <c r="B83" s="519"/>
      <c r="C83" s="545" t="s">
        <v>52</v>
      </c>
      <c r="D83" s="545"/>
      <c r="E83" s="545" t="s">
        <v>53</v>
      </c>
      <c r="F83" s="545"/>
      <c r="G83" s="545"/>
      <c r="H83" s="545"/>
      <c r="I83" s="545"/>
      <c r="J83" s="545"/>
      <c r="K83" s="545" t="s">
        <v>54</v>
      </c>
      <c r="L83" s="545"/>
      <c r="M83" s="545"/>
      <c r="N83" s="545"/>
      <c r="O83" s="545"/>
      <c r="P83" s="545"/>
      <c r="Q83" s="545"/>
      <c r="R83" s="545"/>
      <c r="S83" s="545"/>
      <c r="T83" s="545" t="s">
        <v>55</v>
      </c>
      <c r="U83" s="545"/>
      <c r="V83" s="545" t="s">
        <v>56</v>
      </c>
      <c r="W83" s="545"/>
      <c r="X83" s="545"/>
      <c r="Y83" s="545" t="s">
        <v>51</v>
      </c>
      <c r="Z83" s="545"/>
      <c r="AA83" s="545"/>
      <c r="AB83" s="545"/>
      <c r="AC83" s="545"/>
      <c r="AD83" s="546"/>
      <c r="AF83" s="53"/>
    </row>
    <row r="84" spans="1:32" ht="30.75" customHeight="1">
      <c r="A84" s="532">
        <v>1</v>
      </c>
      <c r="B84" s="533"/>
      <c r="C84" s="547"/>
      <c r="D84" s="547"/>
      <c r="E84" s="547"/>
      <c r="F84" s="547"/>
      <c r="G84" s="547"/>
      <c r="H84" s="547"/>
      <c r="I84" s="547"/>
      <c r="J84" s="547"/>
      <c r="K84" s="547"/>
      <c r="L84" s="547"/>
      <c r="M84" s="547"/>
      <c r="N84" s="547"/>
      <c r="O84" s="547"/>
      <c r="P84" s="547"/>
      <c r="Q84" s="547"/>
      <c r="R84" s="547"/>
      <c r="S84" s="547"/>
      <c r="T84" s="547"/>
      <c r="U84" s="547"/>
      <c r="V84" s="548"/>
      <c r="W84" s="548"/>
      <c r="X84" s="548"/>
      <c r="Y84" s="549"/>
      <c r="Z84" s="549"/>
      <c r="AA84" s="549"/>
      <c r="AB84" s="549"/>
      <c r="AC84" s="549"/>
      <c r="AD84" s="550"/>
      <c r="AF84" s="53"/>
    </row>
    <row r="85" spans="1:32" ht="30.75" customHeight="1">
      <c r="A85" s="524">
        <v>2</v>
      </c>
      <c r="B85" s="525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9"/>
      <c r="U85" s="559"/>
      <c r="V85" s="560"/>
      <c r="W85" s="560"/>
      <c r="X85" s="560"/>
      <c r="Y85" s="551"/>
      <c r="Z85" s="551"/>
      <c r="AA85" s="551"/>
      <c r="AB85" s="551"/>
      <c r="AC85" s="551"/>
      <c r="AD85" s="552"/>
      <c r="AF85" s="53"/>
    </row>
    <row r="86" spans="1:32" ht="30.75" customHeight="1" thickBot="1">
      <c r="A86" s="553">
        <v>3</v>
      </c>
      <c r="B86" s="554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6"/>
      <c r="Z86" s="556"/>
      <c r="AA86" s="556"/>
      <c r="AB86" s="556"/>
      <c r="AC86" s="556"/>
      <c r="AD86" s="55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topLeftCell="A43" zoomScale="72" zoomScaleNormal="72" zoomScaleSheetLayoutView="70" workbookViewId="0">
      <selection activeCell="T10" sqref="T1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51" t="s">
        <v>660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6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246" t="s">
        <v>17</v>
      </c>
      <c r="L5" s="246" t="s">
        <v>18</v>
      </c>
      <c r="M5" s="246" t="s">
        <v>19</v>
      </c>
      <c r="N5" s="246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6" ht="27" customHeight="1">
      <c r="A6" s="108">
        <v>1</v>
      </c>
      <c r="B6" s="11" t="s">
        <v>149</v>
      </c>
      <c r="C6" s="37" t="s">
        <v>661</v>
      </c>
      <c r="D6" s="55"/>
      <c r="E6" s="57" t="s">
        <v>662</v>
      </c>
      <c r="F6" s="33" t="s">
        <v>663</v>
      </c>
      <c r="G6" s="12">
        <v>1</v>
      </c>
      <c r="H6" s="13">
        <v>25</v>
      </c>
      <c r="I6" s="34">
        <v>2000</v>
      </c>
      <c r="J6" s="5">
        <v>3660</v>
      </c>
      <c r="K6" s="15">
        <f>L6</f>
        <v>3655</v>
      </c>
      <c r="L6" s="15">
        <f>1042+2613</f>
        <v>3655</v>
      </c>
      <c r="M6" s="16">
        <f t="shared" ref="M6:M20" si="0">L6-N6</f>
        <v>3655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20</v>
      </c>
      <c r="Q6" s="43">
        <f t="shared" ref="Q6:Q20" si="3">SUM(R6:AA6)</f>
        <v>4</v>
      </c>
      <c r="R6" s="7">
        <v>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0.99863387978142082</v>
      </c>
      <c r="AC6" s="9">
        <f t="shared" ref="AC6:AC20" si="5">IF(P6=0,"0",(P6/24))</f>
        <v>0.83333333333333337</v>
      </c>
      <c r="AD6" s="10">
        <f t="shared" ref="AD6:AD20" si="6">AC6*AB6*(1-O6)</f>
        <v>0.83219489981785066</v>
      </c>
      <c r="AE6" s="39">
        <f t="shared" ref="AE6:AE20" si="7">$AD$21</f>
        <v>0.6162956675492981</v>
      </c>
      <c r="AF6" s="94">
        <f t="shared" ref="AF6:AF20" si="8">A6</f>
        <v>1</v>
      </c>
    </row>
    <row r="7" spans="1:36" ht="27" customHeight="1">
      <c r="A7" s="108">
        <v>2</v>
      </c>
      <c r="B7" s="11" t="s">
        <v>149</v>
      </c>
      <c r="C7" s="37" t="s">
        <v>234</v>
      </c>
      <c r="D7" s="55" t="s">
        <v>664</v>
      </c>
      <c r="E7" s="57" t="s">
        <v>665</v>
      </c>
      <c r="F7" s="33" t="s">
        <v>666</v>
      </c>
      <c r="G7" s="12">
        <v>1</v>
      </c>
      <c r="H7" s="13">
        <v>25</v>
      </c>
      <c r="I7" s="34">
        <v>4000</v>
      </c>
      <c r="J7" s="5">
        <v>3910</v>
      </c>
      <c r="K7" s="15">
        <f>L7</f>
        <v>3909</v>
      </c>
      <c r="L7" s="15">
        <f>954+2955</f>
        <v>3909</v>
      </c>
      <c r="M7" s="16">
        <f t="shared" si="0"/>
        <v>3909</v>
      </c>
      <c r="N7" s="16">
        <v>0</v>
      </c>
      <c r="O7" s="62">
        <f t="shared" si="1"/>
        <v>0</v>
      </c>
      <c r="P7" s="42">
        <f t="shared" si="2"/>
        <v>19</v>
      </c>
      <c r="Q7" s="43">
        <f t="shared" si="3"/>
        <v>5</v>
      </c>
      <c r="R7" s="7"/>
      <c r="S7" s="6">
        <v>5</v>
      </c>
      <c r="T7" s="17"/>
      <c r="U7" s="17"/>
      <c r="V7" s="18"/>
      <c r="W7" s="19"/>
      <c r="X7" s="17"/>
      <c r="Y7" s="20"/>
      <c r="Z7" s="20"/>
      <c r="AA7" s="21"/>
      <c r="AB7" s="8">
        <f t="shared" si="4"/>
        <v>0.99974424552429664</v>
      </c>
      <c r="AC7" s="9">
        <f t="shared" si="5"/>
        <v>0.79166666666666663</v>
      </c>
      <c r="AD7" s="10">
        <f t="shared" si="6"/>
        <v>0.79146419437340143</v>
      </c>
      <c r="AE7" s="39">
        <f t="shared" si="7"/>
        <v>0.6162956675492981</v>
      </c>
      <c r="AF7" s="94">
        <f t="shared" si="8"/>
        <v>2</v>
      </c>
    </row>
    <row r="8" spans="1:36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65000</v>
      </c>
      <c r="J8" s="14">
        <v>3290</v>
      </c>
      <c r="K8" s="15">
        <f>L8+452+3795+3955+5414+5383+3788+2222+5252+4546+5439+6546+3282</f>
        <v>50074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>
        <v>24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0.6162956675492981</v>
      </c>
      <c r="AF8" s="94">
        <f>A8</f>
        <v>3</v>
      </c>
    </row>
    <row r="9" spans="1:36" ht="27" customHeight="1">
      <c r="A9" s="110">
        <v>4</v>
      </c>
      <c r="B9" s="11" t="s">
        <v>58</v>
      </c>
      <c r="C9" s="37" t="s">
        <v>118</v>
      </c>
      <c r="D9" s="55" t="s">
        <v>131</v>
      </c>
      <c r="E9" s="57" t="s">
        <v>620</v>
      </c>
      <c r="F9" s="33" t="s">
        <v>146</v>
      </c>
      <c r="G9" s="36">
        <v>1</v>
      </c>
      <c r="H9" s="38">
        <v>25</v>
      </c>
      <c r="I9" s="7">
        <v>15000</v>
      </c>
      <c r="J9" s="5">
        <v>5530</v>
      </c>
      <c r="K9" s="15">
        <f>L9+3691</f>
        <v>9212</v>
      </c>
      <c r="L9" s="15">
        <f>3333+2188</f>
        <v>5521</v>
      </c>
      <c r="M9" s="16">
        <f t="shared" si="0"/>
        <v>5521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0.99837251356238699</v>
      </c>
      <c r="AC9" s="9">
        <f t="shared" si="5"/>
        <v>1</v>
      </c>
      <c r="AD9" s="10">
        <f t="shared" si="6"/>
        <v>0.99837251356238699</v>
      </c>
      <c r="AE9" s="39">
        <f t="shared" si="7"/>
        <v>0.6162956675492981</v>
      </c>
      <c r="AF9" s="94">
        <f t="shared" ref="AF9:AF10" si="9">A9</f>
        <v>4</v>
      </c>
    </row>
    <row r="10" spans="1:36" ht="27" customHeight="1">
      <c r="A10" s="110">
        <v>5</v>
      </c>
      <c r="B10" s="11" t="s">
        <v>58</v>
      </c>
      <c r="C10" s="11" t="s">
        <v>667</v>
      </c>
      <c r="D10" s="55" t="s">
        <v>668</v>
      </c>
      <c r="E10" s="57" t="s">
        <v>669</v>
      </c>
      <c r="F10" s="12" t="s">
        <v>670</v>
      </c>
      <c r="G10" s="12">
        <v>1</v>
      </c>
      <c r="H10" s="13">
        <v>25</v>
      </c>
      <c r="I10" s="34">
        <v>500</v>
      </c>
      <c r="J10" s="14">
        <v>402</v>
      </c>
      <c r="K10" s="15">
        <f>L10</f>
        <v>402</v>
      </c>
      <c r="L10" s="15">
        <v>402</v>
      </c>
      <c r="M10" s="16">
        <f t="shared" si="0"/>
        <v>402</v>
      </c>
      <c r="N10" s="16">
        <v>0</v>
      </c>
      <c r="O10" s="62">
        <f t="shared" si="1"/>
        <v>0</v>
      </c>
      <c r="P10" s="42">
        <f t="shared" si="2"/>
        <v>10</v>
      </c>
      <c r="Q10" s="43">
        <f t="shared" si="3"/>
        <v>14</v>
      </c>
      <c r="R10" s="7"/>
      <c r="S10" s="6"/>
      <c r="T10" s="17"/>
      <c r="U10" s="17"/>
      <c r="V10" s="18"/>
      <c r="W10" s="19">
        <v>14</v>
      </c>
      <c r="X10" s="17"/>
      <c r="Y10" s="20"/>
      <c r="Z10" s="20"/>
      <c r="AA10" s="21"/>
      <c r="AB10" s="8">
        <f t="shared" si="4"/>
        <v>1</v>
      </c>
      <c r="AC10" s="9">
        <f t="shared" si="5"/>
        <v>0.41666666666666669</v>
      </c>
      <c r="AD10" s="10">
        <f t="shared" si="6"/>
        <v>0.41666666666666669</v>
      </c>
      <c r="AE10" s="39">
        <f t="shared" si="7"/>
        <v>0.6162956675492981</v>
      </c>
      <c r="AF10" s="94">
        <f t="shared" si="9"/>
        <v>5</v>
      </c>
    </row>
    <row r="11" spans="1:36" ht="27" customHeight="1">
      <c r="A11" s="110">
        <v>6</v>
      </c>
      <c r="B11" s="11" t="s">
        <v>58</v>
      </c>
      <c r="C11" s="11" t="s">
        <v>173</v>
      </c>
      <c r="D11" s="55" t="s">
        <v>129</v>
      </c>
      <c r="E11" s="57" t="s">
        <v>483</v>
      </c>
      <c r="F11" s="12" t="s">
        <v>148</v>
      </c>
      <c r="G11" s="12">
        <v>1</v>
      </c>
      <c r="H11" s="13">
        <v>25</v>
      </c>
      <c r="I11" s="34">
        <v>500</v>
      </c>
      <c r="J11" s="14">
        <v>650</v>
      </c>
      <c r="K11" s="15">
        <f>L11+650</f>
        <v>650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/>
      <c r="X11" s="17"/>
      <c r="Y11" s="20"/>
      <c r="Z11" s="20"/>
      <c r="AA11" s="21">
        <v>24</v>
      </c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0.6162956675492981</v>
      </c>
      <c r="AF11" s="94">
        <f t="shared" si="8"/>
        <v>6</v>
      </c>
    </row>
    <row r="12" spans="1:36" ht="27" customHeight="1">
      <c r="A12" s="110">
        <v>7</v>
      </c>
      <c r="B12" s="11" t="s">
        <v>58</v>
      </c>
      <c r="C12" s="11" t="s">
        <v>118</v>
      </c>
      <c r="D12" s="55" t="s">
        <v>57</v>
      </c>
      <c r="E12" s="57" t="s">
        <v>160</v>
      </c>
      <c r="F12" s="12" t="s">
        <v>145</v>
      </c>
      <c r="G12" s="12">
        <v>1</v>
      </c>
      <c r="H12" s="13">
        <v>25</v>
      </c>
      <c r="I12" s="7">
        <v>62000</v>
      </c>
      <c r="J12" s="14">
        <v>2190</v>
      </c>
      <c r="K12" s="15">
        <f>L12+3062+3955+2262+4171+4492+4201+2422+2930+4783+1827+2695+1564+2934+3400+3995</f>
        <v>50882</v>
      </c>
      <c r="L12" s="15">
        <f>609+1580</f>
        <v>2189</v>
      </c>
      <c r="M12" s="16">
        <f t="shared" si="0"/>
        <v>2189</v>
      </c>
      <c r="N12" s="16">
        <v>0</v>
      </c>
      <c r="O12" s="62">
        <f t="shared" si="1"/>
        <v>0</v>
      </c>
      <c r="P12" s="42">
        <f t="shared" si="2"/>
        <v>10</v>
      </c>
      <c r="Q12" s="43">
        <f t="shared" si="3"/>
        <v>14</v>
      </c>
      <c r="R12" s="7"/>
      <c r="S12" s="6">
        <v>14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0.99954337899543377</v>
      </c>
      <c r="AC12" s="9">
        <f t="shared" si="5"/>
        <v>0.41666666666666669</v>
      </c>
      <c r="AD12" s="10">
        <f t="shared" si="6"/>
        <v>0.41647640791476409</v>
      </c>
      <c r="AE12" s="39">
        <f t="shared" si="7"/>
        <v>0.6162956675492981</v>
      </c>
      <c r="AF12" s="94">
        <f t="shared" si="8"/>
        <v>7</v>
      </c>
    </row>
    <row r="13" spans="1:36" ht="27" customHeight="1">
      <c r="A13" s="110">
        <v>8</v>
      </c>
      <c r="B13" s="11" t="s">
        <v>58</v>
      </c>
      <c r="C13" s="11" t="s">
        <v>309</v>
      </c>
      <c r="D13" s="55" t="s">
        <v>576</v>
      </c>
      <c r="E13" s="57" t="s">
        <v>577</v>
      </c>
      <c r="F13" s="12">
        <v>7301</v>
      </c>
      <c r="G13" s="12">
        <v>1</v>
      </c>
      <c r="H13" s="13">
        <v>25</v>
      </c>
      <c r="I13" s="7">
        <v>20000</v>
      </c>
      <c r="J13" s="14">
        <v>5570</v>
      </c>
      <c r="K13" s="15">
        <f>L13+3305+4685</f>
        <v>13556</v>
      </c>
      <c r="L13" s="15">
        <f>3366+2200</f>
        <v>5566</v>
      </c>
      <c r="M13" s="16">
        <f t="shared" si="0"/>
        <v>5566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0.99928186714542189</v>
      </c>
      <c r="AC13" s="9">
        <f t="shared" si="5"/>
        <v>1</v>
      </c>
      <c r="AD13" s="10">
        <f t="shared" si="6"/>
        <v>0.99928186714542189</v>
      </c>
      <c r="AE13" s="39">
        <f t="shared" si="7"/>
        <v>0.6162956675492981</v>
      </c>
      <c r="AF13" s="94">
        <f t="shared" si="8"/>
        <v>8</v>
      </c>
    </row>
    <row r="14" spans="1:36" ht="27" customHeight="1">
      <c r="A14" s="109">
        <v>9</v>
      </c>
      <c r="B14" s="11" t="s">
        <v>149</v>
      </c>
      <c r="C14" s="37" t="s">
        <v>163</v>
      </c>
      <c r="D14" s="55" t="s">
        <v>190</v>
      </c>
      <c r="E14" s="57" t="s">
        <v>436</v>
      </c>
      <c r="F14" s="33" t="s">
        <v>437</v>
      </c>
      <c r="G14" s="36">
        <v>1</v>
      </c>
      <c r="H14" s="38">
        <v>25</v>
      </c>
      <c r="I14" s="7">
        <v>11000</v>
      </c>
      <c r="J14" s="5">
        <v>2330</v>
      </c>
      <c r="K14" s="15">
        <f>L14+2030+3617+4261+2322</f>
        <v>12230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0.6162956675492981</v>
      </c>
      <c r="AF14" s="94">
        <f t="shared" si="8"/>
        <v>9</v>
      </c>
    </row>
    <row r="15" spans="1:36" ht="27" customHeight="1">
      <c r="A15" s="109">
        <v>10</v>
      </c>
      <c r="B15" s="11" t="s">
        <v>149</v>
      </c>
      <c r="C15" s="11" t="s">
        <v>195</v>
      </c>
      <c r="D15" s="55" t="s">
        <v>420</v>
      </c>
      <c r="E15" s="57" t="s">
        <v>421</v>
      </c>
      <c r="F15" s="12">
        <v>8301</v>
      </c>
      <c r="G15" s="12">
        <v>1</v>
      </c>
      <c r="H15" s="13">
        <v>20</v>
      </c>
      <c r="I15" s="34">
        <v>21000</v>
      </c>
      <c r="J15" s="14">
        <v>5550</v>
      </c>
      <c r="K15" s="15">
        <f>L15+2754+4879+4902+4434+5553</f>
        <v>28068</v>
      </c>
      <c r="L15" s="15">
        <f>3262+2284</f>
        <v>5546</v>
      </c>
      <c r="M15" s="16">
        <f t="shared" si="0"/>
        <v>5546</v>
      </c>
      <c r="N15" s="16">
        <v>0</v>
      </c>
      <c r="O15" s="62">
        <f t="shared" si="1"/>
        <v>0</v>
      </c>
      <c r="P15" s="42">
        <f t="shared" si="2"/>
        <v>24</v>
      </c>
      <c r="Q15" s="43">
        <f t="shared" si="3"/>
        <v>0</v>
      </c>
      <c r="R15" s="7"/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0.99927927927927929</v>
      </c>
      <c r="AC15" s="9">
        <f t="shared" si="5"/>
        <v>1</v>
      </c>
      <c r="AD15" s="10">
        <f t="shared" si="6"/>
        <v>0.99927927927927929</v>
      </c>
      <c r="AE15" s="39">
        <f t="shared" si="7"/>
        <v>0.6162956675492981</v>
      </c>
      <c r="AF15" s="94">
        <f t="shared" si="8"/>
        <v>10</v>
      </c>
    </row>
    <row r="16" spans="1:36" ht="27.75" customHeight="1">
      <c r="A16" s="109">
        <v>11</v>
      </c>
      <c r="B16" s="11" t="s">
        <v>149</v>
      </c>
      <c r="C16" s="11" t="s">
        <v>137</v>
      </c>
      <c r="D16" s="55" t="s">
        <v>671</v>
      </c>
      <c r="E16" s="56" t="s">
        <v>672</v>
      </c>
      <c r="F16" s="12" t="s">
        <v>673</v>
      </c>
      <c r="G16" s="36">
        <v>1</v>
      </c>
      <c r="H16" s="38">
        <v>25</v>
      </c>
      <c r="I16" s="7">
        <v>4000</v>
      </c>
      <c r="J16" s="14">
        <v>5700</v>
      </c>
      <c r="K16" s="15">
        <f>L16</f>
        <v>5700</v>
      </c>
      <c r="L16" s="15">
        <f>1880+3820</f>
        <v>5700</v>
      </c>
      <c r="M16" s="16">
        <f t="shared" si="0"/>
        <v>5700</v>
      </c>
      <c r="N16" s="16">
        <v>0</v>
      </c>
      <c r="O16" s="62">
        <f t="shared" si="1"/>
        <v>0</v>
      </c>
      <c r="P16" s="42">
        <f t="shared" si="2"/>
        <v>22</v>
      </c>
      <c r="Q16" s="43">
        <f t="shared" si="3"/>
        <v>2</v>
      </c>
      <c r="R16" s="7"/>
      <c r="S16" s="6"/>
      <c r="T16" s="17">
        <v>2</v>
      </c>
      <c r="U16" s="17"/>
      <c r="V16" s="18"/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0.91666666666666663</v>
      </c>
      <c r="AD16" s="10">
        <f t="shared" si="6"/>
        <v>0.91666666666666663</v>
      </c>
      <c r="AE16" s="39">
        <f t="shared" si="7"/>
        <v>0.6162956675492981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149</v>
      </c>
      <c r="C17" s="37" t="s">
        <v>133</v>
      </c>
      <c r="D17" s="55" t="s">
        <v>621</v>
      </c>
      <c r="E17" s="56" t="s">
        <v>622</v>
      </c>
      <c r="F17" s="12" t="s">
        <v>623</v>
      </c>
      <c r="G17" s="12">
        <v>4</v>
      </c>
      <c r="H17" s="13">
        <v>25</v>
      </c>
      <c r="I17" s="34">
        <v>11000</v>
      </c>
      <c r="J17" s="5">
        <v>16150</v>
      </c>
      <c r="K17" s="15">
        <f>L17+16148</f>
        <v>16148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0.6162956675492981</v>
      </c>
      <c r="AF17" s="94">
        <f t="shared" ref="AF17" si="10">A17</f>
        <v>12</v>
      </c>
    </row>
    <row r="18" spans="1:32" ht="27" customHeight="1">
      <c r="A18" s="110">
        <v>13</v>
      </c>
      <c r="B18" s="11" t="s">
        <v>58</v>
      </c>
      <c r="C18" s="37" t="s">
        <v>118</v>
      </c>
      <c r="D18" s="55" t="s">
        <v>131</v>
      </c>
      <c r="E18" s="57" t="s">
        <v>158</v>
      </c>
      <c r="F18" s="33" t="s">
        <v>142</v>
      </c>
      <c r="G18" s="36">
        <v>1</v>
      </c>
      <c r="H18" s="38">
        <v>25</v>
      </c>
      <c r="I18" s="7">
        <v>62000</v>
      </c>
      <c r="J18" s="5">
        <v>4660</v>
      </c>
      <c r="K18" s="15">
        <f>L18+2232+4609+1982+1137+3270+2188+1609+3870+5108+3013+1873+2963+4922+5176+4918+2267</f>
        <v>55792</v>
      </c>
      <c r="L18" s="15">
        <f>3421+1234</f>
        <v>4655</v>
      </c>
      <c r="M18" s="16">
        <f t="shared" si="0"/>
        <v>4655</v>
      </c>
      <c r="N18" s="16">
        <v>0</v>
      </c>
      <c r="O18" s="62">
        <f t="shared" si="1"/>
        <v>0</v>
      </c>
      <c r="P18" s="42">
        <f t="shared" si="2"/>
        <v>21</v>
      </c>
      <c r="Q18" s="43">
        <f t="shared" si="3"/>
        <v>3</v>
      </c>
      <c r="R18" s="7"/>
      <c r="S18" s="6">
        <v>3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0.99892703862660948</v>
      </c>
      <c r="AC18" s="9">
        <f t="shared" si="5"/>
        <v>0.875</v>
      </c>
      <c r="AD18" s="10">
        <f t="shared" si="6"/>
        <v>0.87406115879828328</v>
      </c>
      <c r="AE18" s="39">
        <f t="shared" si="7"/>
        <v>0.6162956675492981</v>
      </c>
      <c r="AF18" s="94">
        <f t="shared" si="8"/>
        <v>13</v>
      </c>
    </row>
    <row r="19" spans="1:32" ht="27" customHeight="1">
      <c r="A19" s="110">
        <v>14</v>
      </c>
      <c r="B19" s="11" t="s">
        <v>58</v>
      </c>
      <c r="C19" s="11" t="s">
        <v>118</v>
      </c>
      <c r="D19" s="55" t="s">
        <v>624</v>
      </c>
      <c r="E19" s="56" t="s">
        <v>625</v>
      </c>
      <c r="F19" s="12" t="s">
        <v>626</v>
      </c>
      <c r="G19" s="12">
        <v>1</v>
      </c>
      <c r="H19" s="38">
        <v>25</v>
      </c>
      <c r="I19" s="34">
        <v>7000</v>
      </c>
      <c r="J19" s="5">
        <v>5560</v>
      </c>
      <c r="K19" s="15">
        <f>L19+4268</f>
        <v>9828</v>
      </c>
      <c r="L19" s="15">
        <f>3350+2210</f>
        <v>5560</v>
      </c>
      <c r="M19" s="16">
        <f t="shared" si="0"/>
        <v>5560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1</v>
      </c>
      <c r="AD19" s="10">
        <f t="shared" si="6"/>
        <v>1</v>
      </c>
      <c r="AE19" s="39">
        <f t="shared" si="7"/>
        <v>0.6162956675492981</v>
      </c>
      <c r="AF19" s="94">
        <f t="shared" si="8"/>
        <v>14</v>
      </c>
    </row>
    <row r="20" spans="1:32" ht="27" customHeight="1" thickBot="1">
      <c r="A20" s="110">
        <v>15</v>
      </c>
      <c r="B20" s="11" t="s">
        <v>58</v>
      </c>
      <c r="C20" s="11" t="s">
        <v>115</v>
      </c>
      <c r="D20" s="55"/>
      <c r="E20" s="56" t="s">
        <v>250</v>
      </c>
      <c r="F20" s="12" t="s">
        <v>116</v>
      </c>
      <c r="G20" s="12">
        <v>4</v>
      </c>
      <c r="H20" s="38">
        <v>15</v>
      </c>
      <c r="I20" s="7">
        <v>300000</v>
      </c>
      <c r="J20" s="14">
        <v>69830</v>
      </c>
      <c r="K20" s="15">
        <f>L20+35456+63764+63820+27408+58684+66568+67652+67648+62848</f>
        <v>583676</v>
      </c>
      <c r="L20" s="15">
        <f>10483*4+6974*4</f>
        <v>69828</v>
      </c>
      <c r="M20" s="16">
        <f t="shared" si="0"/>
        <v>69828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0.99997135901475009</v>
      </c>
      <c r="AC20" s="9">
        <f t="shared" si="5"/>
        <v>1</v>
      </c>
      <c r="AD20" s="10">
        <f t="shared" si="6"/>
        <v>0.99997135901475009</v>
      </c>
      <c r="AE20" s="39">
        <f t="shared" si="7"/>
        <v>0.6162956675492981</v>
      </c>
      <c r="AF20" s="94">
        <f t="shared" si="8"/>
        <v>15</v>
      </c>
    </row>
    <row r="21" spans="1:32" ht="31.5" customHeight="1" thickBot="1">
      <c r="A21" s="465" t="s">
        <v>34</v>
      </c>
      <c r="B21" s="466"/>
      <c r="C21" s="466"/>
      <c r="D21" s="466"/>
      <c r="E21" s="466"/>
      <c r="F21" s="466"/>
      <c r="G21" s="466"/>
      <c r="H21" s="467"/>
      <c r="I21" s="25">
        <f t="shared" ref="I21:N21" si="11">SUM(I6:I20)</f>
        <v>585000</v>
      </c>
      <c r="J21" s="22">
        <f t="shared" si="11"/>
        <v>134982</v>
      </c>
      <c r="K21" s="23">
        <f t="shared" si="11"/>
        <v>843782</v>
      </c>
      <c r="L21" s="24">
        <f t="shared" si="11"/>
        <v>112531</v>
      </c>
      <c r="M21" s="23">
        <f t="shared" si="11"/>
        <v>112531</v>
      </c>
      <c r="N21" s="24">
        <f t="shared" si="11"/>
        <v>0</v>
      </c>
      <c r="O21" s="44">
        <f t="shared" si="1"/>
        <v>0</v>
      </c>
      <c r="P21" s="45">
        <f t="shared" ref="P21:AA21" si="12">SUM(P6:P20)</f>
        <v>222</v>
      </c>
      <c r="Q21" s="46">
        <f t="shared" si="12"/>
        <v>138</v>
      </c>
      <c r="R21" s="26">
        <f t="shared" si="12"/>
        <v>4</v>
      </c>
      <c r="S21" s="27">
        <f t="shared" si="12"/>
        <v>46</v>
      </c>
      <c r="T21" s="27">
        <f t="shared" si="12"/>
        <v>2</v>
      </c>
      <c r="U21" s="27">
        <f t="shared" si="12"/>
        <v>0</v>
      </c>
      <c r="V21" s="28">
        <f t="shared" si="12"/>
        <v>0</v>
      </c>
      <c r="W21" s="29">
        <f t="shared" si="12"/>
        <v>62</v>
      </c>
      <c r="X21" s="30">
        <f t="shared" si="12"/>
        <v>0</v>
      </c>
      <c r="Y21" s="30">
        <f t="shared" si="12"/>
        <v>0</v>
      </c>
      <c r="Z21" s="30">
        <f t="shared" si="12"/>
        <v>0</v>
      </c>
      <c r="AA21" s="30">
        <f t="shared" si="12"/>
        <v>24</v>
      </c>
      <c r="AB21" s="31">
        <f>SUM(AB6:AB20)/15</f>
        <v>0.73291690412863997</v>
      </c>
      <c r="AC21" s="4">
        <f>SUM(AC6:AC20)/15</f>
        <v>0.6166666666666667</v>
      </c>
      <c r="AD21" s="4">
        <f>SUM(AD6:AD20)/15</f>
        <v>0.6162956675492981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68" t="s">
        <v>45</v>
      </c>
      <c r="B48" s="468"/>
      <c r="C48" s="468"/>
      <c r="D48" s="468"/>
      <c r="E48" s="468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69" t="s">
        <v>674</v>
      </c>
      <c r="B49" s="470"/>
      <c r="C49" s="470"/>
      <c r="D49" s="470"/>
      <c r="E49" s="470"/>
      <c r="F49" s="470"/>
      <c r="G49" s="470"/>
      <c r="H49" s="470"/>
      <c r="I49" s="470"/>
      <c r="J49" s="470"/>
      <c r="K49" s="470"/>
      <c r="L49" s="470"/>
      <c r="M49" s="471"/>
      <c r="N49" s="472" t="s">
        <v>691</v>
      </c>
      <c r="O49" s="473"/>
      <c r="P49" s="473"/>
      <c r="Q49" s="473"/>
      <c r="R49" s="473"/>
      <c r="S49" s="473"/>
      <c r="T49" s="473"/>
      <c r="U49" s="473"/>
      <c r="V49" s="473"/>
      <c r="W49" s="473"/>
      <c r="X49" s="473"/>
      <c r="Y49" s="473"/>
      <c r="Z49" s="473"/>
      <c r="AA49" s="473"/>
      <c r="AB49" s="473"/>
      <c r="AC49" s="473"/>
      <c r="AD49" s="474"/>
    </row>
    <row r="50" spans="1:32" ht="27" customHeight="1">
      <c r="A50" s="475" t="s">
        <v>2</v>
      </c>
      <c r="B50" s="476"/>
      <c r="C50" s="247" t="s">
        <v>46</v>
      </c>
      <c r="D50" s="247" t="s">
        <v>47</v>
      </c>
      <c r="E50" s="247" t="s">
        <v>109</v>
      </c>
      <c r="F50" s="476" t="s">
        <v>108</v>
      </c>
      <c r="G50" s="476"/>
      <c r="H50" s="476"/>
      <c r="I50" s="476"/>
      <c r="J50" s="476"/>
      <c r="K50" s="476"/>
      <c r="L50" s="476"/>
      <c r="M50" s="477"/>
      <c r="N50" s="73" t="s">
        <v>113</v>
      </c>
      <c r="O50" s="247" t="s">
        <v>46</v>
      </c>
      <c r="P50" s="478" t="s">
        <v>47</v>
      </c>
      <c r="Q50" s="479"/>
      <c r="R50" s="478" t="s">
        <v>38</v>
      </c>
      <c r="S50" s="480"/>
      <c r="T50" s="480"/>
      <c r="U50" s="479"/>
      <c r="V50" s="478" t="s">
        <v>48</v>
      </c>
      <c r="W50" s="480"/>
      <c r="X50" s="480"/>
      <c r="Y50" s="480"/>
      <c r="Z50" s="480"/>
      <c r="AA50" s="480"/>
      <c r="AB50" s="480"/>
      <c r="AC50" s="480"/>
      <c r="AD50" s="481"/>
    </row>
    <row r="51" spans="1:32" ht="27" customHeight="1">
      <c r="A51" s="492" t="s">
        <v>675</v>
      </c>
      <c r="B51" s="493"/>
      <c r="C51" s="248" t="s">
        <v>676</v>
      </c>
      <c r="D51" s="249"/>
      <c r="E51" s="248" t="s">
        <v>662</v>
      </c>
      <c r="F51" s="494" t="s">
        <v>677</v>
      </c>
      <c r="G51" s="494"/>
      <c r="H51" s="494"/>
      <c r="I51" s="494"/>
      <c r="J51" s="494"/>
      <c r="K51" s="494"/>
      <c r="L51" s="494"/>
      <c r="M51" s="495"/>
      <c r="N51" s="253" t="s">
        <v>234</v>
      </c>
      <c r="O51" s="74" t="s">
        <v>635</v>
      </c>
      <c r="P51" s="496" t="s">
        <v>648</v>
      </c>
      <c r="Q51" s="497"/>
      <c r="R51" s="498" t="s">
        <v>649</v>
      </c>
      <c r="S51" s="498"/>
      <c r="T51" s="498"/>
      <c r="U51" s="498"/>
      <c r="V51" s="494" t="s">
        <v>656</v>
      </c>
      <c r="W51" s="494"/>
      <c r="X51" s="494"/>
      <c r="Y51" s="494"/>
      <c r="Z51" s="494"/>
      <c r="AA51" s="494"/>
      <c r="AB51" s="494"/>
      <c r="AC51" s="494"/>
      <c r="AD51" s="495"/>
    </row>
    <row r="52" spans="1:32" ht="27" customHeight="1">
      <c r="A52" s="492" t="s">
        <v>678</v>
      </c>
      <c r="B52" s="493"/>
      <c r="C52" s="248" t="s">
        <v>679</v>
      </c>
      <c r="D52" s="249" t="s">
        <v>680</v>
      </c>
      <c r="E52" s="248" t="s">
        <v>681</v>
      </c>
      <c r="F52" s="494" t="s">
        <v>682</v>
      </c>
      <c r="G52" s="494"/>
      <c r="H52" s="494"/>
      <c r="I52" s="494"/>
      <c r="J52" s="494"/>
      <c r="K52" s="494"/>
      <c r="L52" s="494"/>
      <c r="M52" s="495"/>
      <c r="N52" s="253" t="s">
        <v>173</v>
      </c>
      <c r="O52" s="74" t="s">
        <v>692</v>
      </c>
      <c r="P52" s="496" t="s">
        <v>693</v>
      </c>
      <c r="Q52" s="497"/>
      <c r="R52" s="498" t="s">
        <v>694</v>
      </c>
      <c r="S52" s="498"/>
      <c r="T52" s="498"/>
      <c r="U52" s="498"/>
      <c r="V52" s="494" t="s">
        <v>695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683</v>
      </c>
      <c r="B53" s="493"/>
      <c r="C53" s="248" t="s">
        <v>684</v>
      </c>
      <c r="D53" s="249" t="s">
        <v>685</v>
      </c>
      <c r="E53" s="248" t="s">
        <v>669</v>
      </c>
      <c r="F53" s="494" t="s">
        <v>677</v>
      </c>
      <c r="G53" s="494"/>
      <c r="H53" s="494"/>
      <c r="I53" s="494"/>
      <c r="J53" s="494"/>
      <c r="K53" s="494"/>
      <c r="L53" s="494"/>
      <c r="M53" s="495"/>
      <c r="N53" s="253" t="s">
        <v>118</v>
      </c>
      <c r="O53" s="74" t="s">
        <v>679</v>
      </c>
      <c r="P53" s="496" t="s">
        <v>693</v>
      </c>
      <c r="Q53" s="497"/>
      <c r="R53" s="498" t="s">
        <v>696</v>
      </c>
      <c r="S53" s="498"/>
      <c r="T53" s="498"/>
      <c r="U53" s="498"/>
      <c r="V53" s="494" t="s">
        <v>697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137</v>
      </c>
      <c r="B54" s="493"/>
      <c r="C54" s="248" t="s">
        <v>686</v>
      </c>
      <c r="D54" s="249" t="s">
        <v>664</v>
      </c>
      <c r="E54" s="248" t="s">
        <v>665</v>
      </c>
      <c r="F54" s="494" t="s">
        <v>687</v>
      </c>
      <c r="G54" s="494"/>
      <c r="H54" s="494"/>
      <c r="I54" s="494"/>
      <c r="J54" s="494"/>
      <c r="K54" s="494"/>
      <c r="L54" s="494"/>
      <c r="M54" s="495"/>
      <c r="N54" s="253" t="s">
        <v>701</v>
      </c>
      <c r="O54" s="74" t="s">
        <v>702</v>
      </c>
      <c r="P54" s="496" t="s">
        <v>703</v>
      </c>
      <c r="Q54" s="497"/>
      <c r="R54" s="498" t="s">
        <v>700</v>
      </c>
      <c r="S54" s="498"/>
      <c r="T54" s="498"/>
      <c r="U54" s="498"/>
      <c r="V54" s="494" t="s">
        <v>704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678</v>
      </c>
      <c r="B55" s="493"/>
      <c r="C55" s="248" t="s">
        <v>688</v>
      </c>
      <c r="D55" s="249" t="s">
        <v>689</v>
      </c>
      <c r="E55" s="248" t="s">
        <v>672</v>
      </c>
      <c r="F55" s="494" t="s">
        <v>642</v>
      </c>
      <c r="G55" s="494"/>
      <c r="H55" s="494"/>
      <c r="I55" s="494"/>
      <c r="J55" s="494"/>
      <c r="K55" s="494"/>
      <c r="L55" s="494"/>
      <c r="M55" s="495"/>
      <c r="N55" s="253"/>
      <c r="O55" s="74"/>
      <c r="P55" s="496"/>
      <c r="Q55" s="497"/>
      <c r="R55" s="498"/>
      <c r="S55" s="498"/>
      <c r="T55" s="498"/>
      <c r="U55" s="498"/>
      <c r="V55" s="494"/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118</v>
      </c>
      <c r="B56" s="493"/>
      <c r="C56" s="248" t="s">
        <v>643</v>
      </c>
      <c r="D56" s="249" t="s">
        <v>644</v>
      </c>
      <c r="E56" s="248" t="s">
        <v>645</v>
      </c>
      <c r="F56" s="494" t="s">
        <v>690</v>
      </c>
      <c r="G56" s="494"/>
      <c r="H56" s="494"/>
      <c r="I56" s="494"/>
      <c r="J56" s="494"/>
      <c r="K56" s="494"/>
      <c r="L56" s="494"/>
      <c r="M56" s="495"/>
      <c r="N56" s="253"/>
      <c r="O56" s="74"/>
      <c r="P56" s="498"/>
      <c r="Q56" s="498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/>
      <c r="B57" s="493"/>
      <c r="C57" s="248"/>
      <c r="D57" s="249"/>
      <c r="E57" s="248"/>
      <c r="F57" s="494"/>
      <c r="G57" s="494"/>
      <c r="H57" s="494"/>
      <c r="I57" s="494"/>
      <c r="J57" s="494"/>
      <c r="K57" s="494"/>
      <c r="L57" s="494"/>
      <c r="M57" s="495"/>
      <c r="N57" s="253"/>
      <c r="O57" s="74"/>
      <c r="P57" s="496"/>
      <c r="Q57" s="497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/>
      <c r="B58" s="493"/>
      <c r="C58" s="248"/>
      <c r="D58" s="249"/>
      <c r="E58" s="248"/>
      <c r="F58" s="494"/>
      <c r="G58" s="494"/>
      <c r="H58" s="494"/>
      <c r="I58" s="494"/>
      <c r="J58" s="494"/>
      <c r="K58" s="494"/>
      <c r="L58" s="494"/>
      <c r="M58" s="495"/>
      <c r="N58" s="253"/>
      <c r="O58" s="74"/>
      <c r="P58" s="498"/>
      <c r="Q58" s="498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508"/>
      <c r="B59" s="498"/>
      <c r="C59" s="249"/>
      <c r="D59" s="249"/>
      <c r="E59" s="249"/>
      <c r="F59" s="494"/>
      <c r="G59" s="494"/>
      <c r="H59" s="494"/>
      <c r="I59" s="494"/>
      <c r="J59" s="494"/>
      <c r="K59" s="494"/>
      <c r="L59" s="494"/>
      <c r="M59" s="495"/>
      <c r="N59" s="253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  <c r="AF59" s="94">
        <f>8*3000</f>
        <v>24000</v>
      </c>
    </row>
    <row r="60" spans="1:32" ht="27" customHeight="1" thickBot="1">
      <c r="A60" s="499"/>
      <c r="B60" s="500"/>
      <c r="C60" s="251"/>
      <c r="D60" s="251"/>
      <c r="E60" s="251"/>
      <c r="F60" s="501"/>
      <c r="G60" s="501"/>
      <c r="H60" s="501"/>
      <c r="I60" s="501"/>
      <c r="J60" s="501"/>
      <c r="K60" s="501"/>
      <c r="L60" s="501"/>
      <c r="M60" s="502"/>
      <c r="N60" s="250"/>
      <c r="O60" s="121"/>
      <c r="P60" s="500"/>
      <c r="Q60" s="500"/>
      <c r="R60" s="500"/>
      <c r="S60" s="500"/>
      <c r="T60" s="500"/>
      <c r="U60" s="500"/>
      <c r="V60" s="501"/>
      <c r="W60" s="501"/>
      <c r="X60" s="501"/>
      <c r="Y60" s="501"/>
      <c r="Z60" s="501"/>
      <c r="AA60" s="501"/>
      <c r="AB60" s="501"/>
      <c r="AC60" s="501"/>
      <c r="AD60" s="502"/>
      <c r="AF60" s="94">
        <f>16*3000</f>
        <v>48000</v>
      </c>
    </row>
    <row r="61" spans="1:32" ht="27.75" thickBot="1">
      <c r="A61" s="503" t="s">
        <v>698</v>
      </c>
      <c r="B61" s="503"/>
      <c r="C61" s="503"/>
      <c r="D61" s="503"/>
      <c r="E61" s="503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504" t="s">
        <v>114</v>
      </c>
      <c r="B62" s="505"/>
      <c r="C62" s="252" t="s">
        <v>2</v>
      </c>
      <c r="D62" s="252" t="s">
        <v>37</v>
      </c>
      <c r="E62" s="252" t="s">
        <v>3</v>
      </c>
      <c r="F62" s="505" t="s">
        <v>111</v>
      </c>
      <c r="G62" s="505"/>
      <c r="H62" s="505"/>
      <c r="I62" s="505"/>
      <c r="J62" s="505"/>
      <c r="K62" s="505" t="s">
        <v>39</v>
      </c>
      <c r="L62" s="505"/>
      <c r="M62" s="252" t="s">
        <v>40</v>
      </c>
      <c r="N62" s="505" t="s">
        <v>41</v>
      </c>
      <c r="O62" s="505"/>
      <c r="P62" s="506" t="s">
        <v>42</v>
      </c>
      <c r="Q62" s="507"/>
      <c r="R62" s="506" t="s">
        <v>43</v>
      </c>
      <c r="S62" s="509"/>
      <c r="T62" s="509"/>
      <c r="U62" s="509"/>
      <c r="V62" s="509"/>
      <c r="W62" s="509"/>
      <c r="X62" s="509"/>
      <c r="Y62" s="509"/>
      <c r="Z62" s="509"/>
      <c r="AA62" s="507"/>
      <c r="AB62" s="505" t="s">
        <v>44</v>
      </c>
      <c r="AC62" s="505"/>
      <c r="AD62" s="510"/>
      <c r="AF62" s="94">
        <f>SUM(AF59:AF61)</f>
        <v>96000</v>
      </c>
    </row>
    <row r="63" spans="1:32" ht="25.5" customHeight="1">
      <c r="A63" s="511">
        <v>1</v>
      </c>
      <c r="B63" s="512"/>
      <c r="C63" s="124"/>
      <c r="D63" s="256"/>
      <c r="E63" s="254"/>
      <c r="F63" s="513"/>
      <c r="G63" s="514"/>
      <c r="H63" s="514"/>
      <c r="I63" s="514"/>
      <c r="J63" s="514"/>
      <c r="K63" s="514"/>
      <c r="L63" s="514"/>
      <c r="M63" s="54"/>
      <c r="N63" s="514"/>
      <c r="O63" s="514"/>
      <c r="P63" s="515"/>
      <c r="Q63" s="515"/>
      <c r="R63" s="494"/>
      <c r="S63" s="494"/>
      <c r="T63" s="494"/>
      <c r="U63" s="494"/>
      <c r="V63" s="494"/>
      <c r="W63" s="494"/>
      <c r="X63" s="494"/>
      <c r="Y63" s="494"/>
      <c r="Z63" s="494"/>
      <c r="AA63" s="494"/>
      <c r="AB63" s="514"/>
      <c r="AC63" s="514"/>
      <c r="AD63" s="516"/>
      <c r="AF63" s="53"/>
    </row>
    <row r="64" spans="1:32" ht="25.5" customHeight="1">
      <c r="A64" s="511">
        <v>2</v>
      </c>
      <c r="B64" s="512"/>
      <c r="C64" s="124"/>
      <c r="D64" s="256"/>
      <c r="E64" s="254"/>
      <c r="F64" s="513"/>
      <c r="G64" s="514"/>
      <c r="H64" s="514"/>
      <c r="I64" s="514"/>
      <c r="J64" s="514"/>
      <c r="K64" s="514"/>
      <c r="L64" s="514"/>
      <c r="M64" s="54"/>
      <c r="N64" s="514"/>
      <c r="O64" s="514"/>
      <c r="P64" s="515"/>
      <c r="Q64" s="515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3</v>
      </c>
      <c r="B65" s="512"/>
      <c r="C65" s="124"/>
      <c r="D65" s="256"/>
      <c r="E65" s="254"/>
      <c r="F65" s="513"/>
      <c r="G65" s="514"/>
      <c r="H65" s="514"/>
      <c r="I65" s="514"/>
      <c r="J65" s="514"/>
      <c r="K65" s="514"/>
      <c r="L65" s="514"/>
      <c r="M65" s="54"/>
      <c r="N65" s="514"/>
      <c r="O65" s="514"/>
      <c r="P65" s="515"/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4</v>
      </c>
      <c r="B66" s="512"/>
      <c r="C66" s="124"/>
      <c r="D66" s="256"/>
      <c r="E66" s="254"/>
      <c r="F66" s="513"/>
      <c r="G66" s="514"/>
      <c r="H66" s="514"/>
      <c r="I66" s="514"/>
      <c r="J66" s="514"/>
      <c r="K66" s="514"/>
      <c r="L66" s="514"/>
      <c r="M66" s="54"/>
      <c r="N66" s="514"/>
      <c r="O66" s="514"/>
      <c r="P66" s="515"/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5</v>
      </c>
      <c r="B67" s="512"/>
      <c r="C67" s="124"/>
      <c r="D67" s="256"/>
      <c r="E67" s="254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6</v>
      </c>
      <c r="B68" s="512"/>
      <c r="C68" s="124"/>
      <c r="D68" s="256"/>
      <c r="E68" s="254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7</v>
      </c>
      <c r="B69" s="512"/>
      <c r="C69" s="124"/>
      <c r="D69" s="256"/>
      <c r="E69" s="254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8</v>
      </c>
      <c r="B70" s="512"/>
      <c r="C70" s="124"/>
      <c r="D70" s="256"/>
      <c r="E70" s="254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6.25" customHeight="1" thickBot="1">
      <c r="A71" s="517" t="s">
        <v>699</v>
      </c>
      <c r="B71" s="517"/>
      <c r="C71" s="517"/>
      <c r="D71" s="517"/>
      <c r="E71" s="51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518" t="s">
        <v>114</v>
      </c>
      <c r="B72" s="519"/>
      <c r="C72" s="255" t="s">
        <v>2</v>
      </c>
      <c r="D72" s="255" t="s">
        <v>37</v>
      </c>
      <c r="E72" s="255" t="s">
        <v>3</v>
      </c>
      <c r="F72" s="519" t="s">
        <v>38</v>
      </c>
      <c r="G72" s="519"/>
      <c r="H72" s="519"/>
      <c r="I72" s="519"/>
      <c r="J72" s="519"/>
      <c r="K72" s="520" t="s">
        <v>59</v>
      </c>
      <c r="L72" s="521"/>
      <c r="M72" s="521"/>
      <c r="N72" s="521"/>
      <c r="O72" s="521"/>
      <c r="P72" s="521"/>
      <c r="Q72" s="521"/>
      <c r="R72" s="521"/>
      <c r="S72" s="522"/>
      <c r="T72" s="519" t="s">
        <v>49</v>
      </c>
      <c r="U72" s="519"/>
      <c r="V72" s="520" t="s">
        <v>50</v>
      </c>
      <c r="W72" s="522"/>
      <c r="X72" s="521" t="s">
        <v>51</v>
      </c>
      <c r="Y72" s="521"/>
      <c r="Z72" s="521"/>
      <c r="AA72" s="521"/>
      <c r="AB72" s="521"/>
      <c r="AC72" s="521"/>
      <c r="AD72" s="523"/>
      <c r="AF72" s="53"/>
    </row>
    <row r="73" spans="1:32" ht="33.75" customHeight="1">
      <c r="A73" s="532">
        <v>1</v>
      </c>
      <c r="B73" s="533"/>
      <c r="C73" s="257" t="s">
        <v>117</v>
      </c>
      <c r="D73" s="257"/>
      <c r="E73" s="71" t="s">
        <v>123</v>
      </c>
      <c r="F73" s="534" t="s">
        <v>124</v>
      </c>
      <c r="G73" s="535"/>
      <c r="H73" s="535"/>
      <c r="I73" s="535"/>
      <c r="J73" s="536"/>
      <c r="K73" s="537" t="s">
        <v>119</v>
      </c>
      <c r="L73" s="538"/>
      <c r="M73" s="538"/>
      <c r="N73" s="538"/>
      <c r="O73" s="538"/>
      <c r="P73" s="538"/>
      <c r="Q73" s="538"/>
      <c r="R73" s="538"/>
      <c r="S73" s="539"/>
      <c r="T73" s="540">
        <v>42901</v>
      </c>
      <c r="U73" s="541"/>
      <c r="V73" s="542"/>
      <c r="W73" s="542"/>
      <c r="X73" s="543"/>
      <c r="Y73" s="543"/>
      <c r="Z73" s="543"/>
      <c r="AA73" s="543"/>
      <c r="AB73" s="543"/>
      <c r="AC73" s="543"/>
      <c r="AD73" s="544"/>
      <c r="AF73" s="53"/>
    </row>
    <row r="74" spans="1:32" ht="30" customHeight="1">
      <c r="A74" s="524">
        <f>A73+1</f>
        <v>2</v>
      </c>
      <c r="B74" s="525"/>
      <c r="C74" s="256" t="s">
        <v>117</v>
      </c>
      <c r="D74" s="256"/>
      <c r="E74" s="35" t="s">
        <v>120</v>
      </c>
      <c r="F74" s="525" t="s">
        <v>121</v>
      </c>
      <c r="G74" s="525"/>
      <c r="H74" s="525"/>
      <c r="I74" s="525"/>
      <c r="J74" s="525"/>
      <c r="K74" s="526" t="s">
        <v>122</v>
      </c>
      <c r="L74" s="527"/>
      <c r="M74" s="527"/>
      <c r="N74" s="527"/>
      <c r="O74" s="527"/>
      <c r="P74" s="527"/>
      <c r="Q74" s="527"/>
      <c r="R74" s="527"/>
      <c r="S74" s="528"/>
      <c r="T74" s="529">
        <v>42867</v>
      </c>
      <c r="U74" s="529"/>
      <c r="V74" s="529"/>
      <c r="W74" s="529"/>
      <c r="X74" s="530"/>
      <c r="Y74" s="530"/>
      <c r="Z74" s="530"/>
      <c r="AA74" s="530"/>
      <c r="AB74" s="530"/>
      <c r="AC74" s="530"/>
      <c r="AD74" s="531"/>
      <c r="AF74" s="53"/>
    </row>
    <row r="75" spans="1:32" ht="30" customHeight="1">
      <c r="A75" s="524">
        <f t="shared" ref="A75:A81" si="13">A74+1</f>
        <v>3</v>
      </c>
      <c r="B75" s="525"/>
      <c r="C75" s="256" t="s">
        <v>133</v>
      </c>
      <c r="D75" s="256"/>
      <c r="E75" s="35" t="s">
        <v>131</v>
      </c>
      <c r="F75" s="525" t="s">
        <v>134</v>
      </c>
      <c r="G75" s="525"/>
      <c r="H75" s="525"/>
      <c r="I75" s="525"/>
      <c r="J75" s="525"/>
      <c r="K75" s="526" t="s">
        <v>119</v>
      </c>
      <c r="L75" s="527"/>
      <c r="M75" s="527"/>
      <c r="N75" s="527"/>
      <c r="O75" s="527"/>
      <c r="P75" s="527"/>
      <c r="Q75" s="527"/>
      <c r="R75" s="527"/>
      <c r="S75" s="528"/>
      <c r="T75" s="529">
        <v>42937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si="13"/>
        <v>4</v>
      </c>
      <c r="B76" s="525"/>
      <c r="C76" s="256" t="s">
        <v>118</v>
      </c>
      <c r="D76" s="256"/>
      <c r="E76" s="35" t="s">
        <v>129</v>
      </c>
      <c r="F76" s="525" t="s">
        <v>130</v>
      </c>
      <c r="G76" s="525"/>
      <c r="H76" s="525"/>
      <c r="I76" s="525"/>
      <c r="J76" s="525"/>
      <c r="K76" s="526" t="s">
        <v>132</v>
      </c>
      <c r="L76" s="527"/>
      <c r="M76" s="527"/>
      <c r="N76" s="527"/>
      <c r="O76" s="527"/>
      <c r="P76" s="527"/>
      <c r="Q76" s="527"/>
      <c r="R76" s="527"/>
      <c r="S76" s="528"/>
      <c r="T76" s="529">
        <v>42920</v>
      </c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13"/>
        <v>5</v>
      </c>
      <c r="B77" s="525"/>
      <c r="C77" s="256"/>
      <c r="D77" s="256"/>
      <c r="E77" s="35"/>
      <c r="F77" s="525"/>
      <c r="G77" s="525"/>
      <c r="H77" s="525"/>
      <c r="I77" s="525"/>
      <c r="J77" s="525"/>
      <c r="K77" s="526"/>
      <c r="L77" s="527"/>
      <c r="M77" s="527"/>
      <c r="N77" s="527"/>
      <c r="O77" s="527"/>
      <c r="P77" s="527"/>
      <c r="Q77" s="527"/>
      <c r="R77" s="527"/>
      <c r="S77" s="528"/>
      <c r="T77" s="529"/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13"/>
        <v>6</v>
      </c>
      <c r="B78" s="525"/>
      <c r="C78" s="256"/>
      <c r="D78" s="256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13"/>
        <v>7</v>
      </c>
      <c r="B79" s="525"/>
      <c r="C79" s="256"/>
      <c r="D79" s="256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13"/>
        <v>8</v>
      </c>
      <c r="B80" s="525"/>
      <c r="C80" s="256"/>
      <c r="D80" s="256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13"/>
        <v>9</v>
      </c>
      <c r="B81" s="525"/>
      <c r="C81" s="256"/>
      <c r="D81" s="256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6" thickBot="1">
      <c r="A82" s="517" t="s">
        <v>705</v>
      </c>
      <c r="B82" s="517"/>
      <c r="C82" s="517"/>
      <c r="D82" s="517"/>
      <c r="E82" s="51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518" t="s">
        <v>114</v>
      </c>
      <c r="B83" s="519"/>
      <c r="C83" s="545" t="s">
        <v>52</v>
      </c>
      <c r="D83" s="545"/>
      <c r="E83" s="545" t="s">
        <v>53</v>
      </c>
      <c r="F83" s="545"/>
      <c r="G83" s="545"/>
      <c r="H83" s="545"/>
      <c r="I83" s="545"/>
      <c r="J83" s="545"/>
      <c r="K83" s="545" t="s">
        <v>54</v>
      </c>
      <c r="L83" s="545"/>
      <c r="M83" s="545"/>
      <c r="N83" s="545"/>
      <c r="O83" s="545"/>
      <c r="P83" s="545"/>
      <c r="Q83" s="545"/>
      <c r="R83" s="545"/>
      <c r="S83" s="545"/>
      <c r="T83" s="545" t="s">
        <v>55</v>
      </c>
      <c r="U83" s="545"/>
      <c r="V83" s="545" t="s">
        <v>56</v>
      </c>
      <c r="W83" s="545"/>
      <c r="X83" s="545"/>
      <c r="Y83" s="545" t="s">
        <v>51</v>
      </c>
      <c r="Z83" s="545"/>
      <c r="AA83" s="545"/>
      <c r="AB83" s="545"/>
      <c r="AC83" s="545"/>
      <c r="AD83" s="546"/>
      <c r="AF83" s="53"/>
    </row>
    <row r="84" spans="1:32" ht="30.75" customHeight="1">
      <c r="A84" s="532">
        <v>1</v>
      </c>
      <c r="B84" s="533"/>
      <c r="C84" s="547"/>
      <c r="D84" s="547"/>
      <c r="E84" s="547"/>
      <c r="F84" s="547"/>
      <c r="G84" s="547"/>
      <c r="H84" s="547"/>
      <c r="I84" s="547"/>
      <c r="J84" s="547"/>
      <c r="K84" s="547"/>
      <c r="L84" s="547"/>
      <c r="M84" s="547"/>
      <c r="N84" s="547"/>
      <c r="O84" s="547"/>
      <c r="P84" s="547"/>
      <c r="Q84" s="547"/>
      <c r="R84" s="547"/>
      <c r="S84" s="547"/>
      <c r="T84" s="547"/>
      <c r="U84" s="547"/>
      <c r="V84" s="548"/>
      <c r="W84" s="548"/>
      <c r="X84" s="548"/>
      <c r="Y84" s="549"/>
      <c r="Z84" s="549"/>
      <c r="AA84" s="549"/>
      <c r="AB84" s="549"/>
      <c r="AC84" s="549"/>
      <c r="AD84" s="550"/>
      <c r="AF84" s="53"/>
    </row>
    <row r="85" spans="1:32" ht="30.75" customHeight="1">
      <c r="A85" s="524">
        <v>2</v>
      </c>
      <c r="B85" s="525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9"/>
      <c r="U85" s="559"/>
      <c r="V85" s="560"/>
      <c r="W85" s="560"/>
      <c r="X85" s="560"/>
      <c r="Y85" s="551"/>
      <c r="Z85" s="551"/>
      <c r="AA85" s="551"/>
      <c r="AB85" s="551"/>
      <c r="AC85" s="551"/>
      <c r="AD85" s="552"/>
      <c r="AF85" s="53"/>
    </row>
    <row r="86" spans="1:32" ht="30.75" customHeight="1" thickBot="1">
      <c r="A86" s="553">
        <v>3</v>
      </c>
      <c r="B86" s="554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6"/>
      <c r="Z86" s="556"/>
      <c r="AA86" s="556"/>
      <c r="AB86" s="556"/>
      <c r="AC86" s="556"/>
      <c r="AD86" s="55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7"/>
  <sheetViews>
    <sheetView topLeftCell="A46" zoomScale="72" zoomScaleNormal="72" zoomScaleSheetLayoutView="70" workbookViewId="0">
      <selection activeCell="A84" sqref="A84:B8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51" t="s">
        <v>706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2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269" t="s">
        <v>17</v>
      </c>
      <c r="L5" s="269" t="s">
        <v>18</v>
      </c>
      <c r="M5" s="269" t="s">
        <v>19</v>
      </c>
      <c r="N5" s="26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2" ht="27" customHeight="1">
      <c r="A6" s="108">
        <v>1</v>
      </c>
      <c r="B6" s="11" t="s">
        <v>149</v>
      </c>
      <c r="C6" s="37" t="s">
        <v>661</v>
      </c>
      <c r="D6" s="55"/>
      <c r="E6" s="57" t="s">
        <v>662</v>
      </c>
      <c r="F6" s="33" t="s">
        <v>663</v>
      </c>
      <c r="G6" s="12">
        <v>1</v>
      </c>
      <c r="H6" s="13">
        <v>25</v>
      </c>
      <c r="I6" s="34">
        <v>2000</v>
      </c>
      <c r="J6" s="5">
        <v>1130</v>
      </c>
      <c r="K6" s="15">
        <f>L6+3655</f>
        <v>4782</v>
      </c>
      <c r="L6" s="15">
        <v>1127</v>
      </c>
      <c r="M6" s="16">
        <f t="shared" ref="M6:M21" si="0">L6-N6</f>
        <v>1127</v>
      </c>
      <c r="N6" s="16">
        <v>0</v>
      </c>
      <c r="O6" s="62">
        <f t="shared" ref="O6:O22" si="1">IF(L6=0,"0",N6/L6)</f>
        <v>0</v>
      </c>
      <c r="P6" s="42">
        <f t="shared" ref="P6:P21" si="2">IF(L6=0,"0",(24-Q6))</f>
        <v>6</v>
      </c>
      <c r="Q6" s="43">
        <f t="shared" ref="Q6:Q21" si="3">SUM(R6:AA6)</f>
        <v>18</v>
      </c>
      <c r="R6" s="7"/>
      <c r="S6" s="6"/>
      <c r="T6" s="17"/>
      <c r="U6" s="17"/>
      <c r="V6" s="18"/>
      <c r="W6" s="19">
        <v>18</v>
      </c>
      <c r="X6" s="17"/>
      <c r="Y6" s="20"/>
      <c r="Z6" s="20"/>
      <c r="AA6" s="21"/>
      <c r="AB6" s="8">
        <f t="shared" ref="AB6:AB21" si="4">IF(J6=0,"0",(L6/J6))</f>
        <v>0.99734513274336278</v>
      </c>
      <c r="AC6" s="9">
        <f t="shared" ref="AC6:AC21" si="5">IF(P6=0,"0",(P6/24))</f>
        <v>0.25</v>
      </c>
      <c r="AD6" s="10">
        <f t="shared" ref="AD6:AD21" si="6">AC6*AB6*(1-O6)</f>
        <v>0.2493362831858407</v>
      </c>
      <c r="AE6" s="39">
        <f t="shared" ref="AE6:AE21" si="7">$AD$22</f>
        <v>0.49392861469052768</v>
      </c>
      <c r="AF6" s="94">
        <f t="shared" ref="AF6:AF21" si="8">A6</f>
        <v>1</v>
      </c>
    </row>
    <row r="7" spans="1:32" ht="27" customHeight="1">
      <c r="A7" s="108">
        <v>1</v>
      </c>
      <c r="B7" s="11" t="s">
        <v>149</v>
      </c>
      <c r="C7" s="37" t="s">
        <v>707</v>
      </c>
      <c r="D7" s="55" t="s">
        <v>708</v>
      </c>
      <c r="E7" s="57" t="s">
        <v>709</v>
      </c>
      <c r="F7" s="33" t="s">
        <v>710</v>
      </c>
      <c r="G7" s="12">
        <v>3</v>
      </c>
      <c r="H7" s="13">
        <v>25</v>
      </c>
      <c r="I7" s="34">
        <v>100000</v>
      </c>
      <c r="J7" s="5">
        <v>7190</v>
      </c>
      <c r="K7" s="15">
        <f>L7</f>
        <v>7182</v>
      </c>
      <c r="L7" s="15">
        <f>2394*3</f>
        <v>7182</v>
      </c>
      <c r="M7" s="16">
        <f t="shared" ref="M7" si="9">L7-N7</f>
        <v>7182</v>
      </c>
      <c r="N7" s="16">
        <v>0</v>
      </c>
      <c r="O7" s="62">
        <f t="shared" ref="O7" si="10">IF(L7=0,"0",N7/L7)</f>
        <v>0</v>
      </c>
      <c r="P7" s="42">
        <f t="shared" ref="P7" si="11">IF(L7=0,"0",(24-Q7))</f>
        <v>16</v>
      </c>
      <c r="Q7" s="43">
        <f t="shared" ref="Q7" si="12">SUM(R7:AA7)</f>
        <v>8</v>
      </c>
      <c r="R7" s="7"/>
      <c r="S7" s="6"/>
      <c r="T7" s="17">
        <v>8</v>
      </c>
      <c r="U7" s="17"/>
      <c r="V7" s="18"/>
      <c r="W7" s="19"/>
      <c r="X7" s="17"/>
      <c r="Y7" s="20"/>
      <c r="Z7" s="20"/>
      <c r="AA7" s="21"/>
      <c r="AB7" s="8">
        <f t="shared" ref="AB7" si="13">IF(J7=0,"0",(L7/J7))</f>
        <v>0.99888734353268427</v>
      </c>
      <c r="AC7" s="9">
        <f t="shared" ref="AC7" si="14">IF(P7=0,"0",(P7/24))</f>
        <v>0.66666666666666663</v>
      </c>
      <c r="AD7" s="10">
        <f t="shared" ref="AD7" si="15">AC7*AB7*(1-O7)</f>
        <v>0.66592489568845614</v>
      </c>
      <c r="AE7" s="39">
        <f t="shared" si="7"/>
        <v>0.49392861469052768</v>
      </c>
      <c r="AF7" s="94">
        <f t="shared" ref="AF7" si="16">A7</f>
        <v>1</v>
      </c>
    </row>
    <row r="8" spans="1:32" ht="27" customHeight="1">
      <c r="A8" s="108">
        <v>2</v>
      </c>
      <c r="B8" s="11" t="s">
        <v>149</v>
      </c>
      <c r="C8" s="37" t="s">
        <v>234</v>
      </c>
      <c r="D8" s="55" t="s">
        <v>664</v>
      </c>
      <c r="E8" s="57" t="s">
        <v>665</v>
      </c>
      <c r="F8" s="33" t="s">
        <v>666</v>
      </c>
      <c r="G8" s="12">
        <v>1</v>
      </c>
      <c r="H8" s="13">
        <v>25</v>
      </c>
      <c r="I8" s="34">
        <v>4000</v>
      </c>
      <c r="J8" s="5">
        <v>2650</v>
      </c>
      <c r="K8" s="15">
        <f>L8+3909</f>
        <v>6559</v>
      </c>
      <c r="L8" s="15">
        <f>776+1874</f>
        <v>2650</v>
      </c>
      <c r="M8" s="16">
        <f t="shared" si="0"/>
        <v>2650</v>
      </c>
      <c r="N8" s="16">
        <v>0</v>
      </c>
      <c r="O8" s="62">
        <f t="shared" si="1"/>
        <v>0</v>
      </c>
      <c r="P8" s="42">
        <f t="shared" si="2"/>
        <v>17</v>
      </c>
      <c r="Q8" s="43">
        <f t="shared" si="3"/>
        <v>7</v>
      </c>
      <c r="R8" s="7"/>
      <c r="S8" s="6">
        <v>7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0.70833333333333337</v>
      </c>
      <c r="AD8" s="10">
        <f t="shared" si="6"/>
        <v>0.70833333333333337</v>
      </c>
      <c r="AE8" s="39">
        <f t="shared" si="7"/>
        <v>0.49392861469052768</v>
      </c>
      <c r="AF8" s="94">
        <f t="shared" si="8"/>
        <v>2</v>
      </c>
    </row>
    <row r="9" spans="1:32" ht="27" customHeight="1">
      <c r="A9" s="109">
        <v>3</v>
      </c>
      <c r="B9" s="11" t="s">
        <v>58</v>
      </c>
      <c r="C9" s="11" t="s">
        <v>118</v>
      </c>
      <c r="D9" s="55" t="s">
        <v>164</v>
      </c>
      <c r="E9" s="56" t="s">
        <v>165</v>
      </c>
      <c r="F9" s="12" t="s">
        <v>135</v>
      </c>
      <c r="G9" s="12">
        <v>1</v>
      </c>
      <c r="H9" s="13">
        <v>25</v>
      </c>
      <c r="I9" s="34">
        <v>65000</v>
      </c>
      <c r="J9" s="14">
        <v>3050</v>
      </c>
      <c r="K9" s="15">
        <f>L9+452+3795+3955+5414+5383+3788+2222+5252+4546+5439+6546+3282</f>
        <v>53120</v>
      </c>
      <c r="L9" s="15">
        <v>3046</v>
      </c>
      <c r="M9" s="16">
        <f t="shared" si="0"/>
        <v>3046</v>
      </c>
      <c r="N9" s="16">
        <v>0</v>
      </c>
      <c r="O9" s="62">
        <f t="shared" si="1"/>
        <v>0</v>
      </c>
      <c r="P9" s="42">
        <f t="shared" si="2"/>
        <v>15</v>
      </c>
      <c r="Q9" s="43">
        <f t="shared" si="3"/>
        <v>9</v>
      </c>
      <c r="R9" s="7"/>
      <c r="S9" s="6">
        <v>9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0.99868852459016388</v>
      </c>
      <c r="AC9" s="9">
        <f t="shared" si="5"/>
        <v>0.625</v>
      </c>
      <c r="AD9" s="10">
        <f t="shared" si="6"/>
        <v>0.62418032786885247</v>
      </c>
      <c r="AE9" s="39">
        <f t="shared" si="7"/>
        <v>0.49392861469052768</v>
      </c>
      <c r="AF9" s="94">
        <f>A9</f>
        <v>3</v>
      </c>
    </row>
    <row r="10" spans="1:32" ht="27" customHeight="1">
      <c r="A10" s="110">
        <v>4</v>
      </c>
      <c r="B10" s="11" t="s">
        <v>58</v>
      </c>
      <c r="C10" s="37" t="s">
        <v>118</v>
      </c>
      <c r="D10" s="55" t="s">
        <v>131</v>
      </c>
      <c r="E10" s="57" t="s">
        <v>620</v>
      </c>
      <c r="F10" s="33" t="s">
        <v>146</v>
      </c>
      <c r="G10" s="36">
        <v>1</v>
      </c>
      <c r="H10" s="38">
        <v>25</v>
      </c>
      <c r="I10" s="7">
        <v>15000</v>
      </c>
      <c r="J10" s="5">
        <v>1620</v>
      </c>
      <c r="K10" s="15">
        <f>L10+3691+5521</f>
        <v>10831</v>
      </c>
      <c r="L10" s="15">
        <f>1619</f>
        <v>1619</v>
      </c>
      <c r="M10" s="16">
        <f t="shared" si="0"/>
        <v>1619</v>
      </c>
      <c r="N10" s="16">
        <v>0</v>
      </c>
      <c r="O10" s="62">
        <f t="shared" si="1"/>
        <v>0</v>
      </c>
      <c r="P10" s="42">
        <f t="shared" si="2"/>
        <v>10</v>
      </c>
      <c r="Q10" s="43">
        <f t="shared" si="3"/>
        <v>14</v>
      </c>
      <c r="R10" s="7"/>
      <c r="S10" s="6">
        <v>14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0.99938271604938267</v>
      </c>
      <c r="AC10" s="9">
        <f t="shared" si="5"/>
        <v>0.41666666666666669</v>
      </c>
      <c r="AD10" s="10">
        <f t="shared" si="6"/>
        <v>0.41640946502057613</v>
      </c>
      <c r="AE10" s="39">
        <f t="shared" si="7"/>
        <v>0.49392861469052768</v>
      </c>
      <c r="AF10" s="94">
        <f t="shared" ref="AF10:AF11" si="17">A10</f>
        <v>4</v>
      </c>
    </row>
    <row r="11" spans="1:32" ht="27" customHeight="1">
      <c r="A11" s="110">
        <v>5</v>
      </c>
      <c r="B11" s="11" t="s">
        <v>58</v>
      </c>
      <c r="C11" s="11" t="s">
        <v>667</v>
      </c>
      <c r="D11" s="55" t="s">
        <v>668</v>
      </c>
      <c r="E11" s="57" t="s">
        <v>669</v>
      </c>
      <c r="F11" s="12" t="s">
        <v>670</v>
      </c>
      <c r="G11" s="12">
        <v>1</v>
      </c>
      <c r="H11" s="13">
        <v>25</v>
      </c>
      <c r="I11" s="34">
        <v>500</v>
      </c>
      <c r="J11" s="14">
        <v>402</v>
      </c>
      <c r="K11" s="15">
        <f>L11+402</f>
        <v>402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0.49392861469052768</v>
      </c>
      <c r="AF11" s="94">
        <f t="shared" si="17"/>
        <v>5</v>
      </c>
    </row>
    <row r="12" spans="1:32" ht="27" customHeight="1">
      <c r="A12" s="110">
        <v>6</v>
      </c>
      <c r="B12" s="11" t="s">
        <v>58</v>
      </c>
      <c r="C12" s="11" t="s">
        <v>445</v>
      </c>
      <c r="D12" s="55" t="s">
        <v>711</v>
      </c>
      <c r="E12" s="57" t="s">
        <v>712</v>
      </c>
      <c r="F12" s="12" t="s">
        <v>713</v>
      </c>
      <c r="G12" s="12">
        <v>1</v>
      </c>
      <c r="H12" s="13">
        <v>25</v>
      </c>
      <c r="I12" s="34">
        <v>40000</v>
      </c>
      <c r="J12" s="14">
        <v>650</v>
      </c>
      <c r="K12" s="15">
        <f>L12</f>
        <v>0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>
        <v>24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0.49392861469052768</v>
      </c>
      <c r="AF12" s="94">
        <f t="shared" si="8"/>
        <v>6</v>
      </c>
    </row>
    <row r="13" spans="1:32" ht="27" customHeight="1">
      <c r="A13" s="110">
        <v>7</v>
      </c>
      <c r="B13" s="11" t="s">
        <v>58</v>
      </c>
      <c r="C13" s="11" t="s">
        <v>118</v>
      </c>
      <c r="D13" s="55" t="s">
        <v>57</v>
      </c>
      <c r="E13" s="57" t="s">
        <v>160</v>
      </c>
      <c r="F13" s="12" t="s">
        <v>145</v>
      </c>
      <c r="G13" s="12">
        <v>1</v>
      </c>
      <c r="H13" s="13">
        <v>25</v>
      </c>
      <c r="I13" s="7">
        <v>62000</v>
      </c>
      <c r="J13" s="14">
        <v>1750</v>
      </c>
      <c r="K13" s="15">
        <f>L13+3062+3955+2262+4171+4492+4201+2422+2930+4783+1827+2695+1564+2934+3400+3995+2189</f>
        <v>52628</v>
      </c>
      <c r="L13" s="15">
        <f>781+965</f>
        <v>1746</v>
      </c>
      <c r="M13" s="16">
        <f t="shared" si="0"/>
        <v>1746</v>
      </c>
      <c r="N13" s="16">
        <v>0</v>
      </c>
      <c r="O13" s="62">
        <f t="shared" si="1"/>
        <v>0</v>
      </c>
      <c r="P13" s="42">
        <f t="shared" si="2"/>
        <v>10</v>
      </c>
      <c r="Q13" s="43">
        <f t="shared" si="3"/>
        <v>14</v>
      </c>
      <c r="R13" s="7"/>
      <c r="S13" s="6">
        <v>14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0.99771428571428566</v>
      </c>
      <c r="AC13" s="9">
        <f t="shared" si="5"/>
        <v>0.41666666666666669</v>
      </c>
      <c r="AD13" s="10">
        <f t="shared" si="6"/>
        <v>0.4157142857142857</v>
      </c>
      <c r="AE13" s="39">
        <f t="shared" si="7"/>
        <v>0.49392861469052768</v>
      </c>
      <c r="AF13" s="94">
        <f t="shared" si="8"/>
        <v>7</v>
      </c>
    </row>
    <row r="14" spans="1:32" ht="27" customHeight="1">
      <c r="A14" s="110">
        <v>8</v>
      </c>
      <c r="B14" s="11" t="s">
        <v>58</v>
      </c>
      <c r="C14" s="11" t="s">
        <v>309</v>
      </c>
      <c r="D14" s="55" t="s">
        <v>576</v>
      </c>
      <c r="E14" s="57" t="s">
        <v>577</v>
      </c>
      <c r="F14" s="12">
        <v>7301</v>
      </c>
      <c r="G14" s="12">
        <v>1</v>
      </c>
      <c r="H14" s="13">
        <v>25</v>
      </c>
      <c r="I14" s="7">
        <v>20000</v>
      </c>
      <c r="J14" s="14">
        <v>4850</v>
      </c>
      <c r="K14" s="15">
        <f>L14+3305+4685+5566</f>
        <v>18402</v>
      </c>
      <c r="L14" s="15">
        <f>2771+2075</f>
        <v>4846</v>
      </c>
      <c r="M14" s="16">
        <f t="shared" si="0"/>
        <v>4846</v>
      </c>
      <c r="N14" s="16">
        <v>0</v>
      </c>
      <c r="O14" s="62">
        <f t="shared" si="1"/>
        <v>0</v>
      </c>
      <c r="P14" s="42">
        <f t="shared" si="2"/>
        <v>24</v>
      </c>
      <c r="Q14" s="43">
        <f t="shared" si="3"/>
        <v>0</v>
      </c>
      <c r="R14" s="7"/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0.99917525773195881</v>
      </c>
      <c r="AC14" s="9">
        <f t="shared" si="5"/>
        <v>1</v>
      </c>
      <c r="AD14" s="10">
        <f t="shared" si="6"/>
        <v>0.99917525773195881</v>
      </c>
      <c r="AE14" s="39">
        <f t="shared" si="7"/>
        <v>0.49392861469052768</v>
      </c>
      <c r="AF14" s="94">
        <f t="shared" si="8"/>
        <v>8</v>
      </c>
    </row>
    <row r="15" spans="1:32" ht="27" customHeight="1">
      <c r="A15" s="109">
        <v>9</v>
      </c>
      <c r="B15" s="11" t="s">
        <v>149</v>
      </c>
      <c r="C15" s="37" t="s">
        <v>163</v>
      </c>
      <c r="D15" s="55" t="s">
        <v>190</v>
      </c>
      <c r="E15" s="57" t="s">
        <v>436</v>
      </c>
      <c r="F15" s="33" t="s">
        <v>437</v>
      </c>
      <c r="G15" s="36">
        <v>1</v>
      </c>
      <c r="H15" s="38">
        <v>25</v>
      </c>
      <c r="I15" s="7">
        <v>11000</v>
      </c>
      <c r="J15" s="5">
        <v>2330</v>
      </c>
      <c r="K15" s="15">
        <f>L15+2030+3617+4261+2322</f>
        <v>12230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0.49392861469052768</v>
      </c>
      <c r="AF15" s="94">
        <f t="shared" si="8"/>
        <v>9</v>
      </c>
    </row>
    <row r="16" spans="1:32" ht="27" customHeight="1">
      <c r="A16" s="109">
        <v>10</v>
      </c>
      <c r="B16" s="11" t="s">
        <v>149</v>
      </c>
      <c r="C16" s="11" t="s">
        <v>195</v>
      </c>
      <c r="D16" s="55" t="s">
        <v>420</v>
      </c>
      <c r="E16" s="57" t="s">
        <v>421</v>
      </c>
      <c r="F16" s="12">
        <v>8301</v>
      </c>
      <c r="G16" s="12">
        <v>1</v>
      </c>
      <c r="H16" s="13">
        <v>20</v>
      </c>
      <c r="I16" s="34">
        <v>21000</v>
      </c>
      <c r="J16" s="14">
        <v>3400</v>
      </c>
      <c r="K16" s="15">
        <f>L16+2754+4879+4902+4434+5553+5546</f>
        <v>31461</v>
      </c>
      <c r="L16" s="15">
        <f>2973+420</f>
        <v>3393</v>
      </c>
      <c r="M16" s="16">
        <f t="shared" si="0"/>
        <v>3393</v>
      </c>
      <c r="N16" s="16">
        <v>0</v>
      </c>
      <c r="O16" s="62">
        <f t="shared" si="1"/>
        <v>0</v>
      </c>
      <c r="P16" s="42">
        <f t="shared" si="2"/>
        <v>16</v>
      </c>
      <c r="Q16" s="43">
        <f t="shared" si="3"/>
        <v>8</v>
      </c>
      <c r="R16" s="7"/>
      <c r="S16" s="6">
        <v>8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0.99794117647058822</v>
      </c>
      <c r="AC16" s="9">
        <f t="shared" si="5"/>
        <v>0.66666666666666663</v>
      </c>
      <c r="AD16" s="10">
        <f t="shared" si="6"/>
        <v>0.66529411764705881</v>
      </c>
      <c r="AE16" s="39">
        <f t="shared" si="7"/>
        <v>0.49392861469052768</v>
      </c>
      <c r="AF16" s="94">
        <f t="shared" si="8"/>
        <v>10</v>
      </c>
    </row>
    <row r="17" spans="1:36" ht="27.75" customHeight="1">
      <c r="A17" s="109">
        <v>11</v>
      </c>
      <c r="B17" s="11" t="s">
        <v>149</v>
      </c>
      <c r="C17" s="11" t="s">
        <v>137</v>
      </c>
      <c r="D17" s="55" t="s">
        <v>671</v>
      </c>
      <c r="E17" s="56" t="s">
        <v>672</v>
      </c>
      <c r="F17" s="12" t="s">
        <v>673</v>
      </c>
      <c r="G17" s="36">
        <v>1</v>
      </c>
      <c r="H17" s="38">
        <v>25</v>
      </c>
      <c r="I17" s="7">
        <v>4000</v>
      </c>
      <c r="J17" s="14">
        <v>5700</v>
      </c>
      <c r="K17" s="15">
        <f>L17+5700</f>
        <v>5700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/>
      <c r="X17" s="17"/>
      <c r="Y17" s="20"/>
      <c r="Z17" s="20"/>
      <c r="AA17" s="21">
        <v>24</v>
      </c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0.49392861469052768</v>
      </c>
      <c r="AF17" s="94">
        <f>A17</f>
        <v>11</v>
      </c>
      <c r="AJ17" s="15"/>
    </row>
    <row r="18" spans="1:36" ht="27" customHeight="1">
      <c r="A18" s="109">
        <v>12</v>
      </c>
      <c r="B18" s="11" t="s">
        <v>149</v>
      </c>
      <c r="C18" s="37" t="s">
        <v>133</v>
      </c>
      <c r="D18" s="55" t="s">
        <v>621</v>
      </c>
      <c r="E18" s="56" t="s">
        <v>622</v>
      </c>
      <c r="F18" s="12" t="s">
        <v>623</v>
      </c>
      <c r="G18" s="12">
        <v>4</v>
      </c>
      <c r="H18" s="13">
        <v>25</v>
      </c>
      <c r="I18" s="34">
        <v>11000</v>
      </c>
      <c r="J18" s="5">
        <v>16150</v>
      </c>
      <c r="K18" s="15">
        <f>L18+16148</f>
        <v>16148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0.49392861469052768</v>
      </c>
      <c r="AF18" s="94">
        <f t="shared" ref="AF18" si="18">A18</f>
        <v>12</v>
      </c>
    </row>
    <row r="19" spans="1:36" ht="27" customHeight="1">
      <c r="A19" s="110">
        <v>13</v>
      </c>
      <c r="B19" s="11" t="s">
        <v>58</v>
      </c>
      <c r="C19" s="37" t="s">
        <v>118</v>
      </c>
      <c r="D19" s="55" t="s">
        <v>131</v>
      </c>
      <c r="E19" s="57" t="s">
        <v>158</v>
      </c>
      <c r="F19" s="33" t="s">
        <v>142</v>
      </c>
      <c r="G19" s="36">
        <v>1</v>
      </c>
      <c r="H19" s="38">
        <v>25</v>
      </c>
      <c r="I19" s="7">
        <v>62000</v>
      </c>
      <c r="J19" s="5">
        <v>5080</v>
      </c>
      <c r="K19" s="15">
        <f>L19+2232+4609+1982+1137+3270+2188+1609+3870+5108+3013+1873+2963+4922+5176+4918+2267+4655</f>
        <v>60870</v>
      </c>
      <c r="L19" s="15">
        <f>2803+2275</f>
        <v>5078</v>
      </c>
      <c r="M19" s="16">
        <f t="shared" si="0"/>
        <v>5078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0.99960629921259847</v>
      </c>
      <c r="AC19" s="9">
        <f t="shared" si="5"/>
        <v>1</v>
      </c>
      <c r="AD19" s="10">
        <f t="shared" si="6"/>
        <v>0.99960629921259847</v>
      </c>
      <c r="AE19" s="39">
        <f t="shared" si="7"/>
        <v>0.49392861469052768</v>
      </c>
      <c r="AF19" s="94">
        <f t="shared" si="8"/>
        <v>13</v>
      </c>
    </row>
    <row r="20" spans="1:36" ht="27" customHeight="1">
      <c r="A20" s="110">
        <v>14</v>
      </c>
      <c r="B20" s="11" t="s">
        <v>58</v>
      </c>
      <c r="C20" s="11" t="s">
        <v>118</v>
      </c>
      <c r="D20" s="55" t="s">
        <v>624</v>
      </c>
      <c r="E20" s="56" t="s">
        <v>625</v>
      </c>
      <c r="F20" s="12" t="s">
        <v>626</v>
      </c>
      <c r="G20" s="12">
        <v>1</v>
      </c>
      <c r="H20" s="38">
        <v>25</v>
      </c>
      <c r="I20" s="34">
        <v>7000</v>
      </c>
      <c r="J20" s="5">
        <v>3700</v>
      </c>
      <c r="K20" s="15">
        <f>L20+4268+5560</f>
        <v>13520</v>
      </c>
      <c r="L20" s="15">
        <f>2821+871</f>
        <v>3692</v>
      </c>
      <c r="M20" s="16">
        <f t="shared" si="0"/>
        <v>3692</v>
      </c>
      <c r="N20" s="16">
        <v>0</v>
      </c>
      <c r="O20" s="62">
        <f t="shared" si="1"/>
        <v>0</v>
      </c>
      <c r="P20" s="42">
        <f t="shared" si="2"/>
        <v>19</v>
      </c>
      <c r="Q20" s="43">
        <f t="shared" si="3"/>
        <v>5</v>
      </c>
      <c r="R20" s="7"/>
      <c r="S20" s="6">
        <v>5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0.99783783783783786</v>
      </c>
      <c r="AC20" s="9">
        <f t="shared" si="5"/>
        <v>0.79166666666666663</v>
      </c>
      <c r="AD20" s="10">
        <f t="shared" si="6"/>
        <v>0.78995495495495494</v>
      </c>
      <c r="AE20" s="39">
        <f t="shared" si="7"/>
        <v>0.49392861469052768</v>
      </c>
      <c r="AF20" s="94">
        <f t="shared" si="8"/>
        <v>14</v>
      </c>
    </row>
    <row r="21" spans="1:36" ht="27" customHeight="1" thickBot="1">
      <c r="A21" s="110">
        <v>15</v>
      </c>
      <c r="B21" s="11" t="s">
        <v>58</v>
      </c>
      <c r="C21" s="11" t="s">
        <v>115</v>
      </c>
      <c r="D21" s="55"/>
      <c r="E21" s="56" t="s">
        <v>714</v>
      </c>
      <c r="F21" s="12" t="s">
        <v>116</v>
      </c>
      <c r="G21" s="12">
        <v>4</v>
      </c>
      <c r="H21" s="38">
        <v>15</v>
      </c>
      <c r="I21" s="7">
        <v>300000</v>
      </c>
      <c r="J21" s="14">
        <v>45160</v>
      </c>
      <c r="K21" s="15">
        <f>L21</f>
        <v>45160</v>
      </c>
      <c r="L21" s="15">
        <f>1935*4+9355*4</f>
        <v>45160</v>
      </c>
      <c r="M21" s="16">
        <f t="shared" si="0"/>
        <v>45160</v>
      </c>
      <c r="N21" s="16">
        <v>0</v>
      </c>
      <c r="O21" s="62">
        <f t="shared" si="1"/>
        <v>0</v>
      </c>
      <c r="P21" s="42">
        <f t="shared" si="2"/>
        <v>21</v>
      </c>
      <c r="Q21" s="43">
        <f t="shared" si="3"/>
        <v>3</v>
      </c>
      <c r="R21" s="7"/>
      <c r="S21" s="6"/>
      <c r="T21" s="17">
        <v>3</v>
      </c>
      <c r="U21" s="17"/>
      <c r="V21" s="18"/>
      <c r="W21" s="19"/>
      <c r="X21" s="17"/>
      <c r="Y21" s="20"/>
      <c r="Z21" s="20"/>
      <c r="AA21" s="21"/>
      <c r="AB21" s="8">
        <f t="shared" si="4"/>
        <v>1</v>
      </c>
      <c r="AC21" s="9">
        <f t="shared" si="5"/>
        <v>0.875</v>
      </c>
      <c r="AD21" s="10">
        <f t="shared" si="6"/>
        <v>0.875</v>
      </c>
      <c r="AE21" s="39">
        <f t="shared" si="7"/>
        <v>0.49392861469052768</v>
      </c>
      <c r="AF21" s="94">
        <f t="shared" si="8"/>
        <v>15</v>
      </c>
    </row>
    <row r="22" spans="1:36" ht="31.5" customHeight="1" thickBot="1">
      <c r="A22" s="465" t="s">
        <v>34</v>
      </c>
      <c r="B22" s="466"/>
      <c r="C22" s="466"/>
      <c r="D22" s="466"/>
      <c r="E22" s="466"/>
      <c r="F22" s="466"/>
      <c r="G22" s="466"/>
      <c r="H22" s="467"/>
      <c r="I22" s="25">
        <f t="shared" ref="I22:N22" si="19">SUM(I6:I21)</f>
        <v>724500</v>
      </c>
      <c r="J22" s="22">
        <f t="shared" si="19"/>
        <v>104812</v>
      </c>
      <c r="K22" s="23">
        <f t="shared" si="19"/>
        <v>338995</v>
      </c>
      <c r="L22" s="24">
        <f t="shared" si="19"/>
        <v>79539</v>
      </c>
      <c r="M22" s="23">
        <f t="shared" si="19"/>
        <v>79539</v>
      </c>
      <c r="N22" s="24">
        <f t="shared" si="19"/>
        <v>0</v>
      </c>
      <c r="O22" s="44">
        <f t="shared" si="1"/>
        <v>0</v>
      </c>
      <c r="P22" s="45">
        <f t="shared" ref="P22:AA22" si="20">SUM(P6:P21)</f>
        <v>178</v>
      </c>
      <c r="Q22" s="46">
        <f t="shared" si="20"/>
        <v>206</v>
      </c>
      <c r="R22" s="26">
        <f t="shared" si="20"/>
        <v>0</v>
      </c>
      <c r="S22" s="27">
        <f t="shared" si="20"/>
        <v>81</v>
      </c>
      <c r="T22" s="27">
        <f t="shared" si="20"/>
        <v>11</v>
      </c>
      <c r="U22" s="27">
        <f t="shared" si="20"/>
        <v>0</v>
      </c>
      <c r="V22" s="28">
        <f t="shared" si="20"/>
        <v>0</v>
      </c>
      <c r="W22" s="29">
        <f t="shared" si="20"/>
        <v>90</v>
      </c>
      <c r="X22" s="30">
        <f t="shared" si="20"/>
        <v>0</v>
      </c>
      <c r="Y22" s="30">
        <f t="shared" si="20"/>
        <v>0</v>
      </c>
      <c r="Z22" s="30">
        <f t="shared" si="20"/>
        <v>0</v>
      </c>
      <c r="AA22" s="30">
        <f t="shared" si="20"/>
        <v>24</v>
      </c>
      <c r="AB22" s="31">
        <f>SUM(AB6:AB21)/15</f>
        <v>0.73243857159219083</v>
      </c>
      <c r="AC22" s="4">
        <f>SUM(AC6:AC21)/15</f>
        <v>0.49444444444444446</v>
      </c>
      <c r="AD22" s="4">
        <f>SUM(AD6:AD21)/15</f>
        <v>0.49392861469052768</v>
      </c>
      <c r="AE22" s="32"/>
    </row>
    <row r="24" spans="1:36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6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6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6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6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6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6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68" t="s">
        <v>45</v>
      </c>
      <c r="B49" s="468"/>
      <c r="C49" s="468"/>
      <c r="D49" s="468"/>
      <c r="E49" s="468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69" t="s">
        <v>715</v>
      </c>
      <c r="B50" s="470"/>
      <c r="C50" s="470"/>
      <c r="D50" s="470"/>
      <c r="E50" s="470"/>
      <c r="F50" s="470"/>
      <c r="G50" s="470"/>
      <c r="H50" s="470"/>
      <c r="I50" s="470"/>
      <c r="J50" s="470"/>
      <c r="K50" s="470"/>
      <c r="L50" s="470"/>
      <c r="M50" s="471"/>
      <c r="N50" s="472" t="s">
        <v>742</v>
      </c>
      <c r="O50" s="473"/>
      <c r="P50" s="473"/>
      <c r="Q50" s="473"/>
      <c r="R50" s="473"/>
      <c r="S50" s="473"/>
      <c r="T50" s="473"/>
      <c r="U50" s="473"/>
      <c r="V50" s="473"/>
      <c r="W50" s="473"/>
      <c r="X50" s="473"/>
      <c r="Y50" s="473"/>
      <c r="Z50" s="473"/>
      <c r="AA50" s="473"/>
      <c r="AB50" s="473"/>
      <c r="AC50" s="473"/>
      <c r="AD50" s="474"/>
    </row>
    <row r="51" spans="1:32" ht="27" customHeight="1">
      <c r="A51" s="475" t="s">
        <v>2</v>
      </c>
      <c r="B51" s="476"/>
      <c r="C51" s="268" t="s">
        <v>46</v>
      </c>
      <c r="D51" s="268" t="s">
        <v>47</v>
      </c>
      <c r="E51" s="268" t="s">
        <v>109</v>
      </c>
      <c r="F51" s="476" t="s">
        <v>108</v>
      </c>
      <c r="G51" s="476"/>
      <c r="H51" s="476"/>
      <c r="I51" s="476"/>
      <c r="J51" s="476"/>
      <c r="K51" s="476"/>
      <c r="L51" s="476"/>
      <c r="M51" s="477"/>
      <c r="N51" s="73" t="s">
        <v>113</v>
      </c>
      <c r="O51" s="268" t="s">
        <v>46</v>
      </c>
      <c r="P51" s="478" t="s">
        <v>47</v>
      </c>
      <c r="Q51" s="479"/>
      <c r="R51" s="478" t="s">
        <v>38</v>
      </c>
      <c r="S51" s="480"/>
      <c r="T51" s="480"/>
      <c r="U51" s="479"/>
      <c r="V51" s="478" t="s">
        <v>48</v>
      </c>
      <c r="W51" s="480"/>
      <c r="X51" s="480"/>
      <c r="Y51" s="480"/>
      <c r="Z51" s="480"/>
      <c r="AA51" s="480"/>
      <c r="AB51" s="480"/>
      <c r="AC51" s="480"/>
      <c r="AD51" s="481"/>
    </row>
    <row r="52" spans="1:32" ht="27" customHeight="1">
      <c r="A52" s="492" t="s">
        <v>716</v>
      </c>
      <c r="B52" s="493"/>
      <c r="C52" s="267" t="s">
        <v>676</v>
      </c>
      <c r="D52" s="264" t="s">
        <v>708</v>
      </c>
      <c r="E52" s="267" t="s">
        <v>709</v>
      </c>
      <c r="F52" s="494" t="s">
        <v>677</v>
      </c>
      <c r="G52" s="494"/>
      <c r="H52" s="494"/>
      <c r="I52" s="494"/>
      <c r="J52" s="494"/>
      <c r="K52" s="494"/>
      <c r="L52" s="494"/>
      <c r="M52" s="495"/>
      <c r="N52" s="263" t="s">
        <v>707</v>
      </c>
      <c r="O52" s="74" t="s">
        <v>721</v>
      </c>
      <c r="P52" s="496" t="s">
        <v>744</v>
      </c>
      <c r="Q52" s="497"/>
      <c r="R52" s="498" t="s">
        <v>743</v>
      </c>
      <c r="S52" s="498"/>
      <c r="T52" s="498"/>
      <c r="U52" s="498"/>
      <c r="V52" s="494" t="s">
        <v>745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678</v>
      </c>
      <c r="B53" s="493"/>
      <c r="C53" s="267" t="s">
        <v>679</v>
      </c>
      <c r="D53" s="264" t="s">
        <v>680</v>
      </c>
      <c r="E53" s="267" t="s">
        <v>681</v>
      </c>
      <c r="F53" s="494" t="s">
        <v>717</v>
      </c>
      <c r="G53" s="494"/>
      <c r="H53" s="494"/>
      <c r="I53" s="494"/>
      <c r="J53" s="494"/>
      <c r="K53" s="494"/>
      <c r="L53" s="494"/>
      <c r="M53" s="495"/>
      <c r="N53" s="263" t="s">
        <v>173</v>
      </c>
      <c r="O53" s="74" t="s">
        <v>472</v>
      </c>
      <c r="P53" s="496" t="s">
        <v>711</v>
      </c>
      <c r="Q53" s="497"/>
      <c r="R53" s="498" t="s">
        <v>746</v>
      </c>
      <c r="S53" s="498"/>
      <c r="T53" s="498"/>
      <c r="U53" s="498"/>
      <c r="V53" s="494" t="s">
        <v>747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718</v>
      </c>
      <c r="B54" s="493"/>
      <c r="C54" s="267" t="s">
        <v>472</v>
      </c>
      <c r="D54" s="264" t="s">
        <v>711</v>
      </c>
      <c r="E54" s="267" t="s">
        <v>719</v>
      </c>
      <c r="F54" s="494" t="s">
        <v>720</v>
      </c>
      <c r="G54" s="494"/>
      <c r="H54" s="494"/>
      <c r="I54" s="494"/>
      <c r="J54" s="494"/>
      <c r="K54" s="494"/>
      <c r="L54" s="494"/>
      <c r="M54" s="495"/>
      <c r="N54" s="263" t="s">
        <v>118</v>
      </c>
      <c r="O54" s="74" t="s">
        <v>679</v>
      </c>
      <c r="P54" s="496" t="s">
        <v>693</v>
      </c>
      <c r="Q54" s="497"/>
      <c r="R54" s="498" t="s">
        <v>461</v>
      </c>
      <c r="S54" s="498"/>
      <c r="T54" s="498"/>
      <c r="U54" s="498"/>
      <c r="V54" s="494" t="s">
        <v>221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458</v>
      </c>
      <c r="B55" s="493"/>
      <c r="C55" s="267" t="s">
        <v>721</v>
      </c>
      <c r="D55" s="264" t="s">
        <v>722</v>
      </c>
      <c r="E55" s="267" t="s">
        <v>723</v>
      </c>
      <c r="F55" s="494" t="s">
        <v>724</v>
      </c>
      <c r="G55" s="494"/>
      <c r="H55" s="494"/>
      <c r="I55" s="494"/>
      <c r="J55" s="494"/>
      <c r="K55" s="494"/>
      <c r="L55" s="494"/>
      <c r="M55" s="495"/>
      <c r="N55" s="263" t="s">
        <v>445</v>
      </c>
      <c r="O55" s="74" t="s">
        <v>702</v>
      </c>
      <c r="P55" s="496" t="s">
        <v>473</v>
      </c>
      <c r="Q55" s="497"/>
      <c r="R55" s="498" t="s">
        <v>700</v>
      </c>
      <c r="S55" s="498"/>
      <c r="T55" s="498"/>
      <c r="U55" s="498"/>
      <c r="V55" s="494" t="s">
        <v>747</v>
      </c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458</v>
      </c>
      <c r="B56" s="493"/>
      <c r="C56" s="267" t="s">
        <v>725</v>
      </c>
      <c r="D56" s="264" t="s">
        <v>726</v>
      </c>
      <c r="E56" s="267" t="s">
        <v>165</v>
      </c>
      <c r="F56" s="494" t="s">
        <v>727</v>
      </c>
      <c r="G56" s="494"/>
      <c r="H56" s="494"/>
      <c r="I56" s="494"/>
      <c r="J56" s="494"/>
      <c r="K56" s="494"/>
      <c r="L56" s="494"/>
      <c r="M56" s="495"/>
      <c r="N56" s="263" t="s">
        <v>749</v>
      </c>
      <c r="O56" s="74" t="s">
        <v>750</v>
      </c>
      <c r="P56" s="496"/>
      <c r="Q56" s="497"/>
      <c r="R56" s="498" t="s">
        <v>748</v>
      </c>
      <c r="S56" s="498"/>
      <c r="T56" s="498"/>
      <c r="U56" s="498"/>
      <c r="V56" s="494" t="s">
        <v>454</v>
      </c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 t="s">
        <v>728</v>
      </c>
      <c r="B57" s="493"/>
      <c r="C57" s="267" t="s">
        <v>702</v>
      </c>
      <c r="D57" s="264" t="s">
        <v>711</v>
      </c>
      <c r="E57" s="267" t="s">
        <v>700</v>
      </c>
      <c r="F57" s="494" t="s">
        <v>729</v>
      </c>
      <c r="G57" s="494"/>
      <c r="H57" s="494"/>
      <c r="I57" s="494"/>
      <c r="J57" s="494"/>
      <c r="K57" s="494"/>
      <c r="L57" s="494"/>
      <c r="M57" s="495"/>
      <c r="N57" s="263"/>
      <c r="O57" s="74"/>
      <c r="P57" s="498"/>
      <c r="Q57" s="498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 t="s">
        <v>731</v>
      </c>
      <c r="B58" s="493"/>
      <c r="C58" s="267" t="s">
        <v>732</v>
      </c>
      <c r="D58" s="264" t="s">
        <v>733</v>
      </c>
      <c r="E58" s="267" t="s">
        <v>730</v>
      </c>
      <c r="F58" s="494" t="s">
        <v>734</v>
      </c>
      <c r="G58" s="494"/>
      <c r="H58" s="494"/>
      <c r="I58" s="494"/>
      <c r="J58" s="494"/>
      <c r="K58" s="494"/>
      <c r="L58" s="494"/>
      <c r="M58" s="495"/>
      <c r="N58" s="263"/>
      <c r="O58" s="74"/>
      <c r="P58" s="496"/>
      <c r="Q58" s="497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492" t="s">
        <v>458</v>
      </c>
      <c r="B59" s="493"/>
      <c r="C59" s="267" t="s">
        <v>736</v>
      </c>
      <c r="D59" s="264" t="s">
        <v>737</v>
      </c>
      <c r="E59" s="267" t="s">
        <v>735</v>
      </c>
      <c r="F59" s="494" t="s">
        <v>734</v>
      </c>
      <c r="G59" s="494"/>
      <c r="H59" s="494"/>
      <c r="I59" s="494"/>
      <c r="J59" s="494"/>
      <c r="K59" s="494"/>
      <c r="L59" s="494"/>
      <c r="M59" s="495"/>
      <c r="N59" s="263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</row>
    <row r="60" spans="1:32" ht="27" customHeight="1">
      <c r="A60" s="508" t="s">
        <v>738</v>
      </c>
      <c r="B60" s="498"/>
      <c r="C60" s="264" t="s">
        <v>739</v>
      </c>
      <c r="D60" s="264"/>
      <c r="E60" s="264" t="s">
        <v>740</v>
      </c>
      <c r="F60" s="494" t="s">
        <v>741</v>
      </c>
      <c r="G60" s="494"/>
      <c r="H60" s="494"/>
      <c r="I60" s="494"/>
      <c r="J60" s="494"/>
      <c r="K60" s="494"/>
      <c r="L60" s="494"/>
      <c r="M60" s="495"/>
      <c r="N60" s="263"/>
      <c r="O60" s="74"/>
      <c r="P60" s="498"/>
      <c r="Q60" s="498"/>
      <c r="R60" s="498"/>
      <c r="S60" s="498"/>
      <c r="T60" s="498"/>
      <c r="U60" s="498"/>
      <c r="V60" s="494"/>
      <c r="W60" s="494"/>
      <c r="X60" s="494"/>
      <c r="Y60" s="494"/>
      <c r="Z60" s="494"/>
      <c r="AA60" s="494"/>
      <c r="AB60" s="494"/>
      <c r="AC60" s="494"/>
      <c r="AD60" s="495"/>
      <c r="AF60" s="94">
        <f>8*3000</f>
        <v>24000</v>
      </c>
    </row>
    <row r="61" spans="1:32" ht="27" customHeight="1" thickBot="1">
      <c r="A61" s="499"/>
      <c r="B61" s="500"/>
      <c r="C61" s="266"/>
      <c r="D61" s="266"/>
      <c r="E61" s="266"/>
      <c r="F61" s="501"/>
      <c r="G61" s="501"/>
      <c r="H61" s="501"/>
      <c r="I61" s="501"/>
      <c r="J61" s="501"/>
      <c r="K61" s="501"/>
      <c r="L61" s="501"/>
      <c r="M61" s="502"/>
      <c r="N61" s="265"/>
      <c r="O61" s="121"/>
      <c r="P61" s="500"/>
      <c r="Q61" s="500"/>
      <c r="R61" s="500"/>
      <c r="S61" s="500"/>
      <c r="T61" s="500"/>
      <c r="U61" s="500"/>
      <c r="V61" s="501"/>
      <c r="W61" s="501"/>
      <c r="X61" s="501"/>
      <c r="Y61" s="501"/>
      <c r="Z61" s="501"/>
      <c r="AA61" s="501"/>
      <c r="AB61" s="501"/>
      <c r="AC61" s="501"/>
      <c r="AD61" s="502"/>
      <c r="AF61" s="94">
        <f>16*3000</f>
        <v>48000</v>
      </c>
    </row>
    <row r="62" spans="1:32" ht="27.75" thickBot="1">
      <c r="A62" s="503" t="s">
        <v>751</v>
      </c>
      <c r="B62" s="503"/>
      <c r="C62" s="503"/>
      <c r="D62" s="503"/>
      <c r="E62" s="503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504" t="s">
        <v>114</v>
      </c>
      <c r="B63" s="505"/>
      <c r="C63" s="262" t="s">
        <v>2</v>
      </c>
      <c r="D63" s="262" t="s">
        <v>37</v>
      </c>
      <c r="E63" s="262" t="s">
        <v>3</v>
      </c>
      <c r="F63" s="505" t="s">
        <v>111</v>
      </c>
      <c r="G63" s="505"/>
      <c r="H63" s="505"/>
      <c r="I63" s="505"/>
      <c r="J63" s="505"/>
      <c r="K63" s="505" t="s">
        <v>39</v>
      </c>
      <c r="L63" s="505"/>
      <c r="M63" s="262" t="s">
        <v>40</v>
      </c>
      <c r="N63" s="505" t="s">
        <v>41</v>
      </c>
      <c r="O63" s="505"/>
      <c r="P63" s="506" t="s">
        <v>42</v>
      </c>
      <c r="Q63" s="507"/>
      <c r="R63" s="506" t="s">
        <v>43</v>
      </c>
      <c r="S63" s="509"/>
      <c r="T63" s="509"/>
      <c r="U63" s="509"/>
      <c r="V63" s="509"/>
      <c r="W63" s="509"/>
      <c r="X63" s="509"/>
      <c r="Y63" s="509"/>
      <c r="Z63" s="509"/>
      <c r="AA63" s="507"/>
      <c r="AB63" s="505" t="s">
        <v>44</v>
      </c>
      <c r="AC63" s="505"/>
      <c r="AD63" s="510"/>
      <c r="AF63" s="94">
        <f>SUM(AF60:AF62)</f>
        <v>96000</v>
      </c>
    </row>
    <row r="64" spans="1:32" ht="25.5" customHeight="1">
      <c r="A64" s="511">
        <v>1</v>
      </c>
      <c r="B64" s="512"/>
      <c r="C64" s="124" t="s">
        <v>752</v>
      </c>
      <c r="D64" s="258"/>
      <c r="E64" s="261" t="s">
        <v>753</v>
      </c>
      <c r="F64" s="513"/>
      <c r="G64" s="514"/>
      <c r="H64" s="514"/>
      <c r="I64" s="514"/>
      <c r="J64" s="514"/>
      <c r="K64" s="514" t="s">
        <v>754</v>
      </c>
      <c r="L64" s="514"/>
      <c r="M64" s="54" t="s">
        <v>755</v>
      </c>
      <c r="N64" s="514">
        <v>11</v>
      </c>
      <c r="O64" s="514"/>
      <c r="P64" s="515" t="s">
        <v>756</v>
      </c>
      <c r="Q64" s="515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2</v>
      </c>
      <c r="B65" s="512"/>
      <c r="C65" s="124" t="s">
        <v>458</v>
      </c>
      <c r="D65" s="258"/>
      <c r="E65" s="261" t="s">
        <v>757</v>
      </c>
      <c r="F65" s="513" t="s">
        <v>758</v>
      </c>
      <c r="G65" s="514"/>
      <c r="H65" s="514"/>
      <c r="I65" s="514"/>
      <c r="J65" s="514"/>
      <c r="K65" s="514" t="s">
        <v>759</v>
      </c>
      <c r="L65" s="514"/>
      <c r="M65" s="54" t="s">
        <v>760</v>
      </c>
      <c r="N65" s="514">
        <v>5</v>
      </c>
      <c r="O65" s="514"/>
      <c r="P65" s="515">
        <v>50</v>
      </c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3</v>
      </c>
      <c r="B66" s="512"/>
      <c r="C66" s="124"/>
      <c r="D66" s="258"/>
      <c r="E66" s="261"/>
      <c r="F66" s="513"/>
      <c r="G66" s="514"/>
      <c r="H66" s="514"/>
      <c r="I66" s="514"/>
      <c r="J66" s="514"/>
      <c r="K66" s="514"/>
      <c r="L66" s="514"/>
      <c r="M66" s="54"/>
      <c r="N66" s="514"/>
      <c r="O66" s="514"/>
      <c r="P66" s="515"/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4</v>
      </c>
      <c r="B67" s="512"/>
      <c r="C67" s="124"/>
      <c r="D67" s="258"/>
      <c r="E67" s="261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5</v>
      </c>
      <c r="B68" s="512"/>
      <c r="C68" s="124"/>
      <c r="D68" s="258"/>
      <c r="E68" s="261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6</v>
      </c>
      <c r="B69" s="512"/>
      <c r="C69" s="124"/>
      <c r="D69" s="258"/>
      <c r="E69" s="261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7</v>
      </c>
      <c r="B70" s="512"/>
      <c r="C70" s="124"/>
      <c r="D70" s="258"/>
      <c r="E70" s="261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5.5" customHeight="1">
      <c r="A71" s="511">
        <v>8</v>
      </c>
      <c r="B71" s="512"/>
      <c r="C71" s="124"/>
      <c r="D71" s="258"/>
      <c r="E71" s="261"/>
      <c r="F71" s="513"/>
      <c r="G71" s="514"/>
      <c r="H71" s="514"/>
      <c r="I71" s="514"/>
      <c r="J71" s="514"/>
      <c r="K71" s="514"/>
      <c r="L71" s="514"/>
      <c r="M71" s="54"/>
      <c r="N71" s="514"/>
      <c r="O71" s="514"/>
      <c r="P71" s="515"/>
      <c r="Q71" s="515"/>
      <c r="R71" s="494"/>
      <c r="S71" s="494"/>
      <c r="T71" s="494"/>
      <c r="U71" s="494"/>
      <c r="V71" s="494"/>
      <c r="W71" s="494"/>
      <c r="X71" s="494"/>
      <c r="Y71" s="494"/>
      <c r="Z71" s="494"/>
      <c r="AA71" s="494"/>
      <c r="AB71" s="514"/>
      <c r="AC71" s="514"/>
      <c r="AD71" s="516"/>
      <c r="AF71" s="53"/>
    </row>
    <row r="72" spans="1:32" ht="26.25" customHeight="1" thickBot="1">
      <c r="A72" s="517" t="s">
        <v>761</v>
      </c>
      <c r="B72" s="517"/>
      <c r="C72" s="517"/>
      <c r="D72" s="517"/>
      <c r="E72" s="517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518" t="s">
        <v>114</v>
      </c>
      <c r="B73" s="519"/>
      <c r="C73" s="260" t="s">
        <v>2</v>
      </c>
      <c r="D73" s="260" t="s">
        <v>37</v>
      </c>
      <c r="E73" s="260" t="s">
        <v>3</v>
      </c>
      <c r="F73" s="519" t="s">
        <v>38</v>
      </c>
      <c r="G73" s="519"/>
      <c r="H73" s="519"/>
      <c r="I73" s="519"/>
      <c r="J73" s="519"/>
      <c r="K73" s="520" t="s">
        <v>59</v>
      </c>
      <c r="L73" s="521"/>
      <c r="M73" s="521"/>
      <c r="N73" s="521"/>
      <c r="O73" s="521"/>
      <c r="P73" s="521"/>
      <c r="Q73" s="521"/>
      <c r="R73" s="521"/>
      <c r="S73" s="522"/>
      <c r="T73" s="519" t="s">
        <v>49</v>
      </c>
      <c r="U73" s="519"/>
      <c r="V73" s="520" t="s">
        <v>50</v>
      </c>
      <c r="W73" s="522"/>
      <c r="X73" s="521" t="s">
        <v>51</v>
      </c>
      <c r="Y73" s="521"/>
      <c r="Z73" s="521"/>
      <c r="AA73" s="521"/>
      <c r="AB73" s="521"/>
      <c r="AC73" s="521"/>
      <c r="AD73" s="523"/>
      <c r="AF73" s="53"/>
    </row>
    <row r="74" spans="1:32" ht="33.75" customHeight="1">
      <c r="A74" s="532">
        <v>1</v>
      </c>
      <c r="B74" s="533"/>
      <c r="C74" s="259" t="s">
        <v>117</v>
      </c>
      <c r="D74" s="259"/>
      <c r="E74" s="71" t="s">
        <v>123</v>
      </c>
      <c r="F74" s="534" t="s">
        <v>124</v>
      </c>
      <c r="G74" s="535"/>
      <c r="H74" s="535"/>
      <c r="I74" s="535"/>
      <c r="J74" s="536"/>
      <c r="K74" s="537" t="s">
        <v>119</v>
      </c>
      <c r="L74" s="538"/>
      <c r="M74" s="538"/>
      <c r="N74" s="538"/>
      <c r="O74" s="538"/>
      <c r="P74" s="538"/>
      <c r="Q74" s="538"/>
      <c r="R74" s="538"/>
      <c r="S74" s="539"/>
      <c r="T74" s="540">
        <v>42901</v>
      </c>
      <c r="U74" s="541"/>
      <c r="V74" s="542"/>
      <c r="W74" s="542"/>
      <c r="X74" s="543"/>
      <c r="Y74" s="543"/>
      <c r="Z74" s="543"/>
      <c r="AA74" s="543"/>
      <c r="AB74" s="543"/>
      <c r="AC74" s="543"/>
      <c r="AD74" s="544"/>
      <c r="AF74" s="53"/>
    </row>
    <row r="75" spans="1:32" ht="30" customHeight="1">
      <c r="A75" s="524">
        <f>A74+1</f>
        <v>2</v>
      </c>
      <c r="B75" s="525"/>
      <c r="C75" s="258" t="s">
        <v>117</v>
      </c>
      <c r="D75" s="258"/>
      <c r="E75" s="35" t="s">
        <v>120</v>
      </c>
      <c r="F75" s="525" t="s">
        <v>121</v>
      </c>
      <c r="G75" s="525"/>
      <c r="H75" s="525"/>
      <c r="I75" s="525"/>
      <c r="J75" s="525"/>
      <c r="K75" s="526" t="s">
        <v>122</v>
      </c>
      <c r="L75" s="527"/>
      <c r="M75" s="527"/>
      <c r="N75" s="527"/>
      <c r="O75" s="527"/>
      <c r="P75" s="527"/>
      <c r="Q75" s="527"/>
      <c r="R75" s="527"/>
      <c r="S75" s="528"/>
      <c r="T75" s="529">
        <v>42867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ref="A76:A82" si="21">A75+1</f>
        <v>3</v>
      </c>
      <c r="B76" s="525"/>
      <c r="C76" s="258" t="s">
        <v>133</v>
      </c>
      <c r="D76" s="258"/>
      <c r="E76" s="35" t="s">
        <v>131</v>
      </c>
      <c r="F76" s="525" t="s">
        <v>134</v>
      </c>
      <c r="G76" s="525"/>
      <c r="H76" s="525"/>
      <c r="I76" s="525"/>
      <c r="J76" s="525"/>
      <c r="K76" s="526" t="s">
        <v>119</v>
      </c>
      <c r="L76" s="527"/>
      <c r="M76" s="527"/>
      <c r="N76" s="527"/>
      <c r="O76" s="527"/>
      <c r="P76" s="527"/>
      <c r="Q76" s="527"/>
      <c r="R76" s="527"/>
      <c r="S76" s="528"/>
      <c r="T76" s="529">
        <v>42937</v>
      </c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21"/>
        <v>4</v>
      </c>
      <c r="B77" s="525"/>
      <c r="C77" s="258" t="s">
        <v>118</v>
      </c>
      <c r="D77" s="258"/>
      <c r="E77" s="35" t="s">
        <v>129</v>
      </c>
      <c r="F77" s="525" t="s">
        <v>130</v>
      </c>
      <c r="G77" s="525"/>
      <c r="H77" s="525"/>
      <c r="I77" s="525"/>
      <c r="J77" s="525"/>
      <c r="K77" s="526" t="s">
        <v>132</v>
      </c>
      <c r="L77" s="527"/>
      <c r="M77" s="527"/>
      <c r="N77" s="527"/>
      <c r="O77" s="527"/>
      <c r="P77" s="527"/>
      <c r="Q77" s="527"/>
      <c r="R77" s="527"/>
      <c r="S77" s="528"/>
      <c r="T77" s="529">
        <v>42920</v>
      </c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21"/>
        <v>5</v>
      </c>
      <c r="B78" s="525"/>
      <c r="C78" s="258"/>
      <c r="D78" s="258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21"/>
        <v>6</v>
      </c>
      <c r="B79" s="525"/>
      <c r="C79" s="258"/>
      <c r="D79" s="258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21"/>
        <v>7</v>
      </c>
      <c r="B80" s="525"/>
      <c r="C80" s="258"/>
      <c r="D80" s="258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21"/>
        <v>8</v>
      </c>
      <c r="B81" s="525"/>
      <c r="C81" s="258"/>
      <c r="D81" s="258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0" customHeight="1">
      <c r="A82" s="524">
        <f t="shared" si="21"/>
        <v>9</v>
      </c>
      <c r="B82" s="525"/>
      <c r="C82" s="258"/>
      <c r="D82" s="258"/>
      <c r="E82" s="35"/>
      <c r="F82" s="525"/>
      <c r="G82" s="525"/>
      <c r="H82" s="525"/>
      <c r="I82" s="525"/>
      <c r="J82" s="525"/>
      <c r="K82" s="526"/>
      <c r="L82" s="527"/>
      <c r="M82" s="527"/>
      <c r="N82" s="527"/>
      <c r="O82" s="527"/>
      <c r="P82" s="527"/>
      <c r="Q82" s="527"/>
      <c r="R82" s="527"/>
      <c r="S82" s="528"/>
      <c r="T82" s="529"/>
      <c r="U82" s="529"/>
      <c r="V82" s="529"/>
      <c r="W82" s="529"/>
      <c r="X82" s="530"/>
      <c r="Y82" s="530"/>
      <c r="Z82" s="530"/>
      <c r="AA82" s="530"/>
      <c r="AB82" s="530"/>
      <c r="AC82" s="530"/>
      <c r="AD82" s="531"/>
      <c r="AF82" s="53"/>
    </row>
    <row r="83" spans="1:32" ht="36" thickBot="1">
      <c r="A83" s="517" t="s">
        <v>762</v>
      </c>
      <c r="B83" s="517"/>
      <c r="C83" s="517"/>
      <c r="D83" s="517"/>
      <c r="E83" s="517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518" t="s">
        <v>114</v>
      </c>
      <c r="B84" s="519"/>
      <c r="C84" s="545" t="s">
        <v>52</v>
      </c>
      <c r="D84" s="545"/>
      <c r="E84" s="545" t="s">
        <v>53</v>
      </c>
      <c r="F84" s="545"/>
      <c r="G84" s="545"/>
      <c r="H84" s="545"/>
      <c r="I84" s="545"/>
      <c r="J84" s="545"/>
      <c r="K84" s="545" t="s">
        <v>54</v>
      </c>
      <c r="L84" s="545"/>
      <c r="M84" s="545"/>
      <c r="N84" s="545"/>
      <c r="O84" s="545"/>
      <c r="P84" s="545"/>
      <c r="Q84" s="545"/>
      <c r="R84" s="545"/>
      <c r="S84" s="545"/>
      <c r="T84" s="545" t="s">
        <v>55</v>
      </c>
      <c r="U84" s="545"/>
      <c r="V84" s="545" t="s">
        <v>56</v>
      </c>
      <c r="W84" s="545"/>
      <c r="X84" s="545"/>
      <c r="Y84" s="545" t="s">
        <v>51</v>
      </c>
      <c r="Z84" s="545"/>
      <c r="AA84" s="545"/>
      <c r="AB84" s="545"/>
      <c r="AC84" s="545"/>
      <c r="AD84" s="546"/>
      <c r="AF84" s="53"/>
    </row>
    <row r="85" spans="1:32" ht="30.75" customHeight="1">
      <c r="A85" s="532">
        <v>1</v>
      </c>
      <c r="B85" s="533"/>
      <c r="C85" s="547"/>
      <c r="D85" s="547"/>
      <c r="E85" s="547"/>
      <c r="F85" s="547"/>
      <c r="G85" s="547"/>
      <c r="H85" s="547"/>
      <c r="I85" s="547"/>
      <c r="J85" s="547"/>
      <c r="K85" s="547"/>
      <c r="L85" s="547"/>
      <c r="M85" s="547"/>
      <c r="N85" s="547"/>
      <c r="O85" s="547"/>
      <c r="P85" s="547"/>
      <c r="Q85" s="547"/>
      <c r="R85" s="547"/>
      <c r="S85" s="547"/>
      <c r="T85" s="547"/>
      <c r="U85" s="547"/>
      <c r="V85" s="548"/>
      <c r="W85" s="548"/>
      <c r="X85" s="548"/>
      <c r="Y85" s="549"/>
      <c r="Z85" s="549"/>
      <c r="AA85" s="549"/>
      <c r="AB85" s="549"/>
      <c r="AC85" s="549"/>
      <c r="AD85" s="550"/>
      <c r="AF85" s="53"/>
    </row>
    <row r="86" spans="1:32" ht="30.75" customHeight="1">
      <c r="A86" s="524">
        <v>2</v>
      </c>
      <c r="B86" s="525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9"/>
      <c r="U86" s="559"/>
      <c r="V86" s="560"/>
      <c r="W86" s="560"/>
      <c r="X86" s="560"/>
      <c r="Y86" s="551"/>
      <c r="Z86" s="551"/>
      <c r="AA86" s="551"/>
      <c r="AB86" s="551"/>
      <c r="AC86" s="551"/>
      <c r="AD86" s="552"/>
      <c r="AF86" s="53"/>
    </row>
    <row r="87" spans="1:32" ht="30.75" customHeight="1" thickBot="1">
      <c r="A87" s="553">
        <v>3</v>
      </c>
      <c r="B87" s="554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555"/>
      <c r="Q87" s="555"/>
      <c r="R87" s="555"/>
      <c r="S87" s="555"/>
      <c r="T87" s="555"/>
      <c r="U87" s="555"/>
      <c r="V87" s="555"/>
      <c r="W87" s="555"/>
      <c r="X87" s="555"/>
      <c r="Y87" s="556"/>
      <c r="Z87" s="556"/>
      <c r="AA87" s="556"/>
      <c r="AB87" s="556"/>
      <c r="AC87" s="556"/>
      <c r="AD87" s="557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topLeftCell="A43" zoomScale="72" zoomScaleNormal="72" zoomScaleSheetLayoutView="70" workbookViewId="0">
      <selection activeCell="F68" sqref="F68:J6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51" t="s">
        <v>763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6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270" t="s">
        <v>17</v>
      </c>
      <c r="L5" s="270" t="s">
        <v>18</v>
      </c>
      <c r="M5" s="270" t="s">
        <v>19</v>
      </c>
      <c r="N5" s="270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6" ht="27" customHeight="1">
      <c r="A6" s="108">
        <v>1</v>
      </c>
      <c r="B6" s="11" t="s">
        <v>149</v>
      </c>
      <c r="C6" s="37" t="s">
        <v>707</v>
      </c>
      <c r="D6" s="55" t="s">
        <v>708</v>
      </c>
      <c r="E6" s="57" t="s">
        <v>709</v>
      </c>
      <c r="F6" s="33" t="s">
        <v>710</v>
      </c>
      <c r="G6" s="12">
        <v>3</v>
      </c>
      <c r="H6" s="13">
        <v>25</v>
      </c>
      <c r="I6" s="34">
        <v>100000</v>
      </c>
      <c r="J6" s="5">
        <v>15370</v>
      </c>
      <c r="K6" s="15">
        <f>L6+7182</f>
        <v>22551</v>
      </c>
      <c r="L6" s="15">
        <f>2493*3+2630*3</f>
        <v>15369</v>
      </c>
      <c r="M6" s="16">
        <f t="shared" ref="M6:M20" si="0">L6-N6</f>
        <v>15369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24</v>
      </c>
      <c r="Q6" s="43">
        <f t="shared" ref="Q6:Q20" si="3">SUM(R6:AA6)</f>
        <v>0</v>
      </c>
      <c r="R6" s="7"/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0.99993493819128176</v>
      </c>
      <c r="AC6" s="9">
        <f t="shared" ref="AC6:AC20" si="5">IF(P6=0,"0",(P6/24))</f>
        <v>1</v>
      </c>
      <c r="AD6" s="10">
        <f t="shared" ref="AD6:AD20" si="6">AC6*AB6*(1-O6)</f>
        <v>0.99993493819128176</v>
      </c>
      <c r="AE6" s="39">
        <f t="shared" ref="AE6:AE20" si="7">$AD$21</f>
        <v>0.55772822965818281</v>
      </c>
      <c r="AF6" s="94">
        <f t="shared" ref="AF6:AF20" si="8">A6</f>
        <v>1</v>
      </c>
    </row>
    <row r="7" spans="1:36" ht="27" customHeight="1">
      <c r="A7" s="108">
        <v>2</v>
      </c>
      <c r="B7" s="11" t="s">
        <v>149</v>
      </c>
      <c r="C7" s="37" t="s">
        <v>707</v>
      </c>
      <c r="D7" s="55" t="s">
        <v>764</v>
      </c>
      <c r="E7" s="57" t="s">
        <v>765</v>
      </c>
      <c r="F7" s="33" t="s">
        <v>766</v>
      </c>
      <c r="G7" s="12">
        <v>3</v>
      </c>
      <c r="H7" s="13">
        <v>25</v>
      </c>
      <c r="I7" s="34">
        <v>100000</v>
      </c>
      <c r="J7" s="5">
        <v>7940</v>
      </c>
      <c r="K7" s="15">
        <f>L7+3909+2650</f>
        <v>14494</v>
      </c>
      <c r="L7" s="15">
        <f>2536*3+109*3</f>
        <v>7935</v>
      </c>
      <c r="M7" s="16">
        <f t="shared" si="0"/>
        <v>7935</v>
      </c>
      <c r="N7" s="16">
        <v>0</v>
      </c>
      <c r="O7" s="62">
        <f t="shared" si="1"/>
        <v>0</v>
      </c>
      <c r="P7" s="42">
        <f t="shared" si="2"/>
        <v>19</v>
      </c>
      <c r="Q7" s="43">
        <f t="shared" si="3"/>
        <v>5</v>
      </c>
      <c r="R7" s="7"/>
      <c r="S7" s="6"/>
      <c r="T7" s="17">
        <v>5</v>
      </c>
      <c r="U7" s="17"/>
      <c r="V7" s="18"/>
      <c r="W7" s="19"/>
      <c r="X7" s="17"/>
      <c r="Y7" s="20"/>
      <c r="Z7" s="20"/>
      <c r="AA7" s="21"/>
      <c r="AB7" s="8">
        <f t="shared" si="4"/>
        <v>0.99937027707808568</v>
      </c>
      <c r="AC7" s="9">
        <f t="shared" si="5"/>
        <v>0.79166666666666663</v>
      </c>
      <c r="AD7" s="10">
        <f t="shared" si="6"/>
        <v>0.79116813602015112</v>
      </c>
      <c r="AE7" s="39">
        <f t="shared" si="7"/>
        <v>0.55772822965818281</v>
      </c>
      <c r="AF7" s="94">
        <f t="shared" si="8"/>
        <v>2</v>
      </c>
    </row>
    <row r="8" spans="1:36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65000</v>
      </c>
      <c r="J8" s="14">
        <v>3630</v>
      </c>
      <c r="K8" s="15">
        <f>L8+452+3795+3955+5414+5383+3788+2222+5252+4546+5439+6546+3282+3046</f>
        <v>56743</v>
      </c>
      <c r="L8" s="15">
        <f>728+2895</f>
        <v>3623</v>
      </c>
      <c r="M8" s="16">
        <f t="shared" si="0"/>
        <v>3623</v>
      </c>
      <c r="N8" s="16">
        <v>0</v>
      </c>
      <c r="O8" s="62">
        <f t="shared" si="1"/>
        <v>0</v>
      </c>
      <c r="P8" s="42">
        <f t="shared" si="2"/>
        <v>19</v>
      </c>
      <c r="Q8" s="43">
        <f t="shared" si="3"/>
        <v>5</v>
      </c>
      <c r="R8" s="7"/>
      <c r="S8" s="6">
        <v>5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0.99807162534435256</v>
      </c>
      <c r="AC8" s="9">
        <f t="shared" si="5"/>
        <v>0.79166666666666663</v>
      </c>
      <c r="AD8" s="10">
        <f t="shared" si="6"/>
        <v>0.79014003673094579</v>
      </c>
      <c r="AE8" s="39">
        <f t="shared" si="7"/>
        <v>0.55772822965818281</v>
      </c>
      <c r="AF8" s="94">
        <f>A8</f>
        <v>3</v>
      </c>
    </row>
    <row r="9" spans="1:36" ht="27" customHeight="1">
      <c r="A9" s="110">
        <v>4</v>
      </c>
      <c r="B9" s="11" t="s">
        <v>58</v>
      </c>
      <c r="C9" s="37" t="s">
        <v>118</v>
      </c>
      <c r="D9" s="55" t="s">
        <v>131</v>
      </c>
      <c r="E9" s="57" t="s">
        <v>620</v>
      </c>
      <c r="F9" s="33" t="s">
        <v>146</v>
      </c>
      <c r="G9" s="36">
        <v>1</v>
      </c>
      <c r="H9" s="38">
        <v>25</v>
      </c>
      <c r="I9" s="7">
        <v>15000</v>
      </c>
      <c r="J9" s="5">
        <v>2750</v>
      </c>
      <c r="K9" s="15">
        <f>L9+3691+5521+1619</f>
        <v>13573</v>
      </c>
      <c r="L9" s="15">
        <f>1014+1728</f>
        <v>2742</v>
      </c>
      <c r="M9" s="16">
        <f t="shared" si="0"/>
        <v>2742</v>
      </c>
      <c r="N9" s="16">
        <v>0</v>
      </c>
      <c r="O9" s="62">
        <f t="shared" si="1"/>
        <v>0</v>
      </c>
      <c r="P9" s="42">
        <f t="shared" si="2"/>
        <v>16</v>
      </c>
      <c r="Q9" s="43">
        <f t="shared" si="3"/>
        <v>8</v>
      </c>
      <c r="R9" s="7"/>
      <c r="S9" s="6">
        <v>8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0.99709090909090914</v>
      </c>
      <c r="AC9" s="9">
        <f t="shared" si="5"/>
        <v>0.66666666666666663</v>
      </c>
      <c r="AD9" s="10">
        <f t="shared" si="6"/>
        <v>0.66472727272727272</v>
      </c>
      <c r="AE9" s="39">
        <f t="shared" si="7"/>
        <v>0.55772822965818281</v>
      </c>
      <c r="AF9" s="94">
        <f t="shared" ref="AF9:AF10" si="9">A9</f>
        <v>4</v>
      </c>
    </row>
    <row r="10" spans="1:36" ht="27" customHeight="1">
      <c r="A10" s="110">
        <v>5</v>
      </c>
      <c r="B10" s="11" t="s">
        <v>58</v>
      </c>
      <c r="C10" s="11" t="s">
        <v>667</v>
      </c>
      <c r="D10" s="55" t="s">
        <v>767</v>
      </c>
      <c r="E10" s="57" t="s">
        <v>768</v>
      </c>
      <c r="F10" s="12" t="s">
        <v>670</v>
      </c>
      <c r="G10" s="12">
        <v>1</v>
      </c>
      <c r="H10" s="13">
        <v>25</v>
      </c>
      <c r="I10" s="34">
        <v>500</v>
      </c>
      <c r="J10" s="14">
        <v>960</v>
      </c>
      <c r="K10" s="15">
        <f>L10</f>
        <v>959</v>
      </c>
      <c r="L10" s="15">
        <v>959</v>
      </c>
      <c r="M10" s="16">
        <f t="shared" si="0"/>
        <v>959</v>
      </c>
      <c r="N10" s="16">
        <v>0</v>
      </c>
      <c r="O10" s="62">
        <f t="shared" si="1"/>
        <v>0</v>
      </c>
      <c r="P10" s="42">
        <f t="shared" si="2"/>
        <v>6</v>
      </c>
      <c r="Q10" s="43">
        <f t="shared" si="3"/>
        <v>18</v>
      </c>
      <c r="R10" s="7"/>
      <c r="S10" s="6"/>
      <c r="T10" s="17"/>
      <c r="U10" s="17"/>
      <c r="V10" s="18"/>
      <c r="W10" s="19">
        <v>18</v>
      </c>
      <c r="X10" s="17"/>
      <c r="Y10" s="20"/>
      <c r="Z10" s="20"/>
      <c r="AA10" s="21"/>
      <c r="AB10" s="8">
        <f t="shared" si="4"/>
        <v>0.99895833333333328</v>
      </c>
      <c r="AC10" s="9">
        <f t="shared" si="5"/>
        <v>0.25</v>
      </c>
      <c r="AD10" s="10">
        <f t="shared" si="6"/>
        <v>0.24973958333333332</v>
      </c>
      <c r="AE10" s="39">
        <f t="shared" si="7"/>
        <v>0.55772822965818281</v>
      </c>
      <c r="AF10" s="94">
        <f t="shared" si="9"/>
        <v>5</v>
      </c>
    </row>
    <row r="11" spans="1:36" ht="27" customHeight="1">
      <c r="A11" s="110">
        <v>6</v>
      </c>
      <c r="B11" s="11" t="s">
        <v>58</v>
      </c>
      <c r="C11" s="11" t="s">
        <v>445</v>
      </c>
      <c r="D11" s="55" t="s">
        <v>711</v>
      </c>
      <c r="E11" s="57" t="s">
        <v>700</v>
      </c>
      <c r="F11" s="12" t="s">
        <v>713</v>
      </c>
      <c r="G11" s="12">
        <v>1</v>
      </c>
      <c r="H11" s="13">
        <v>25</v>
      </c>
      <c r="I11" s="34">
        <v>40000</v>
      </c>
      <c r="J11" s="14">
        <v>650</v>
      </c>
      <c r="K11" s="15">
        <f>L11</f>
        <v>0</v>
      </c>
      <c r="L11" s="15">
        <v>0</v>
      </c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>
        <v>24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0.55772822965818281</v>
      </c>
      <c r="AF11" s="94">
        <f t="shared" si="8"/>
        <v>6</v>
      </c>
    </row>
    <row r="12" spans="1:36" ht="27" customHeight="1">
      <c r="A12" s="110">
        <v>7</v>
      </c>
      <c r="B12" s="11" t="s">
        <v>58</v>
      </c>
      <c r="C12" s="11" t="s">
        <v>118</v>
      </c>
      <c r="D12" s="55" t="s">
        <v>57</v>
      </c>
      <c r="E12" s="57" t="s">
        <v>160</v>
      </c>
      <c r="F12" s="12" t="s">
        <v>145</v>
      </c>
      <c r="G12" s="12">
        <v>1</v>
      </c>
      <c r="H12" s="13">
        <v>25</v>
      </c>
      <c r="I12" s="7">
        <v>62000</v>
      </c>
      <c r="J12" s="14">
        <v>3380</v>
      </c>
      <c r="K12" s="15">
        <f>L12+3062+3955+2262+4171+4492+4201+2422+2930+4783+1827+2695+1564+2934+3400+3995+2189+1746</f>
        <v>56008</v>
      </c>
      <c r="L12" s="15">
        <f>2015+1365</f>
        <v>3380</v>
      </c>
      <c r="M12" s="16">
        <f t="shared" si="0"/>
        <v>3380</v>
      </c>
      <c r="N12" s="16">
        <v>0</v>
      </c>
      <c r="O12" s="62">
        <f t="shared" si="1"/>
        <v>0</v>
      </c>
      <c r="P12" s="42">
        <f t="shared" si="2"/>
        <v>19</v>
      </c>
      <c r="Q12" s="43">
        <f t="shared" si="3"/>
        <v>5</v>
      </c>
      <c r="R12" s="7"/>
      <c r="S12" s="6">
        <v>5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0.79166666666666663</v>
      </c>
      <c r="AD12" s="10">
        <f t="shared" si="6"/>
        <v>0.79166666666666663</v>
      </c>
      <c r="AE12" s="39">
        <f t="shared" si="7"/>
        <v>0.55772822965818281</v>
      </c>
      <c r="AF12" s="94">
        <f t="shared" si="8"/>
        <v>7</v>
      </c>
    </row>
    <row r="13" spans="1:36" ht="27" customHeight="1">
      <c r="A13" s="110">
        <v>8</v>
      </c>
      <c r="B13" s="11" t="s">
        <v>58</v>
      </c>
      <c r="C13" s="11" t="s">
        <v>195</v>
      </c>
      <c r="D13" s="55" t="s">
        <v>382</v>
      </c>
      <c r="E13" s="57" t="s">
        <v>577</v>
      </c>
      <c r="F13" s="12">
        <v>7301</v>
      </c>
      <c r="G13" s="12">
        <v>1</v>
      </c>
      <c r="H13" s="13">
        <v>25</v>
      </c>
      <c r="I13" s="7">
        <v>20000</v>
      </c>
      <c r="J13" s="14">
        <v>5200</v>
      </c>
      <c r="K13" s="15">
        <f>L13+3305+4685+5566+4846</f>
        <v>23600</v>
      </c>
      <c r="L13" s="15">
        <f>2703+2495</f>
        <v>5198</v>
      </c>
      <c r="M13" s="16">
        <f t="shared" si="0"/>
        <v>5198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0.99961538461538457</v>
      </c>
      <c r="AC13" s="9">
        <f t="shared" si="5"/>
        <v>1</v>
      </c>
      <c r="AD13" s="10">
        <f t="shared" si="6"/>
        <v>0.99961538461538457</v>
      </c>
      <c r="AE13" s="39">
        <f t="shared" si="7"/>
        <v>0.55772822965818281</v>
      </c>
      <c r="AF13" s="94">
        <f t="shared" si="8"/>
        <v>8</v>
      </c>
    </row>
    <row r="14" spans="1:36" ht="27" customHeight="1">
      <c r="A14" s="109">
        <v>9</v>
      </c>
      <c r="B14" s="11" t="s">
        <v>149</v>
      </c>
      <c r="C14" s="37" t="s">
        <v>163</v>
      </c>
      <c r="D14" s="55" t="s">
        <v>190</v>
      </c>
      <c r="E14" s="57" t="s">
        <v>436</v>
      </c>
      <c r="F14" s="33" t="s">
        <v>437</v>
      </c>
      <c r="G14" s="36">
        <v>1</v>
      </c>
      <c r="H14" s="38">
        <v>25</v>
      </c>
      <c r="I14" s="7">
        <v>11000</v>
      </c>
      <c r="J14" s="5">
        <v>2330</v>
      </c>
      <c r="K14" s="15">
        <f>L14+2030+3617+4261+2322</f>
        <v>12230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0.55772822965818281</v>
      </c>
      <c r="AF14" s="94">
        <f t="shared" si="8"/>
        <v>9</v>
      </c>
    </row>
    <row r="15" spans="1:36" ht="27" customHeight="1">
      <c r="A15" s="109">
        <v>10</v>
      </c>
      <c r="B15" s="11" t="s">
        <v>149</v>
      </c>
      <c r="C15" s="11" t="s">
        <v>195</v>
      </c>
      <c r="D15" s="55" t="s">
        <v>420</v>
      </c>
      <c r="E15" s="57" t="s">
        <v>421</v>
      </c>
      <c r="F15" s="12">
        <v>8301</v>
      </c>
      <c r="G15" s="12">
        <v>1</v>
      </c>
      <c r="H15" s="13">
        <v>20</v>
      </c>
      <c r="I15" s="34">
        <v>21000</v>
      </c>
      <c r="J15" s="14">
        <v>5590</v>
      </c>
      <c r="K15" s="15">
        <f>L15+2754+4879+4902+4434+5553+5546+3393</f>
        <v>37048</v>
      </c>
      <c r="L15" s="15">
        <v>5587</v>
      </c>
      <c r="M15" s="16">
        <f t="shared" si="0"/>
        <v>5587</v>
      </c>
      <c r="N15" s="16">
        <v>0</v>
      </c>
      <c r="O15" s="62">
        <f t="shared" si="1"/>
        <v>0</v>
      </c>
      <c r="P15" s="42">
        <f t="shared" si="2"/>
        <v>24</v>
      </c>
      <c r="Q15" s="43">
        <f t="shared" si="3"/>
        <v>0</v>
      </c>
      <c r="R15" s="7"/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0.99946332737030408</v>
      </c>
      <c r="AC15" s="9">
        <f t="shared" si="5"/>
        <v>1</v>
      </c>
      <c r="AD15" s="10">
        <f t="shared" si="6"/>
        <v>0.99946332737030408</v>
      </c>
      <c r="AE15" s="39">
        <f t="shared" si="7"/>
        <v>0.55772822965818281</v>
      </c>
      <c r="AF15" s="94">
        <f t="shared" si="8"/>
        <v>10</v>
      </c>
    </row>
    <row r="16" spans="1:36" ht="27.75" customHeight="1">
      <c r="A16" s="109">
        <v>11</v>
      </c>
      <c r="B16" s="11" t="s">
        <v>149</v>
      </c>
      <c r="C16" s="11" t="s">
        <v>137</v>
      </c>
      <c r="D16" s="55" t="s">
        <v>514</v>
      </c>
      <c r="E16" s="56" t="s">
        <v>654</v>
      </c>
      <c r="F16" s="12" t="s">
        <v>673</v>
      </c>
      <c r="G16" s="36">
        <v>1</v>
      </c>
      <c r="H16" s="38">
        <v>25</v>
      </c>
      <c r="I16" s="7">
        <v>4000</v>
      </c>
      <c r="J16" s="14">
        <v>5700</v>
      </c>
      <c r="K16" s="15">
        <f>L16+5700</f>
        <v>5700</v>
      </c>
      <c r="L16" s="15">
        <v>0</v>
      </c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/>
      <c r="X16" s="17"/>
      <c r="Y16" s="20"/>
      <c r="Z16" s="20"/>
      <c r="AA16" s="21">
        <v>24</v>
      </c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0.55772822965818281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149</v>
      </c>
      <c r="C17" s="37" t="s">
        <v>133</v>
      </c>
      <c r="D17" s="55" t="s">
        <v>621</v>
      </c>
      <c r="E17" s="56" t="s">
        <v>622</v>
      </c>
      <c r="F17" s="12" t="s">
        <v>281</v>
      </c>
      <c r="G17" s="12">
        <v>4</v>
      </c>
      <c r="H17" s="13">
        <v>25</v>
      </c>
      <c r="I17" s="34">
        <v>11000</v>
      </c>
      <c r="J17" s="5">
        <v>16150</v>
      </c>
      <c r="K17" s="15">
        <f>L17+16148</f>
        <v>16148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0.55772822965818281</v>
      </c>
      <c r="AF17" s="94">
        <f t="shared" ref="AF17" si="10">A17</f>
        <v>12</v>
      </c>
    </row>
    <row r="18" spans="1:32" ht="27" customHeight="1">
      <c r="A18" s="110">
        <v>13</v>
      </c>
      <c r="B18" s="11" t="s">
        <v>58</v>
      </c>
      <c r="C18" s="37" t="s">
        <v>769</v>
      </c>
      <c r="D18" s="55"/>
      <c r="E18" s="57" t="s">
        <v>770</v>
      </c>
      <c r="F18" s="33" t="s">
        <v>771</v>
      </c>
      <c r="G18" s="36">
        <v>1</v>
      </c>
      <c r="H18" s="38">
        <v>25</v>
      </c>
      <c r="I18" s="7">
        <v>3000</v>
      </c>
      <c r="J18" s="5">
        <v>10810</v>
      </c>
      <c r="K18" s="15">
        <f>L18</f>
        <v>10810</v>
      </c>
      <c r="L18" s="15">
        <f>3074*2+2331*2</f>
        <v>10810</v>
      </c>
      <c r="M18" s="16">
        <f t="shared" si="0"/>
        <v>10810</v>
      </c>
      <c r="N18" s="16">
        <v>0</v>
      </c>
      <c r="O18" s="62">
        <f t="shared" si="1"/>
        <v>0</v>
      </c>
      <c r="P18" s="42">
        <f t="shared" si="2"/>
        <v>22</v>
      </c>
      <c r="Q18" s="43">
        <f t="shared" si="3"/>
        <v>2</v>
      </c>
      <c r="R18" s="7"/>
      <c r="S18" s="6"/>
      <c r="T18" s="17">
        <v>2</v>
      </c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0.91666666666666663</v>
      </c>
      <c r="AD18" s="10">
        <f t="shared" si="6"/>
        <v>0.91666666666666663</v>
      </c>
      <c r="AE18" s="39">
        <f t="shared" si="7"/>
        <v>0.55772822965818281</v>
      </c>
      <c r="AF18" s="94">
        <f t="shared" si="8"/>
        <v>13</v>
      </c>
    </row>
    <row r="19" spans="1:32" ht="27" customHeight="1">
      <c r="A19" s="110">
        <v>14</v>
      </c>
      <c r="B19" s="11" t="s">
        <v>58</v>
      </c>
      <c r="C19" s="11" t="s">
        <v>118</v>
      </c>
      <c r="D19" s="55" t="s">
        <v>442</v>
      </c>
      <c r="E19" s="56" t="s">
        <v>772</v>
      </c>
      <c r="F19" s="12">
        <v>7301</v>
      </c>
      <c r="G19" s="12">
        <v>1</v>
      </c>
      <c r="H19" s="38">
        <v>25</v>
      </c>
      <c r="I19" s="34">
        <v>4000</v>
      </c>
      <c r="J19" s="5">
        <v>350</v>
      </c>
      <c r="K19" s="15">
        <f>L19</f>
        <v>342</v>
      </c>
      <c r="L19" s="15">
        <v>342</v>
      </c>
      <c r="M19" s="16">
        <f t="shared" si="0"/>
        <v>342</v>
      </c>
      <c r="N19" s="16">
        <v>0</v>
      </c>
      <c r="O19" s="62">
        <f t="shared" si="1"/>
        <v>0</v>
      </c>
      <c r="P19" s="42">
        <f t="shared" si="2"/>
        <v>4</v>
      </c>
      <c r="Q19" s="43">
        <f t="shared" si="3"/>
        <v>20</v>
      </c>
      <c r="R19" s="7"/>
      <c r="S19" s="6">
        <v>20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0.97714285714285709</v>
      </c>
      <c r="AC19" s="9">
        <f t="shared" si="5"/>
        <v>0.16666666666666666</v>
      </c>
      <c r="AD19" s="10">
        <f t="shared" si="6"/>
        <v>0.16285714285714284</v>
      </c>
      <c r="AE19" s="39">
        <f t="shared" si="7"/>
        <v>0.55772822965818281</v>
      </c>
      <c r="AF19" s="94">
        <f t="shared" si="8"/>
        <v>14</v>
      </c>
    </row>
    <row r="20" spans="1:32" ht="27" customHeight="1" thickBot="1">
      <c r="A20" s="110">
        <v>15</v>
      </c>
      <c r="B20" s="11" t="s">
        <v>58</v>
      </c>
      <c r="C20" s="11" t="s">
        <v>115</v>
      </c>
      <c r="D20" s="55"/>
      <c r="E20" s="56" t="s">
        <v>714</v>
      </c>
      <c r="F20" s="12" t="s">
        <v>116</v>
      </c>
      <c r="G20" s="12">
        <v>4</v>
      </c>
      <c r="H20" s="38">
        <v>15</v>
      </c>
      <c r="I20" s="7">
        <v>300000</v>
      </c>
      <c r="J20" s="14">
        <v>71800</v>
      </c>
      <c r="K20" s="15">
        <f>L20+45160</f>
        <v>116956</v>
      </c>
      <c r="L20" s="15">
        <f>9108*4+8841*4</f>
        <v>71796</v>
      </c>
      <c r="M20" s="16">
        <f t="shared" si="0"/>
        <v>71796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0.99994428969359328</v>
      </c>
      <c r="AC20" s="9">
        <f t="shared" si="5"/>
        <v>1</v>
      </c>
      <c r="AD20" s="10">
        <f t="shared" si="6"/>
        <v>0.99994428969359328</v>
      </c>
      <c r="AE20" s="39">
        <f t="shared" si="7"/>
        <v>0.55772822965818281</v>
      </c>
      <c r="AF20" s="94">
        <f t="shared" si="8"/>
        <v>15</v>
      </c>
    </row>
    <row r="21" spans="1:32" ht="31.5" customHeight="1" thickBot="1">
      <c r="A21" s="465" t="s">
        <v>34</v>
      </c>
      <c r="B21" s="466"/>
      <c r="C21" s="466"/>
      <c r="D21" s="466"/>
      <c r="E21" s="466"/>
      <c r="F21" s="466"/>
      <c r="G21" s="466"/>
      <c r="H21" s="467"/>
      <c r="I21" s="25">
        <f t="shared" ref="I21:N21" si="11">SUM(I6:I20)</f>
        <v>756500</v>
      </c>
      <c r="J21" s="22">
        <f t="shared" si="11"/>
        <v>152610</v>
      </c>
      <c r="K21" s="23">
        <f t="shared" si="11"/>
        <v>387162</v>
      </c>
      <c r="L21" s="24">
        <f t="shared" si="11"/>
        <v>127741</v>
      </c>
      <c r="M21" s="23">
        <f t="shared" si="11"/>
        <v>127741</v>
      </c>
      <c r="N21" s="24">
        <f t="shared" si="11"/>
        <v>0</v>
      </c>
      <c r="O21" s="44">
        <f t="shared" si="1"/>
        <v>0</v>
      </c>
      <c r="P21" s="45">
        <f t="shared" ref="P21:AA21" si="12">SUM(P6:P20)</f>
        <v>201</v>
      </c>
      <c r="Q21" s="46">
        <f t="shared" si="12"/>
        <v>159</v>
      </c>
      <c r="R21" s="26">
        <f t="shared" si="12"/>
        <v>0</v>
      </c>
      <c r="S21" s="27">
        <f t="shared" si="12"/>
        <v>62</v>
      </c>
      <c r="T21" s="27">
        <f t="shared" si="12"/>
        <v>7</v>
      </c>
      <c r="U21" s="27">
        <f t="shared" si="12"/>
        <v>0</v>
      </c>
      <c r="V21" s="28">
        <f t="shared" si="12"/>
        <v>0</v>
      </c>
      <c r="W21" s="29">
        <f t="shared" si="12"/>
        <v>66</v>
      </c>
      <c r="X21" s="30">
        <f t="shared" si="12"/>
        <v>0</v>
      </c>
      <c r="Y21" s="30">
        <f t="shared" si="12"/>
        <v>0</v>
      </c>
      <c r="Z21" s="30">
        <f t="shared" si="12"/>
        <v>0</v>
      </c>
      <c r="AA21" s="30">
        <f t="shared" si="12"/>
        <v>24</v>
      </c>
      <c r="AB21" s="31">
        <f>SUM(AB6:AB20)/15</f>
        <v>0.73130612945734008</v>
      </c>
      <c r="AC21" s="4">
        <f>SUM(AC6:AC20)/15</f>
        <v>0.55833333333333335</v>
      </c>
      <c r="AD21" s="4">
        <f>SUM(AD6:AD20)/15</f>
        <v>0.55772822965818281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68" t="s">
        <v>45</v>
      </c>
      <c r="B48" s="468"/>
      <c r="C48" s="468"/>
      <c r="D48" s="468"/>
      <c r="E48" s="468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69" t="s">
        <v>773</v>
      </c>
      <c r="B49" s="470"/>
      <c r="C49" s="470"/>
      <c r="D49" s="470"/>
      <c r="E49" s="470"/>
      <c r="F49" s="470"/>
      <c r="G49" s="470"/>
      <c r="H49" s="470"/>
      <c r="I49" s="470"/>
      <c r="J49" s="470"/>
      <c r="K49" s="470"/>
      <c r="L49" s="470"/>
      <c r="M49" s="471"/>
      <c r="N49" s="472" t="s">
        <v>780</v>
      </c>
      <c r="O49" s="473"/>
      <c r="P49" s="473"/>
      <c r="Q49" s="473"/>
      <c r="R49" s="473"/>
      <c r="S49" s="473"/>
      <c r="T49" s="473"/>
      <c r="U49" s="473"/>
      <c r="V49" s="473"/>
      <c r="W49" s="473"/>
      <c r="X49" s="473"/>
      <c r="Y49" s="473"/>
      <c r="Z49" s="473"/>
      <c r="AA49" s="473"/>
      <c r="AB49" s="473"/>
      <c r="AC49" s="473"/>
      <c r="AD49" s="474"/>
    </row>
    <row r="50" spans="1:32" ht="27" customHeight="1">
      <c r="A50" s="475" t="s">
        <v>2</v>
      </c>
      <c r="B50" s="476"/>
      <c r="C50" s="271" t="s">
        <v>46</v>
      </c>
      <c r="D50" s="271" t="s">
        <v>47</v>
      </c>
      <c r="E50" s="271" t="s">
        <v>109</v>
      </c>
      <c r="F50" s="476" t="s">
        <v>108</v>
      </c>
      <c r="G50" s="476"/>
      <c r="H50" s="476"/>
      <c r="I50" s="476"/>
      <c r="J50" s="476"/>
      <c r="K50" s="476"/>
      <c r="L50" s="476"/>
      <c r="M50" s="477"/>
      <c r="N50" s="73" t="s">
        <v>113</v>
      </c>
      <c r="O50" s="271" t="s">
        <v>46</v>
      </c>
      <c r="P50" s="478" t="s">
        <v>47</v>
      </c>
      <c r="Q50" s="479"/>
      <c r="R50" s="478" t="s">
        <v>38</v>
      </c>
      <c r="S50" s="480"/>
      <c r="T50" s="480"/>
      <c r="U50" s="479"/>
      <c r="V50" s="478" t="s">
        <v>48</v>
      </c>
      <c r="W50" s="480"/>
      <c r="X50" s="480"/>
      <c r="Y50" s="480"/>
      <c r="Z50" s="480"/>
      <c r="AA50" s="480"/>
      <c r="AB50" s="480"/>
      <c r="AC50" s="480"/>
      <c r="AD50" s="481"/>
    </row>
    <row r="51" spans="1:32" ht="27" customHeight="1">
      <c r="A51" s="492" t="s">
        <v>562</v>
      </c>
      <c r="B51" s="493"/>
      <c r="C51" s="272" t="s">
        <v>650</v>
      </c>
      <c r="D51" s="273" t="s">
        <v>774</v>
      </c>
      <c r="E51" s="272" t="s">
        <v>765</v>
      </c>
      <c r="F51" s="494" t="s">
        <v>409</v>
      </c>
      <c r="G51" s="494"/>
      <c r="H51" s="494"/>
      <c r="I51" s="494"/>
      <c r="J51" s="494"/>
      <c r="K51" s="494"/>
      <c r="L51" s="494"/>
      <c r="M51" s="495"/>
      <c r="N51" s="277" t="s">
        <v>303</v>
      </c>
      <c r="O51" s="74" t="s">
        <v>725</v>
      </c>
      <c r="P51" s="496" t="s">
        <v>781</v>
      </c>
      <c r="Q51" s="497"/>
      <c r="R51" s="498" t="s">
        <v>782</v>
      </c>
      <c r="S51" s="498"/>
      <c r="T51" s="498"/>
      <c r="U51" s="498"/>
      <c r="V51" s="494" t="s">
        <v>775</v>
      </c>
      <c r="W51" s="494"/>
      <c r="X51" s="494"/>
      <c r="Y51" s="494"/>
      <c r="Z51" s="494"/>
      <c r="AA51" s="494"/>
      <c r="AB51" s="494"/>
      <c r="AC51" s="494"/>
      <c r="AD51" s="495"/>
    </row>
    <row r="52" spans="1:32" ht="27" customHeight="1">
      <c r="A52" s="492" t="s">
        <v>327</v>
      </c>
      <c r="B52" s="493"/>
      <c r="C52" s="272" t="s">
        <v>679</v>
      </c>
      <c r="D52" s="273" t="s">
        <v>442</v>
      </c>
      <c r="E52" s="272" t="s">
        <v>160</v>
      </c>
      <c r="F52" s="494" t="s">
        <v>775</v>
      </c>
      <c r="G52" s="494"/>
      <c r="H52" s="494"/>
      <c r="I52" s="494"/>
      <c r="J52" s="494"/>
      <c r="K52" s="494"/>
      <c r="L52" s="494"/>
      <c r="M52" s="495"/>
      <c r="N52" s="277" t="s">
        <v>118</v>
      </c>
      <c r="O52" s="74" t="s">
        <v>472</v>
      </c>
      <c r="P52" s="496" t="s">
        <v>711</v>
      </c>
      <c r="Q52" s="497"/>
      <c r="R52" s="498" t="s">
        <v>746</v>
      </c>
      <c r="S52" s="498"/>
      <c r="T52" s="498"/>
      <c r="U52" s="498"/>
      <c r="V52" s="494" t="s">
        <v>747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118</v>
      </c>
      <c r="B53" s="493"/>
      <c r="C53" s="272" t="s">
        <v>472</v>
      </c>
      <c r="D53" s="273" t="s">
        <v>711</v>
      </c>
      <c r="E53" s="272" t="s">
        <v>719</v>
      </c>
      <c r="F53" s="494" t="s">
        <v>776</v>
      </c>
      <c r="G53" s="494"/>
      <c r="H53" s="494"/>
      <c r="I53" s="494"/>
      <c r="J53" s="494"/>
      <c r="K53" s="494"/>
      <c r="L53" s="494"/>
      <c r="M53" s="495"/>
      <c r="N53" s="277" t="s">
        <v>118</v>
      </c>
      <c r="O53" s="74" t="s">
        <v>783</v>
      </c>
      <c r="P53" s="496" t="s">
        <v>442</v>
      </c>
      <c r="Q53" s="497"/>
      <c r="R53" s="498" t="s">
        <v>784</v>
      </c>
      <c r="S53" s="498"/>
      <c r="T53" s="498"/>
      <c r="U53" s="498"/>
      <c r="V53" s="494" t="s">
        <v>785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327</v>
      </c>
      <c r="B54" s="493"/>
      <c r="C54" s="272" t="s">
        <v>725</v>
      </c>
      <c r="D54" s="273" t="s">
        <v>726</v>
      </c>
      <c r="E54" s="272" t="s">
        <v>165</v>
      </c>
      <c r="F54" s="494" t="s">
        <v>777</v>
      </c>
      <c r="G54" s="494"/>
      <c r="H54" s="494"/>
      <c r="I54" s="494"/>
      <c r="J54" s="494"/>
      <c r="K54" s="494"/>
      <c r="L54" s="494"/>
      <c r="M54" s="495"/>
      <c r="N54" s="277" t="s">
        <v>445</v>
      </c>
      <c r="O54" s="74" t="s">
        <v>702</v>
      </c>
      <c r="P54" s="496" t="s">
        <v>131</v>
      </c>
      <c r="Q54" s="497"/>
      <c r="R54" s="498" t="s">
        <v>700</v>
      </c>
      <c r="S54" s="498"/>
      <c r="T54" s="498"/>
      <c r="U54" s="498"/>
      <c r="V54" s="494" t="s">
        <v>747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133</v>
      </c>
      <c r="B55" s="493"/>
      <c r="C55" s="272" t="s">
        <v>702</v>
      </c>
      <c r="D55" s="273" t="s">
        <v>711</v>
      </c>
      <c r="E55" s="272" t="s">
        <v>700</v>
      </c>
      <c r="F55" s="494" t="s">
        <v>778</v>
      </c>
      <c r="G55" s="494"/>
      <c r="H55" s="494"/>
      <c r="I55" s="494"/>
      <c r="J55" s="494"/>
      <c r="K55" s="494"/>
      <c r="L55" s="494"/>
      <c r="M55" s="495"/>
      <c r="N55" s="277" t="s">
        <v>303</v>
      </c>
      <c r="O55" s="74" t="s">
        <v>786</v>
      </c>
      <c r="P55" s="496" t="s">
        <v>788</v>
      </c>
      <c r="Q55" s="497"/>
      <c r="R55" s="498" t="s">
        <v>789</v>
      </c>
      <c r="S55" s="498"/>
      <c r="T55" s="498"/>
      <c r="U55" s="498"/>
      <c r="V55" s="494" t="s">
        <v>787</v>
      </c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327</v>
      </c>
      <c r="B56" s="493"/>
      <c r="C56" s="272" t="s">
        <v>736</v>
      </c>
      <c r="D56" s="273" t="s">
        <v>737</v>
      </c>
      <c r="E56" s="272" t="s">
        <v>772</v>
      </c>
      <c r="F56" s="494" t="s">
        <v>779</v>
      </c>
      <c r="G56" s="494"/>
      <c r="H56" s="494"/>
      <c r="I56" s="494"/>
      <c r="J56" s="494"/>
      <c r="K56" s="494"/>
      <c r="L56" s="494"/>
      <c r="M56" s="495"/>
      <c r="N56" s="277"/>
      <c r="O56" s="74"/>
      <c r="P56" s="498"/>
      <c r="Q56" s="498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 t="s">
        <v>769</v>
      </c>
      <c r="B57" s="493"/>
      <c r="C57" s="272" t="s">
        <v>786</v>
      </c>
      <c r="D57" s="273"/>
      <c r="E57" s="272" t="s">
        <v>770</v>
      </c>
      <c r="F57" s="494" t="s">
        <v>787</v>
      </c>
      <c r="G57" s="494"/>
      <c r="H57" s="494"/>
      <c r="I57" s="494"/>
      <c r="J57" s="494"/>
      <c r="K57" s="494"/>
      <c r="L57" s="494"/>
      <c r="M57" s="495"/>
      <c r="N57" s="277"/>
      <c r="O57" s="74"/>
      <c r="P57" s="496"/>
      <c r="Q57" s="497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/>
      <c r="B58" s="493"/>
      <c r="C58" s="272"/>
      <c r="D58" s="273"/>
      <c r="E58" s="272"/>
      <c r="F58" s="494"/>
      <c r="G58" s="494"/>
      <c r="H58" s="494"/>
      <c r="I58" s="494"/>
      <c r="J58" s="494"/>
      <c r="K58" s="494"/>
      <c r="L58" s="494"/>
      <c r="M58" s="495"/>
      <c r="N58" s="277"/>
      <c r="O58" s="74"/>
      <c r="P58" s="498"/>
      <c r="Q58" s="498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508"/>
      <c r="B59" s="498"/>
      <c r="C59" s="273"/>
      <c r="D59" s="273"/>
      <c r="E59" s="273"/>
      <c r="F59" s="494"/>
      <c r="G59" s="494"/>
      <c r="H59" s="494"/>
      <c r="I59" s="494"/>
      <c r="J59" s="494"/>
      <c r="K59" s="494"/>
      <c r="L59" s="494"/>
      <c r="M59" s="495"/>
      <c r="N59" s="277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  <c r="AF59" s="94">
        <f>8*3000</f>
        <v>24000</v>
      </c>
    </row>
    <row r="60" spans="1:32" ht="27" customHeight="1" thickBot="1">
      <c r="A60" s="499"/>
      <c r="B60" s="500"/>
      <c r="C60" s="275"/>
      <c r="D60" s="275"/>
      <c r="E60" s="275"/>
      <c r="F60" s="501"/>
      <c r="G60" s="501"/>
      <c r="H60" s="501"/>
      <c r="I60" s="501"/>
      <c r="J60" s="501"/>
      <c r="K60" s="501"/>
      <c r="L60" s="501"/>
      <c r="M60" s="502"/>
      <c r="N60" s="274"/>
      <c r="O60" s="121"/>
      <c r="P60" s="500"/>
      <c r="Q60" s="500"/>
      <c r="R60" s="500"/>
      <c r="S60" s="500"/>
      <c r="T60" s="500"/>
      <c r="U60" s="500"/>
      <c r="V60" s="501"/>
      <c r="W60" s="501"/>
      <c r="X60" s="501"/>
      <c r="Y60" s="501"/>
      <c r="Z60" s="501"/>
      <c r="AA60" s="501"/>
      <c r="AB60" s="501"/>
      <c r="AC60" s="501"/>
      <c r="AD60" s="502"/>
      <c r="AF60" s="94">
        <f>16*3000</f>
        <v>48000</v>
      </c>
    </row>
    <row r="61" spans="1:32" ht="27.75" thickBot="1">
      <c r="A61" s="503" t="s">
        <v>790</v>
      </c>
      <c r="B61" s="503"/>
      <c r="C61" s="503"/>
      <c r="D61" s="503"/>
      <c r="E61" s="503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504" t="s">
        <v>114</v>
      </c>
      <c r="B62" s="505"/>
      <c r="C62" s="276" t="s">
        <v>2</v>
      </c>
      <c r="D62" s="276" t="s">
        <v>37</v>
      </c>
      <c r="E62" s="276" t="s">
        <v>3</v>
      </c>
      <c r="F62" s="505" t="s">
        <v>111</v>
      </c>
      <c r="G62" s="505"/>
      <c r="H62" s="505"/>
      <c r="I62" s="505"/>
      <c r="J62" s="505"/>
      <c r="K62" s="505" t="s">
        <v>39</v>
      </c>
      <c r="L62" s="505"/>
      <c r="M62" s="276" t="s">
        <v>40</v>
      </c>
      <c r="N62" s="505" t="s">
        <v>41</v>
      </c>
      <c r="O62" s="505"/>
      <c r="P62" s="506" t="s">
        <v>42</v>
      </c>
      <c r="Q62" s="507"/>
      <c r="R62" s="506" t="s">
        <v>43</v>
      </c>
      <c r="S62" s="509"/>
      <c r="T62" s="509"/>
      <c r="U62" s="509"/>
      <c r="V62" s="509"/>
      <c r="W62" s="509"/>
      <c r="X62" s="509"/>
      <c r="Y62" s="509"/>
      <c r="Z62" s="509"/>
      <c r="AA62" s="507"/>
      <c r="AB62" s="505" t="s">
        <v>44</v>
      </c>
      <c r="AC62" s="505"/>
      <c r="AD62" s="510"/>
      <c r="AF62" s="94">
        <f>SUM(AF59:AF61)</f>
        <v>96000</v>
      </c>
    </row>
    <row r="63" spans="1:32" ht="25.5" customHeight="1">
      <c r="A63" s="511">
        <v>1</v>
      </c>
      <c r="B63" s="512"/>
      <c r="C63" s="124" t="s">
        <v>752</v>
      </c>
      <c r="D63" s="280"/>
      <c r="E63" s="278" t="s">
        <v>791</v>
      </c>
      <c r="F63" s="513"/>
      <c r="G63" s="514"/>
      <c r="H63" s="514"/>
      <c r="I63" s="514"/>
      <c r="J63" s="514"/>
      <c r="K63" s="514" t="s">
        <v>792</v>
      </c>
      <c r="L63" s="514"/>
      <c r="M63" s="54" t="s">
        <v>793</v>
      </c>
      <c r="N63" s="514">
        <v>11</v>
      </c>
      <c r="O63" s="514"/>
      <c r="P63" s="515" t="s">
        <v>756</v>
      </c>
      <c r="Q63" s="515"/>
      <c r="R63" s="494" t="s">
        <v>794</v>
      </c>
      <c r="S63" s="494"/>
      <c r="T63" s="494"/>
      <c r="U63" s="494"/>
      <c r="V63" s="494"/>
      <c r="W63" s="494"/>
      <c r="X63" s="494"/>
      <c r="Y63" s="494"/>
      <c r="Z63" s="494"/>
      <c r="AA63" s="494"/>
      <c r="AB63" s="514"/>
      <c r="AC63" s="514"/>
      <c r="AD63" s="516"/>
      <c r="AF63" s="53"/>
    </row>
    <row r="64" spans="1:32" ht="25.5" customHeight="1">
      <c r="A64" s="511">
        <v>2</v>
      </c>
      <c r="B64" s="512"/>
      <c r="C64" s="124"/>
      <c r="D64" s="280"/>
      <c r="E64" s="278"/>
      <c r="F64" s="513"/>
      <c r="G64" s="514"/>
      <c r="H64" s="514"/>
      <c r="I64" s="514"/>
      <c r="J64" s="514"/>
      <c r="K64" s="514"/>
      <c r="L64" s="514"/>
      <c r="M64" s="54"/>
      <c r="N64" s="514"/>
      <c r="O64" s="514"/>
      <c r="P64" s="515"/>
      <c r="Q64" s="515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3</v>
      </c>
      <c r="B65" s="512"/>
      <c r="C65" s="124"/>
      <c r="D65" s="280"/>
      <c r="E65" s="278"/>
      <c r="F65" s="513"/>
      <c r="G65" s="514"/>
      <c r="H65" s="514"/>
      <c r="I65" s="514"/>
      <c r="J65" s="514"/>
      <c r="K65" s="514"/>
      <c r="L65" s="514"/>
      <c r="M65" s="54"/>
      <c r="N65" s="514"/>
      <c r="O65" s="514"/>
      <c r="P65" s="515"/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4</v>
      </c>
      <c r="B66" s="512"/>
      <c r="C66" s="124"/>
      <c r="D66" s="280"/>
      <c r="E66" s="278"/>
      <c r="F66" s="513"/>
      <c r="G66" s="514"/>
      <c r="H66" s="514"/>
      <c r="I66" s="514"/>
      <c r="J66" s="514"/>
      <c r="K66" s="514"/>
      <c r="L66" s="514"/>
      <c r="M66" s="54"/>
      <c r="N66" s="514"/>
      <c r="O66" s="514"/>
      <c r="P66" s="515"/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5</v>
      </c>
      <c r="B67" s="512"/>
      <c r="C67" s="124"/>
      <c r="D67" s="280"/>
      <c r="E67" s="278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6</v>
      </c>
      <c r="B68" s="512"/>
      <c r="C68" s="124"/>
      <c r="D68" s="280"/>
      <c r="E68" s="278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7</v>
      </c>
      <c r="B69" s="512"/>
      <c r="C69" s="124"/>
      <c r="D69" s="280"/>
      <c r="E69" s="278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8</v>
      </c>
      <c r="B70" s="512"/>
      <c r="C70" s="124"/>
      <c r="D70" s="280"/>
      <c r="E70" s="278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6.25" customHeight="1" thickBot="1">
      <c r="A71" s="517" t="s">
        <v>795</v>
      </c>
      <c r="B71" s="517"/>
      <c r="C71" s="517"/>
      <c r="D71" s="517"/>
      <c r="E71" s="51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518" t="s">
        <v>114</v>
      </c>
      <c r="B72" s="519"/>
      <c r="C72" s="279" t="s">
        <v>2</v>
      </c>
      <c r="D72" s="279" t="s">
        <v>37</v>
      </c>
      <c r="E72" s="279" t="s">
        <v>3</v>
      </c>
      <c r="F72" s="519" t="s">
        <v>38</v>
      </c>
      <c r="G72" s="519"/>
      <c r="H72" s="519"/>
      <c r="I72" s="519"/>
      <c r="J72" s="519"/>
      <c r="K72" s="520" t="s">
        <v>59</v>
      </c>
      <c r="L72" s="521"/>
      <c r="M72" s="521"/>
      <c r="N72" s="521"/>
      <c r="O72" s="521"/>
      <c r="P72" s="521"/>
      <c r="Q72" s="521"/>
      <c r="R72" s="521"/>
      <c r="S72" s="522"/>
      <c r="T72" s="519" t="s">
        <v>49</v>
      </c>
      <c r="U72" s="519"/>
      <c r="V72" s="520" t="s">
        <v>50</v>
      </c>
      <c r="W72" s="522"/>
      <c r="X72" s="521" t="s">
        <v>51</v>
      </c>
      <c r="Y72" s="521"/>
      <c r="Z72" s="521"/>
      <c r="AA72" s="521"/>
      <c r="AB72" s="521"/>
      <c r="AC72" s="521"/>
      <c r="AD72" s="523"/>
      <c r="AF72" s="53"/>
    </row>
    <row r="73" spans="1:32" ht="33.75" customHeight="1">
      <c r="A73" s="532">
        <v>1</v>
      </c>
      <c r="B73" s="533"/>
      <c r="C73" s="281" t="s">
        <v>117</v>
      </c>
      <c r="D73" s="281"/>
      <c r="E73" s="71" t="s">
        <v>123</v>
      </c>
      <c r="F73" s="534" t="s">
        <v>124</v>
      </c>
      <c r="G73" s="535"/>
      <c r="H73" s="535"/>
      <c r="I73" s="535"/>
      <c r="J73" s="536"/>
      <c r="K73" s="537" t="s">
        <v>119</v>
      </c>
      <c r="L73" s="538"/>
      <c r="M73" s="538"/>
      <c r="N73" s="538"/>
      <c r="O73" s="538"/>
      <c r="P73" s="538"/>
      <c r="Q73" s="538"/>
      <c r="R73" s="538"/>
      <c r="S73" s="539"/>
      <c r="T73" s="540">
        <v>42901</v>
      </c>
      <c r="U73" s="541"/>
      <c r="V73" s="542"/>
      <c r="W73" s="542"/>
      <c r="X73" s="543"/>
      <c r="Y73" s="543"/>
      <c r="Z73" s="543"/>
      <c r="AA73" s="543"/>
      <c r="AB73" s="543"/>
      <c r="AC73" s="543"/>
      <c r="AD73" s="544"/>
      <c r="AF73" s="53"/>
    </row>
    <row r="74" spans="1:32" ht="30" customHeight="1">
      <c r="A74" s="524">
        <f>A73+1</f>
        <v>2</v>
      </c>
      <c r="B74" s="525"/>
      <c r="C74" s="280" t="s">
        <v>117</v>
      </c>
      <c r="D74" s="280"/>
      <c r="E74" s="35" t="s">
        <v>120</v>
      </c>
      <c r="F74" s="525" t="s">
        <v>121</v>
      </c>
      <c r="G74" s="525"/>
      <c r="H74" s="525"/>
      <c r="I74" s="525"/>
      <c r="J74" s="525"/>
      <c r="K74" s="526" t="s">
        <v>122</v>
      </c>
      <c r="L74" s="527"/>
      <c r="M74" s="527"/>
      <c r="N74" s="527"/>
      <c r="O74" s="527"/>
      <c r="P74" s="527"/>
      <c r="Q74" s="527"/>
      <c r="R74" s="527"/>
      <c r="S74" s="528"/>
      <c r="T74" s="529">
        <v>42867</v>
      </c>
      <c r="U74" s="529"/>
      <c r="V74" s="529"/>
      <c r="W74" s="529"/>
      <c r="X74" s="530"/>
      <c r="Y74" s="530"/>
      <c r="Z74" s="530"/>
      <c r="AA74" s="530"/>
      <c r="AB74" s="530"/>
      <c r="AC74" s="530"/>
      <c r="AD74" s="531"/>
      <c r="AF74" s="53"/>
    </row>
    <row r="75" spans="1:32" ht="30" customHeight="1">
      <c r="A75" s="524">
        <f t="shared" ref="A75:A81" si="13">A74+1</f>
        <v>3</v>
      </c>
      <c r="B75" s="525"/>
      <c r="C75" s="280" t="s">
        <v>133</v>
      </c>
      <c r="D75" s="280"/>
      <c r="E75" s="35" t="s">
        <v>131</v>
      </c>
      <c r="F75" s="525" t="s">
        <v>134</v>
      </c>
      <c r="G75" s="525"/>
      <c r="H75" s="525"/>
      <c r="I75" s="525"/>
      <c r="J75" s="525"/>
      <c r="K75" s="526" t="s">
        <v>119</v>
      </c>
      <c r="L75" s="527"/>
      <c r="M75" s="527"/>
      <c r="N75" s="527"/>
      <c r="O75" s="527"/>
      <c r="P75" s="527"/>
      <c r="Q75" s="527"/>
      <c r="R75" s="527"/>
      <c r="S75" s="528"/>
      <c r="T75" s="529">
        <v>42937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si="13"/>
        <v>4</v>
      </c>
      <c r="B76" s="525"/>
      <c r="C76" s="280"/>
      <c r="D76" s="280"/>
      <c r="E76" s="35"/>
      <c r="F76" s="525"/>
      <c r="G76" s="525"/>
      <c r="H76" s="525"/>
      <c r="I76" s="525"/>
      <c r="J76" s="525"/>
      <c r="K76" s="526"/>
      <c r="L76" s="527"/>
      <c r="M76" s="527"/>
      <c r="N76" s="527"/>
      <c r="O76" s="527"/>
      <c r="P76" s="527"/>
      <c r="Q76" s="527"/>
      <c r="R76" s="527"/>
      <c r="S76" s="528"/>
      <c r="T76" s="529"/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13"/>
        <v>5</v>
      </c>
      <c r="B77" s="525"/>
      <c r="C77" s="280"/>
      <c r="D77" s="280"/>
      <c r="E77" s="35"/>
      <c r="F77" s="525"/>
      <c r="G77" s="525"/>
      <c r="H77" s="525"/>
      <c r="I77" s="525"/>
      <c r="J77" s="525"/>
      <c r="K77" s="526"/>
      <c r="L77" s="527"/>
      <c r="M77" s="527"/>
      <c r="N77" s="527"/>
      <c r="O77" s="527"/>
      <c r="P77" s="527"/>
      <c r="Q77" s="527"/>
      <c r="R77" s="527"/>
      <c r="S77" s="528"/>
      <c r="T77" s="529"/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13"/>
        <v>6</v>
      </c>
      <c r="B78" s="525"/>
      <c r="C78" s="280"/>
      <c r="D78" s="280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13"/>
        <v>7</v>
      </c>
      <c r="B79" s="525"/>
      <c r="C79" s="280"/>
      <c r="D79" s="280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13"/>
        <v>8</v>
      </c>
      <c r="B80" s="525"/>
      <c r="C80" s="280"/>
      <c r="D80" s="280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13"/>
        <v>9</v>
      </c>
      <c r="B81" s="525"/>
      <c r="C81" s="280"/>
      <c r="D81" s="280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6" thickBot="1">
      <c r="A82" s="517" t="s">
        <v>796</v>
      </c>
      <c r="B82" s="517"/>
      <c r="C82" s="517"/>
      <c r="D82" s="517"/>
      <c r="E82" s="51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518" t="s">
        <v>114</v>
      </c>
      <c r="B83" s="519"/>
      <c r="C83" s="545" t="s">
        <v>52</v>
      </c>
      <c r="D83" s="545"/>
      <c r="E83" s="545" t="s">
        <v>53</v>
      </c>
      <c r="F83" s="545"/>
      <c r="G83" s="545"/>
      <c r="H83" s="545"/>
      <c r="I83" s="545"/>
      <c r="J83" s="545"/>
      <c r="K83" s="545" t="s">
        <v>54</v>
      </c>
      <c r="L83" s="545"/>
      <c r="M83" s="545"/>
      <c r="N83" s="545"/>
      <c r="O83" s="545"/>
      <c r="P83" s="545"/>
      <c r="Q83" s="545"/>
      <c r="R83" s="545"/>
      <c r="S83" s="545"/>
      <c r="T83" s="545" t="s">
        <v>55</v>
      </c>
      <c r="U83" s="545"/>
      <c r="V83" s="545" t="s">
        <v>56</v>
      </c>
      <c r="W83" s="545"/>
      <c r="X83" s="545"/>
      <c r="Y83" s="545" t="s">
        <v>51</v>
      </c>
      <c r="Z83" s="545"/>
      <c r="AA83" s="545"/>
      <c r="AB83" s="545"/>
      <c r="AC83" s="545"/>
      <c r="AD83" s="546"/>
      <c r="AF83" s="53"/>
    </row>
    <row r="84" spans="1:32" ht="30.75" customHeight="1">
      <c r="A84" s="532">
        <v>1</v>
      </c>
      <c r="B84" s="533"/>
      <c r="C84" s="547"/>
      <c r="D84" s="547"/>
      <c r="E84" s="547"/>
      <c r="F84" s="547"/>
      <c r="G84" s="547"/>
      <c r="H84" s="547"/>
      <c r="I84" s="547"/>
      <c r="J84" s="547"/>
      <c r="K84" s="547"/>
      <c r="L84" s="547"/>
      <c r="M84" s="547"/>
      <c r="N84" s="547"/>
      <c r="O84" s="547"/>
      <c r="P84" s="547"/>
      <c r="Q84" s="547"/>
      <c r="R84" s="547"/>
      <c r="S84" s="547"/>
      <c r="T84" s="547"/>
      <c r="U84" s="547"/>
      <c r="V84" s="548"/>
      <c r="W84" s="548"/>
      <c r="X84" s="548"/>
      <c r="Y84" s="549"/>
      <c r="Z84" s="549"/>
      <c r="AA84" s="549"/>
      <c r="AB84" s="549"/>
      <c r="AC84" s="549"/>
      <c r="AD84" s="550"/>
      <c r="AF84" s="53"/>
    </row>
    <row r="85" spans="1:32" ht="30.75" customHeight="1">
      <c r="A85" s="524">
        <v>2</v>
      </c>
      <c r="B85" s="525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9"/>
      <c r="U85" s="559"/>
      <c r="V85" s="560"/>
      <c r="W85" s="560"/>
      <c r="X85" s="560"/>
      <c r="Y85" s="551"/>
      <c r="Z85" s="551"/>
      <c r="AA85" s="551"/>
      <c r="AB85" s="551"/>
      <c r="AC85" s="551"/>
      <c r="AD85" s="552"/>
      <c r="AF85" s="53"/>
    </row>
    <row r="86" spans="1:32" ht="30.75" customHeight="1" thickBot="1">
      <c r="A86" s="553">
        <v>3</v>
      </c>
      <c r="B86" s="554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6"/>
      <c r="Z86" s="556"/>
      <c r="AA86" s="556"/>
      <c r="AB86" s="556"/>
      <c r="AC86" s="556"/>
      <c r="AD86" s="55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51" t="s">
        <v>797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6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293" t="s">
        <v>17</v>
      </c>
      <c r="L5" s="293" t="s">
        <v>18</v>
      </c>
      <c r="M5" s="293" t="s">
        <v>19</v>
      </c>
      <c r="N5" s="29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6" ht="27" customHeight="1">
      <c r="A6" s="108">
        <v>1</v>
      </c>
      <c r="B6" s="11" t="s">
        <v>149</v>
      </c>
      <c r="C6" s="37" t="s">
        <v>707</v>
      </c>
      <c r="D6" s="55" t="s">
        <v>708</v>
      </c>
      <c r="E6" s="57" t="s">
        <v>709</v>
      </c>
      <c r="F6" s="33" t="s">
        <v>710</v>
      </c>
      <c r="G6" s="12">
        <v>3</v>
      </c>
      <c r="H6" s="13">
        <v>25</v>
      </c>
      <c r="I6" s="34">
        <v>100000</v>
      </c>
      <c r="J6" s="5">
        <v>15040</v>
      </c>
      <c r="K6" s="15">
        <f>L6+7182+15369</f>
        <v>37584</v>
      </c>
      <c r="L6" s="15">
        <f>2607*3+2404*3</f>
        <v>15033</v>
      </c>
      <c r="M6" s="16">
        <f t="shared" ref="M6:M21" si="0">L6-N6</f>
        <v>15033</v>
      </c>
      <c r="N6" s="16">
        <v>0</v>
      </c>
      <c r="O6" s="62">
        <f t="shared" ref="O6:O22" si="1">IF(L6=0,"0",N6/L6)</f>
        <v>0</v>
      </c>
      <c r="P6" s="42">
        <f t="shared" ref="P6:P21" si="2">IF(L6=0,"0",(24-Q6))</f>
        <v>24</v>
      </c>
      <c r="Q6" s="43">
        <f t="shared" ref="Q6:Q21" si="3">SUM(R6:AA6)</f>
        <v>0</v>
      </c>
      <c r="R6" s="7"/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0.99953457446808514</v>
      </c>
      <c r="AC6" s="9">
        <f t="shared" ref="AC6:AC21" si="5">IF(P6=0,"0",(P6/24))</f>
        <v>1</v>
      </c>
      <c r="AD6" s="10">
        <f t="shared" ref="AD6:AD21" si="6">AC6*AB6*(1-O6)</f>
        <v>0.99953457446808514</v>
      </c>
      <c r="AE6" s="39">
        <f t="shared" ref="AE6:AE21" si="7">$AD$22</f>
        <v>0.56893534785390354</v>
      </c>
      <c r="AF6" s="94">
        <f t="shared" ref="AF6:AF21" si="8">A6</f>
        <v>1</v>
      </c>
    </row>
    <row r="7" spans="1:36" ht="27" customHeight="1">
      <c r="A7" s="108">
        <v>2</v>
      </c>
      <c r="B7" s="11" t="s">
        <v>149</v>
      </c>
      <c r="C7" s="37" t="s">
        <v>707</v>
      </c>
      <c r="D7" s="55" t="s">
        <v>764</v>
      </c>
      <c r="E7" s="57" t="s">
        <v>765</v>
      </c>
      <c r="F7" s="33" t="s">
        <v>766</v>
      </c>
      <c r="G7" s="12">
        <v>3</v>
      </c>
      <c r="H7" s="13">
        <v>25</v>
      </c>
      <c r="I7" s="34">
        <v>100000</v>
      </c>
      <c r="J7" s="5">
        <v>9510</v>
      </c>
      <c r="K7" s="15">
        <f>L7+3909+2650+7935</f>
        <v>24004</v>
      </c>
      <c r="L7" s="15">
        <f>694*3+2476*3</f>
        <v>9510</v>
      </c>
      <c r="M7" s="16">
        <f t="shared" si="0"/>
        <v>9510</v>
      </c>
      <c r="N7" s="16">
        <v>0</v>
      </c>
      <c r="O7" s="62">
        <f t="shared" si="1"/>
        <v>0</v>
      </c>
      <c r="P7" s="42">
        <f t="shared" si="2"/>
        <v>18</v>
      </c>
      <c r="Q7" s="43">
        <f t="shared" si="3"/>
        <v>6</v>
      </c>
      <c r="R7" s="7"/>
      <c r="S7" s="6"/>
      <c r="T7" s="17"/>
      <c r="U7" s="17"/>
      <c r="V7" s="18">
        <v>6</v>
      </c>
      <c r="W7" s="19"/>
      <c r="X7" s="17"/>
      <c r="Y7" s="20"/>
      <c r="Z7" s="20"/>
      <c r="AA7" s="21"/>
      <c r="AB7" s="8">
        <f t="shared" si="4"/>
        <v>1</v>
      </c>
      <c r="AC7" s="9">
        <f t="shared" si="5"/>
        <v>0.75</v>
      </c>
      <c r="AD7" s="10">
        <f t="shared" si="6"/>
        <v>0.75</v>
      </c>
      <c r="AE7" s="39">
        <f t="shared" si="7"/>
        <v>0.56893534785390354</v>
      </c>
      <c r="AF7" s="94">
        <f t="shared" si="8"/>
        <v>2</v>
      </c>
    </row>
    <row r="8" spans="1:36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65000</v>
      </c>
      <c r="J8" s="14">
        <v>4960</v>
      </c>
      <c r="K8" s="15">
        <f>L8+452+3795+3955+5414+5383+3788+2222+5252+4546+5439+6546+3282+3046+3623</f>
        <v>61700</v>
      </c>
      <c r="L8" s="15">
        <f>3201+1756</f>
        <v>4957</v>
      </c>
      <c r="M8" s="16">
        <f t="shared" si="0"/>
        <v>4957</v>
      </c>
      <c r="N8" s="16">
        <v>0</v>
      </c>
      <c r="O8" s="62">
        <f t="shared" si="1"/>
        <v>0</v>
      </c>
      <c r="P8" s="42">
        <f t="shared" si="2"/>
        <v>22</v>
      </c>
      <c r="Q8" s="43">
        <f t="shared" si="3"/>
        <v>2</v>
      </c>
      <c r="R8" s="7"/>
      <c r="S8" s="6">
        <v>2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0.99939516129032258</v>
      </c>
      <c r="AC8" s="9">
        <f t="shared" si="5"/>
        <v>0.91666666666666663</v>
      </c>
      <c r="AD8" s="10">
        <f t="shared" si="6"/>
        <v>0.91611223118279561</v>
      </c>
      <c r="AE8" s="39">
        <f t="shared" si="7"/>
        <v>0.56893534785390354</v>
      </c>
      <c r="AF8" s="94">
        <f>A8</f>
        <v>3</v>
      </c>
    </row>
    <row r="9" spans="1:36" ht="27" customHeight="1">
      <c r="A9" s="110">
        <v>4</v>
      </c>
      <c r="B9" s="11" t="s">
        <v>58</v>
      </c>
      <c r="C9" s="37" t="s">
        <v>118</v>
      </c>
      <c r="D9" s="55" t="s">
        <v>131</v>
      </c>
      <c r="E9" s="57" t="s">
        <v>620</v>
      </c>
      <c r="F9" s="33" t="s">
        <v>146</v>
      </c>
      <c r="G9" s="36">
        <v>1</v>
      </c>
      <c r="H9" s="38">
        <v>25</v>
      </c>
      <c r="I9" s="7">
        <v>15000</v>
      </c>
      <c r="J9" s="5">
        <v>3130</v>
      </c>
      <c r="K9" s="15">
        <f>L9+3691+5521+1619+2742</f>
        <v>16694</v>
      </c>
      <c r="L9" s="15">
        <f>2753+368</f>
        <v>3121</v>
      </c>
      <c r="M9" s="16">
        <f t="shared" si="0"/>
        <v>3121</v>
      </c>
      <c r="N9" s="16">
        <v>0</v>
      </c>
      <c r="O9" s="62">
        <f t="shared" si="1"/>
        <v>0</v>
      </c>
      <c r="P9" s="42">
        <f t="shared" si="2"/>
        <v>17</v>
      </c>
      <c r="Q9" s="43">
        <f t="shared" si="3"/>
        <v>7</v>
      </c>
      <c r="R9" s="7"/>
      <c r="S9" s="6">
        <v>7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0.99712460063897768</v>
      </c>
      <c r="AC9" s="9">
        <f t="shared" si="5"/>
        <v>0.70833333333333337</v>
      </c>
      <c r="AD9" s="10">
        <f t="shared" si="6"/>
        <v>0.70629659211927587</v>
      </c>
      <c r="AE9" s="39">
        <f t="shared" si="7"/>
        <v>0.56893534785390354</v>
      </c>
      <c r="AF9" s="94">
        <f t="shared" ref="AF9:AF10" si="9">A9</f>
        <v>4</v>
      </c>
    </row>
    <row r="10" spans="1:36" ht="27" customHeight="1">
      <c r="A10" s="110">
        <v>5</v>
      </c>
      <c r="B10" s="11" t="s">
        <v>58</v>
      </c>
      <c r="C10" s="11" t="s">
        <v>667</v>
      </c>
      <c r="D10" s="55" t="s">
        <v>767</v>
      </c>
      <c r="E10" s="57" t="s">
        <v>768</v>
      </c>
      <c r="F10" s="12" t="s">
        <v>670</v>
      </c>
      <c r="G10" s="12">
        <v>1</v>
      </c>
      <c r="H10" s="13">
        <v>25</v>
      </c>
      <c r="I10" s="34">
        <v>500</v>
      </c>
      <c r="J10" s="14">
        <v>960</v>
      </c>
      <c r="K10" s="15">
        <f>L10+959</f>
        <v>959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0.56893534785390354</v>
      </c>
      <c r="AF10" s="94">
        <f t="shared" si="9"/>
        <v>5</v>
      </c>
    </row>
    <row r="11" spans="1:36" ht="27" customHeight="1">
      <c r="A11" s="110">
        <v>6</v>
      </c>
      <c r="B11" s="11" t="s">
        <v>58</v>
      </c>
      <c r="C11" s="11" t="s">
        <v>133</v>
      </c>
      <c r="D11" s="55" t="s">
        <v>711</v>
      </c>
      <c r="E11" s="57" t="s">
        <v>700</v>
      </c>
      <c r="F11" s="12" t="s">
        <v>713</v>
      </c>
      <c r="G11" s="12">
        <v>1</v>
      </c>
      <c r="H11" s="13">
        <v>25</v>
      </c>
      <c r="I11" s="34">
        <v>40000</v>
      </c>
      <c r="J11" s="14">
        <v>650</v>
      </c>
      <c r="K11" s="15">
        <f>L11</f>
        <v>0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>
        <v>24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0.56893534785390354</v>
      </c>
      <c r="AF11" s="94">
        <f t="shared" si="8"/>
        <v>6</v>
      </c>
    </row>
    <row r="12" spans="1:36" ht="27" customHeight="1">
      <c r="A12" s="110">
        <v>7</v>
      </c>
      <c r="B12" s="11" t="s">
        <v>58</v>
      </c>
      <c r="C12" s="11" t="s">
        <v>118</v>
      </c>
      <c r="D12" s="55" t="s">
        <v>57</v>
      </c>
      <c r="E12" s="57" t="s">
        <v>160</v>
      </c>
      <c r="F12" s="12" t="s">
        <v>145</v>
      </c>
      <c r="G12" s="12">
        <v>1</v>
      </c>
      <c r="H12" s="13">
        <v>25</v>
      </c>
      <c r="I12" s="7">
        <v>62000</v>
      </c>
      <c r="J12" s="14">
        <v>2550</v>
      </c>
      <c r="K12" s="15">
        <f>L12+3062+3955+2262+4171+4492+4201+2422+2930+4783+1827+2695+1564+2934+3400+3995+2189+1746+3380</f>
        <v>58553</v>
      </c>
      <c r="L12" s="15">
        <f>742+1803</f>
        <v>2545</v>
      </c>
      <c r="M12" s="16">
        <f t="shared" si="0"/>
        <v>2545</v>
      </c>
      <c r="N12" s="16">
        <v>0</v>
      </c>
      <c r="O12" s="62">
        <f t="shared" si="1"/>
        <v>0</v>
      </c>
      <c r="P12" s="42">
        <f t="shared" si="2"/>
        <v>15</v>
      </c>
      <c r="Q12" s="43">
        <f t="shared" si="3"/>
        <v>9</v>
      </c>
      <c r="R12" s="7"/>
      <c r="S12" s="6">
        <v>9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0.99803921568627452</v>
      </c>
      <c r="AC12" s="9">
        <f t="shared" si="5"/>
        <v>0.625</v>
      </c>
      <c r="AD12" s="10">
        <f t="shared" si="6"/>
        <v>0.62377450980392157</v>
      </c>
      <c r="AE12" s="39">
        <f t="shared" si="7"/>
        <v>0.56893534785390354</v>
      </c>
      <c r="AF12" s="94">
        <f t="shared" si="8"/>
        <v>7</v>
      </c>
    </row>
    <row r="13" spans="1:36" ht="27" customHeight="1">
      <c r="A13" s="110">
        <v>8</v>
      </c>
      <c r="B13" s="11" t="s">
        <v>58</v>
      </c>
      <c r="C13" s="11" t="s">
        <v>195</v>
      </c>
      <c r="D13" s="55" t="s">
        <v>382</v>
      </c>
      <c r="E13" s="57" t="s">
        <v>577</v>
      </c>
      <c r="F13" s="12">
        <v>7301</v>
      </c>
      <c r="G13" s="12">
        <v>1</v>
      </c>
      <c r="H13" s="13">
        <v>25</v>
      </c>
      <c r="I13" s="7">
        <v>20000</v>
      </c>
      <c r="J13" s="14">
        <v>3480</v>
      </c>
      <c r="K13" s="15">
        <f>L13+3305+4685+5566+4846+5198</f>
        <v>27073</v>
      </c>
      <c r="L13" s="15">
        <f>933+2540</f>
        <v>3473</v>
      </c>
      <c r="M13" s="16">
        <f t="shared" si="0"/>
        <v>3473</v>
      </c>
      <c r="N13" s="16">
        <v>0</v>
      </c>
      <c r="O13" s="62">
        <f t="shared" si="1"/>
        <v>0</v>
      </c>
      <c r="P13" s="42">
        <f t="shared" si="2"/>
        <v>18</v>
      </c>
      <c r="Q13" s="43">
        <f t="shared" si="3"/>
        <v>6</v>
      </c>
      <c r="R13" s="7"/>
      <c r="S13" s="6"/>
      <c r="T13" s="17"/>
      <c r="U13" s="17"/>
      <c r="V13" s="18"/>
      <c r="W13" s="19">
        <v>6</v>
      </c>
      <c r="X13" s="17"/>
      <c r="Y13" s="20"/>
      <c r="Z13" s="20"/>
      <c r="AA13" s="21"/>
      <c r="AB13" s="8">
        <f t="shared" si="4"/>
        <v>0.99798850574712639</v>
      </c>
      <c r="AC13" s="9">
        <f t="shared" si="5"/>
        <v>0.75</v>
      </c>
      <c r="AD13" s="10">
        <f t="shared" si="6"/>
        <v>0.74849137931034482</v>
      </c>
      <c r="AE13" s="39">
        <f t="shared" si="7"/>
        <v>0.56893534785390354</v>
      </c>
      <c r="AF13" s="94">
        <f t="shared" si="8"/>
        <v>8</v>
      </c>
    </row>
    <row r="14" spans="1:36" ht="27" customHeight="1">
      <c r="A14" s="109">
        <v>9</v>
      </c>
      <c r="B14" s="11" t="s">
        <v>149</v>
      </c>
      <c r="C14" s="37" t="s">
        <v>163</v>
      </c>
      <c r="D14" s="55" t="s">
        <v>190</v>
      </c>
      <c r="E14" s="57" t="s">
        <v>436</v>
      </c>
      <c r="F14" s="33" t="s">
        <v>437</v>
      </c>
      <c r="G14" s="36">
        <v>1</v>
      </c>
      <c r="H14" s="38">
        <v>25</v>
      </c>
      <c r="I14" s="7">
        <v>11000</v>
      </c>
      <c r="J14" s="5">
        <v>2330</v>
      </c>
      <c r="K14" s="15">
        <f>L14+2030+3617+4261+2322</f>
        <v>12230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0.56893534785390354</v>
      </c>
      <c r="AF14" s="94">
        <f t="shared" si="8"/>
        <v>9</v>
      </c>
    </row>
    <row r="15" spans="1:36" ht="27" customHeight="1">
      <c r="A15" s="109">
        <v>10</v>
      </c>
      <c r="B15" s="11" t="s">
        <v>149</v>
      </c>
      <c r="C15" s="11" t="s">
        <v>195</v>
      </c>
      <c r="D15" s="55" t="s">
        <v>420</v>
      </c>
      <c r="E15" s="57" t="s">
        <v>421</v>
      </c>
      <c r="F15" s="12">
        <v>8301</v>
      </c>
      <c r="G15" s="12">
        <v>1</v>
      </c>
      <c r="H15" s="13">
        <v>20</v>
      </c>
      <c r="I15" s="34">
        <v>21000</v>
      </c>
      <c r="J15" s="14">
        <v>3280</v>
      </c>
      <c r="K15" s="15">
        <f>L15+2754+4879+4902+4434+5553+5546+3393+5587</f>
        <v>40324</v>
      </c>
      <c r="L15" s="15">
        <f>927+2349</f>
        <v>3276</v>
      </c>
      <c r="M15" s="16">
        <f t="shared" si="0"/>
        <v>3276</v>
      </c>
      <c r="N15" s="16">
        <v>0</v>
      </c>
      <c r="O15" s="62">
        <f t="shared" si="1"/>
        <v>0</v>
      </c>
      <c r="P15" s="42">
        <f t="shared" si="2"/>
        <v>20</v>
      </c>
      <c r="Q15" s="43">
        <f t="shared" si="3"/>
        <v>4</v>
      </c>
      <c r="R15" s="7"/>
      <c r="S15" s="6">
        <v>4</v>
      </c>
      <c r="T15" s="17"/>
      <c r="U15" s="17"/>
      <c r="V15" s="18"/>
      <c r="W15" s="19"/>
      <c r="X15" s="17"/>
      <c r="Y15" s="20"/>
      <c r="Z15" s="20"/>
      <c r="AA15" s="21"/>
      <c r="AB15" s="8">
        <f t="shared" si="4"/>
        <v>0.99878048780487805</v>
      </c>
      <c r="AC15" s="9">
        <f t="shared" si="5"/>
        <v>0.83333333333333337</v>
      </c>
      <c r="AD15" s="10">
        <f t="shared" si="6"/>
        <v>0.83231707317073178</v>
      </c>
      <c r="AE15" s="39">
        <f t="shared" si="7"/>
        <v>0.56893534785390354</v>
      </c>
      <c r="AF15" s="94">
        <f t="shared" si="8"/>
        <v>10</v>
      </c>
    </row>
    <row r="16" spans="1:36" ht="27.75" customHeight="1">
      <c r="A16" s="109">
        <v>11</v>
      </c>
      <c r="B16" s="11" t="s">
        <v>149</v>
      </c>
      <c r="C16" s="11" t="s">
        <v>798</v>
      </c>
      <c r="D16" s="55"/>
      <c r="E16" s="56" t="s">
        <v>799</v>
      </c>
      <c r="F16" s="12">
        <v>7301</v>
      </c>
      <c r="G16" s="36">
        <v>1</v>
      </c>
      <c r="H16" s="38">
        <v>25</v>
      </c>
      <c r="I16" s="7">
        <v>1000</v>
      </c>
      <c r="J16" s="14">
        <v>1600</v>
      </c>
      <c r="K16" s="15">
        <f>L16</f>
        <v>1599</v>
      </c>
      <c r="L16" s="15">
        <f>912+312+375</f>
        <v>1599</v>
      </c>
      <c r="M16" s="16">
        <f t="shared" si="0"/>
        <v>1599</v>
      </c>
      <c r="N16" s="16">
        <v>0</v>
      </c>
      <c r="O16" s="62">
        <f t="shared" si="1"/>
        <v>0</v>
      </c>
      <c r="P16" s="42">
        <f t="shared" si="2"/>
        <v>9</v>
      </c>
      <c r="Q16" s="43">
        <f t="shared" si="3"/>
        <v>15</v>
      </c>
      <c r="R16" s="7"/>
      <c r="S16" s="6"/>
      <c r="T16" s="17"/>
      <c r="U16" s="17"/>
      <c r="V16" s="18"/>
      <c r="W16" s="19">
        <v>15</v>
      </c>
      <c r="X16" s="17"/>
      <c r="Y16" s="20"/>
      <c r="Z16" s="20"/>
      <c r="AA16" s="21"/>
      <c r="AB16" s="8">
        <f t="shared" si="4"/>
        <v>0.99937500000000001</v>
      </c>
      <c r="AC16" s="9">
        <f t="shared" si="5"/>
        <v>0.375</v>
      </c>
      <c r="AD16" s="10">
        <f t="shared" si="6"/>
        <v>0.37476562499999999</v>
      </c>
      <c r="AE16" s="39">
        <f t="shared" si="7"/>
        <v>0.56893534785390354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149</v>
      </c>
      <c r="C17" s="37" t="s">
        <v>133</v>
      </c>
      <c r="D17" s="55" t="s">
        <v>190</v>
      </c>
      <c r="E17" s="56" t="s">
        <v>622</v>
      </c>
      <c r="F17" s="12" t="s">
        <v>281</v>
      </c>
      <c r="G17" s="12">
        <v>4</v>
      </c>
      <c r="H17" s="13">
        <v>25</v>
      </c>
      <c r="I17" s="34">
        <v>11000</v>
      </c>
      <c r="J17" s="5">
        <v>16150</v>
      </c>
      <c r="K17" s="15">
        <f>L17+16148</f>
        <v>16148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0.56893534785390354</v>
      </c>
      <c r="AF17" s="94">
        <f t="shared" ref="AF17" si="10">A17</f>
        <v>12</v>
      </c>
    </row>
    <row r="18" spans="1:32" ht="27" customHeight="1">
      <c r="A18" s="110">
        <v>13</v>
      </c>
      <c r="B18" s="11" t="s">
        <v>58</v>
      </c>
      <c r="C18" s="37" t="s">
        <v>173</v>
      </c>
      <c r="D18" s="55" t="s">
        <v>800</v>
      </c>
      <c r="E18" s="57" t="s">
        <v>801</v>
      </c>
      <c r="F18" s="33" t="s">
        <v>802</v>
      </c>
      <c r="G18" s="36">
        <v>1</v>
      </c>
      <c r="H18" s="38">
        <v>25</v>
      </c>
      <c r="I18" s="7">
        <v>4000</v>
      </c>
      <c r="J18" s="5">
        <v>4840</v>
      </c>
      <c r="K18" s="15">
        <f>L18</f>
        <v>4838</v>
      </c>
      <c r="L18" s="15">
        <f>1737+3101</f>
        <v>4838</v>
      </c>
      <c r="M18" s="16">
        <f t="shared" si="0"/>
        <v>4838</v>
      </c>
      <c r="N18" s="16">
        <v>0</v>
      </c>
      <c r="O18" s="62">
        <f t="shared" si="1"/>
        <v>0</v>
      </c>
      <c r="P18" s="42">
        <f t="shared" si="2"/>
        <v>21</v>
      </c>
      <c r="Q18" s="43">
        <f t="shared" si="3"/>
        <v>3</v>
      </c>
      <c r="R18" s="7"/>
      <c r="S18" s="6"/>
      <c r="T18" s="17">
        <v>3</v>
      </c>
      <c r="U18" s="17"/>
      <c r="V18" s="18"/>
      <c r="W18" s="19"/>
      <c r="X18" s="17"/>
      <c r="Y18" s="20"/>
      <c r="Z18" s="20"/>
      <c r="AA18" s="21"/>
      <c r="AB18" s="8">
        <f t="shared" si="4"/>
        <v>0.99958677685950414</v>
      </c>
      <c r="AC18" s="9">
        <f t="shared" si="5"/>
        <v>0.875</v>
      </c>
      <c r="AD18" s="10">
        <f t="shared" si="6"/>
        <v>0.87463842975206618</v>
      </c>
      <c r="AE18" s="39">
        <f t="shared" si="7"/>
        <v>0.56893534785390354</v>
      </c>
      <c r="AF18" s="94">
        <f t="shared" si="8"/>
        <v>13</v>
      </c>
    </row>
    <row r="19" spans="1:32" ht="27" customHeight="1">
      <c r="A19" s="110">
        <v>14</v>
      </c>
      <c r="B19" s="11" t="s">
        <v>58</v>
      </c>
      <c r="C19" s="11" t="s">
        <v>118</v>
      </c>
      <c r="D19" s="55" t="s">
        <v>196</v>
      </c>
      <c r="E19" s="56" t="s">
        <v>772</v>
      </c>
      <c r="F19" s="12">
        <v>7301</v>
      </c>
      <c r="G19" s="12">
        <v>1</v>
      </c>
      <c r="H19" s="38">
        <v>25</v>
      </c>
      <c r="I19" s="34">
        <v>4000</v>
      </c>
      <c r="J19" s="5">
        <v>3200</v>
      </c>
      <c r="K19" s="15">
        <f>L19+342</f>
        <v>3542</v>
      </c>
      <c r="L19" s="15">
        <f>493+2707</f>
        <v>3200</v>
      </c>
      <c r="M19" s="16">
        <f t="shared" si="0"/>
        <v>3200</v>
      </c>
      <c r="N19" s="16">
        <v>0</v>
      </c>
      <c r="O19" s="62">
        <f t="shared" si="1"/>
        <v>0</v>
      </c>
      <c r="P19" s="42">
        <f t="shared" si="2"/>
        <v>19</v>
      </c>
      <c r="Q19" s="43">
        <f t="shared" si="3"/>
        <v>5</v>
      </c>
      <c r="R19" s="7"/>
      <c r="S19" s="6">
        <v>5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0.79166666666666663</v>
      </c>
      <c r="AD19" s="10">
        <f t="shared" si="6"/>
        <v>0.79166666666666663</v>
      </c>
      <c r="AE19" s="39">
        <f t="shared" si="7"/>
        <v>0.56893534785390354</v>
      </c>
      <c r="AF19" s="94">
        <f t="shared" si="8"/>
        <v>14</v>
      </c>
    </row>
    <row r="20" spans="1:32" ht="27" customHeight="1">
      <c r="A20" s="110">
        <v>15</v>
      </c>
      <c r="B20" s="11" t="s">
        <v>58</v>
      </c>
      <c r="C20" s="11" t="s">
        <v>115</v>
      </c>
      <c r="D20" s="55"/>
      <c r="E20" s="56" t="s">
        <v>714</v>
      </c>
      <c r="F20" s="12" t="s">
        <v>116</v>
      </c>
      <c r="G20" s="12">
        <v>4</v>
      </c>
      <c r="H20" s="38">
        <v>15</v>
      </c>
      <c r="I20" s="7">
        <v>300000</v>
      </c>
      <c r="J20" s="14">
        <v>20920</v>
      </c>
      <c r="K20" s="15">
        <f>L20+45160+71796</f>
        <v>137868</v>
      </c>
      <c r="L20" s="15">
        <f>5228*4</f>
        <v>20912</v>
      </c>
      <c r="M20" s="16">
        <f t="shared" ref="M20" si="11">L20-N20</f>
        <v>20912</v>
      </c>
      <c r="N20" s="16">
        <v>0</v>
      </c>
      <c r="O20" s="62">
        <f t="shared" ref="O20" si="12">IF(L20=0,"0",N20/L20)</f>
        <v>0</v>
      </c>
      <c r="P20" s="42">
        <f t="shared" ref="P20" si="13">IF(L20=0,"0",(24-Q20))</f>
        <v>8</v>
      </c>
      <c r="Q20" s="43">
        <f t="shared" ref="Q20" si="14">SUM(R20:AA20)</f>
        <v>16</v>
      </c>
      <c r="R20" s="7"/>
      <c r="S20" s="6"/>
      <c r="T20" s="17"/>
      <c r="U20" s="17"/>
      <c r="V20" s="18"/>
      <c r="W20" s="19">
        <v>16</v>
      </c>
      <c r="X20" s="17"/>
      <c r="Y20" s="20"/>
      <c r="Z20" s="20"/>
      <c r="AA20" s="21"/>
      <c r="AB20" s="8">
        <f t="shared" ref="AB20" si="15">IF(J20=0,"0",(L20/J20))</f>
        <v>0.99961759082217971</v>
      </c>
      <c r="AC20" s="9">
        <f t="shared" ref="AC20" si="16">IF(P20=0,"0",(P20/24))</f>
        <v>0.33333333333333331</v>
      </c>
      <c r="AD20" s="10">
        <f t="shared" ref="AD20" si="17">AC20*AB20*(1-O20)</f>
        <v>0.33320586360739324</v>
      </c>
      <c r="AE20" s="39">
        <f t="shared" si="7"/>
        <v>0.56893534785390354</v>
      </c>
      <c r="AF20" s="94">
        <f t="shared" ref="AF20" si="18">A20</f>
        <v>15</v>
      </c>
    </row>
    <row r="21" spans="1:32" ht="27" customHeight="1" thickBot="1">
      <c r="A21" s="110">
        <v>15</v>
      </c>
      <c r="B21" s="11" t="s">
        <v>58</v>
      </c>
      <c r="C21" s="11" t="s">
        <v>115</v>
      </c>
      <c r="D21" s="55"/>
      <c r="E21" s="56" t="s">
        <v>803</v>
      </c>
      <c r="F21" s="12" t="s">
        <v>116</v>
      </c>
      <c r="G21" s="12">
        <v>4</v>
      </c>
      <c r="H21" s="38">
        <v>15</v>
      </c>
      <c r="I21" s="7">
        <v>50000</v>
      </c>
      <c r="J21" s="14">
        <v>27500</v>
      </c>
      <c r="K21" s="15">
        <f>L21</f>
        <v>27495</v>
      </c>
      <c r="L21" s="15">
        <f>8722*3+443*3</f>
        <v>27495</v>
      </c>
      <c r="M21" s="16">
        <f t="shared" si="0"/>
        <v>27495</v>
      </c>
      <c r="N21" s="16">
        <v>0</v>
      </c>
      <c r="O21" s="62">
        <f t="shared" si="1"/>
        <v>0</v>
      </c>
      <c r="P21" s="42">
        <f t="shared" si="2"/>
        <v>14</v>
      </c>
      <c r="Q21" s="43">
        <f t="shared" si="3"/>
        <v>10</v>
      </c>
      <c r="R21" s="7"/>
      <c r="S21" s="6"/>
      <c r="T21" s="17">
        <v>10</v>
      </c>
      <c r="U21" s="17"/>
      <c r="V21" s="18"/>
      <c r="W21" s="19"/>
      <c r="X21" s="17"/>
      <c r="Y21" s="20"/>
      <c r="Z21" s="20"/>
      <c r="AA21" s="21"/>
      <c r="AB21" s="8">
        <f t="shared" si="4"/>
        <v>0.99981818181818183</v>
      </c>
      <c r="AC21" s="9">
        <f t="shared" si="5"/>
        <v>0.58333333333333337</v>
      </c>
      <c r="AD21" s="10">
        <f t="shared" si="6"/>
        <v>0.58322727272727282</v>
      </c>
      <c r="AE21" s="39">
        <f t="shared" si="7"/>
        <v>0.56893534785390354</v>
      </c>
      <c r="AF21" s="94">
        <f t="shared" si="8"/>
        <v>15</v>
      </c>
    </row>
    <row r="22" spans="1:32" ht="31.5" customHeight="1" thickBot="1">
      <c r="A22" s="465" t="s">
        <v>34</v>
      </c>
      <c r="B22" s="466"/>
      <c r="C22" s="466"/>
      <c r="D22" s="466"/>
      <c r="E22" s="466"/>
      <c r="F22" s="466"/>
      <c r="G22" s="466"/>
      <c r="H22" s="467"/>
      <c r="I22" s="25">
        <f t="shared" ref="I22:N22" si="19">SUM(I6:I21)</f>
        <v>804500</v>
      </c>
      <c r="J22" s="22">
        <f t="shared" si="19"/>
        <v>120100</v>
      </c>
      <c r="K22" s="23">
        <f t="shared" si="19"/>
        <v>470611</v>
      </c>
      <c r="L22" s="24">
        <f t="shared" si="19"/>
        <v>99959</v>
      </c>
      <c r="M22" s="23">
        <f t="shared" si="19"/>
        <v>99959</v>
      </c>
      <c r="N22" s="24">
        <f t="shared" si="19"/>
        <v>0</v>
      </c>
      <c r="O22" s="44">
        <f t="shared" si="1"/>
        <v>0</v>
      </c>
      <c r="P22" s="45">
        <f t="shared" ref="P22:AA22" si="20">SUM(P6:P21)</f>
        <v>205</v>
      </c>
      <c r="Q22" s="46">
        <f t="shared" si="20"/>
        <v>179</v>
      </c>
      <c r="R22" s="26">
        <f t="shared" si="20"/>
        <v>0</v>
      </c>
      <c r="S22" s="27">
        <f t="shared" si="20"/>
        <v>51</v>
      </c>
      <c r="T22" s="27">
        <f t="shared" si="20"/>
        <v>13</v>
      </c>
      <c r="U22" s="27">
        <f t="shared" si="20"/>
        <v>0</v>
      </c>
      <c r="V22" s="28">
        <f t="shared" si="20"/>
        <v>6</v>
      </c>
      <c r="W22" s="29">
        <f t="shared" si="20"/>
        <v>109</v>
      </c>
      <c r="X22" s="30">
        <f t="shared" si="20"/>
        <v>0</v>
      </c>
      <c r="Y22" s="30">
        <f t="shared" si="20"/>
        <v>0</v>
      </c>
      <c r="Z22" s="30">
        <f t="shared" si="20"/>
        <v>0</v>
      </c>
      <c r="AA22" s="30">
        <f t="shared" si="20"/>
        <v>0</v>
      </c>
      <c r="AB22" s="31">
        <f>SUM(AB6:AB21)/15</f>
        <v>0.79928400634236862</v>
      </c>
      <c r="AC22" s="4">
        <f>SUM(AC6:AC21)/15</f>
        <v>0.56944444444444442</v>
      </c>
      <c r="AD22" s="4">
        <f>SUM(AD6:AD21)/15</f>
        <v>0.56893534785390354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68" t="s">
        <v>45</v>
      </c>
      <c r="B49" s="468"/>
      <c r="C49" s="468"/>
      <c r="D49" s="468"/>
      <c r="E49" s="468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69" t="s">
        <v>804</v>
      </c>
      <c r="B50" s="470"/>
      <c r="C50" s="470"/>
      <c r="D50" s="470"/>
      <c r="E50" s="470"/>
      <c r="F50" s="470"/>
      <c r="G50" s="470"/>
      <c r="H50" s="470"/>
      <c r="I50" s="470"/>
      <c r="J50" s="470"/>
      <c r="K50" s="470"/>
      <c r="L50" s="470"/>
      <c r="M50" s="471"/>
      <c r="N50" s="472" t="s">
        <v>815</v>
      </c>
      <c r="O50" s="473"/>
      <c r="P50" s="473"/>
      <c r="Q50" s="473"/>
      <c r="R50" s="473"/>
      <c r="S50" s="473"/>
      <c r="T50" s="473"/>
      <c r="U50" s="473"/>
      <c r="V50" s="473"/>
      <c r="W50" s="473"/>
      <c r="X50" s="473"/>
      <c r="Y50" s="473"/>
      <c r="Z50" s="473"/>
      <c r="AA50" s="473"/>
      <c r="AB50" s="473"/>
      <c r="AC50" s="473"/>
      <c r="AD50" s="474"/>
    </row>
    <row r="51" spans="1:32" ht="27" customHeight="1">
      <c r="A51" s="475" t="s">
        <v>2</v>
      </c>
      <c r="B51" s="476"/>
      <c r="C51" s="292" t="s">
        <v>46</v>
      </c>
      <c r="D51" s="292" t="s">
        <v>47</v>
      </c>
      <c r="E51" s="292" t="s">
        <v>109</v>
      </c>
      <c r="F51" s="476" t="s">
        <v>108</v>
      </c>
      <c r="G51" s="476"/>
      <c r="H51" s="476"/>
      <c r="I51" s="476"/>
      <c r="J51" s="476"/>
      <c r="K51" s="476"/>
      <c r="L51" s="476"/>
      <c r="M51" s="477"/>
      <c r="N51" s="73" t="s">
        <v>113</v>
      </c>
      <c r="O51" s="292" t="s">
        <v>46</v>
      </c>
      <c r="P51" s="478" t="s">
        <v>47</v>
      </c>
      <c r="Q51" s="479"/>
      <c r="R51" s="478" t="s">
        <v>38</v>
      </c>
      <c r="S51" s="480"/>
      <c r="T51" s="480"/>
      <c r="U51" s="479"/>
      <c r="V51" s="478" t="s">
        <v>48</v>
      </c>
      <c r="W51" s="480"/>
      <c r="X51" s="480"/>
      <c r="Y51" s="480"/>
      <c r="Z51" s="480"/>
      <c r="AA51" s="480"/>
      <c r="AB51" s="480"/>
      <c r="AC51" s="480"/>
      <c r="AD51" s="481"/>
    </row>
    <row r="52" spans="1:32" ht="27" customHeight="1">
      <c r="A52" s="492" t="s">
        <v>327</v>
      </c>
      <c r="B52" s="493"/>
      <c r="C52" s="291" t="s">
        <v>679</v>
      </c>
      <c r="D52" s="288" t="s">
        <v>196</v>
      </c>
      <c r="E52" s="291" t="s">
        <v>160</v>
      </c>
      <c r="F52" s="494" t="s">
        <v>805</v>
      </c>
      <c r="G52" s="494"/>
      <c r="H52" s="494"/>
      <c r="I52" s="494"/>
      <c r="J52" s="494"/>
      <c r="K52" s="494"/>
      <c r="L52" s="494"/>
      <c r="M52" s="495"/>
      <c r="N52" s="287" t="s">
        <v>173</v>
      </c>
      <c r="O52" s="74" t="s">
        <v>472</v>
      </c>
      <c r="P52" s="496" t="s">
        <v>816</v>
      </c>
      <c r="Q52" s="497"/>
      <c r="R52" s="498" t="s">
        <v>817</v>
      </c>
      <c r="S52" s="498"/>
      <c r="T52" s="498"/>
      <c r="U52" s="498"/>
      <c r="V52" s="494" t="s">
        <v>171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118</v>
      </c>
      <c r="B53" s="493"/>
      <c r="C53" s="291" t="s">
        <v>472</v>
      </c>
      <c r="D53" s="288" t="s">
        <v>711</v>
      </c>
      <c r="E53" s="291" t="s">
        <v>633</v>
      </c>
      <c r="F53" s="494" t="s">
        <v>806</v>
      </c>
      <c r="G53" s="494"/>
      <c r="H53" s="494"/>
      <c r="I53" s="494"/>
      <c r="J53" s="494"/>
      <c r="K53" s="494"/>
      <c r="L53" s="494"/>
      <c r="M53" s="495"/>
      <c r="N53" s="287" t="s">
        <v>133</v>
      </c>
      <c r="O53" s="74" t="s">
        <v>702</v>
      </c>
      <c r="P53" s="496" t="s">
        <v>131</v>
      </c>
      <c r="Q53" s="497"/>
      <c r="R53" s="498" t="s">
        <v>700</v>
      </c>
      <c r="S53" s="498"/>
      <c r="T53" s="498"/>
      <c r="U53" s="498"/>
      <c r="V53" s="494" t="s">
        <v>747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327</v>
      </c>
      <c r="B54" s="493"/>
      <c r="C54" s="291" t="s">
        <v>725</v>
      </c>
      <c r="D54" s="288" t="s">
        <v>726</v>
      </c>
      <c r="E54" s="291" t="s">
        <v>165</v>
      </c>
      <c r="F54" s="494" t="s">
        <v>807</v>
      </c>
      <c r="G54" s="494"/>
      <c r="H54" s="494"/>
      <c r="I54" s="494"/>
      <c r="J54" s="494"/>
      <c r="K54" s="494"/>
      <c r="L54" s="494"/>
      <c r="M54" s="495"/>
      <c r="N54" s="287" t="s">
        <v>118</v>
      </c>
      <c r="O54" s="74" t="s">
        <v>307</v>
      </c>
      <c r="P54" s="496" t="s">
        <v>196</v>
      </c>
      <c r="Q54" s="497"/>
      <c r="R54" s="498" t="s">
        <v>818</v>
      </c>
      <c r="S54" s="498"/>
      <c r="T54" s="498"/>
      <c r="U54" s="498"/>
      <c r="V54" s="494" t="s">
        <v>808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327</v>
      </c>
      <c r="B55" s="493"/>
      <c r="C55" s="291" t="s">
        <v>235</v>
      </c>
      <c r="D55" s="288" t="s">
        <v>196</v>
      </c>
      <c r="E55" s="291" t="s">
        <v>772</v>
      </c>
      <c r="F55" s="494" t="s">
        <v>808</v>
      </c>
      <c r="G55" s="494"/>
      <c r="H55" s="494"/>
      <c r="I55" s="494"/>
      <c r="J55" s="494"/>
      <c r="K55" s="494"/>
      <c r="L55" s="494"/>
      <c r="M55" s="495"/>
      <c r="N55" s="287" t="s">
        <v>811</v>
      </c>
      <c r="O55" s="74" t="s">
        <v>809</v>
      </c>
      <c r="P55" s="496" t="s">
        <v>819</v>
      </c>
      <c r="Q55" s="497"/>
      <c r="R55" s="498" t="s">
        <v>820</v>
      </c>
      <c r="S55" s="498"/>
      <c r="T55" s="498"/>
      <c r="U55" s="498"/>
      <c r="V55" s="494" t="s">
        <v>171</v>
      </c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173</v>
      </c>
      <c r="B56" s="493"/>
      <c r="C56" s="291" t="s">
        <v>809</v>
      </c>
      <c r="D56" s="288" t="s">
        <v>800</v>
      </c>
      <c r="E56" s="291" t="s">
        <v>801</v>
      </c>
      <c r="F56" s="494" t="s">
        <v>810</v>
      </c>
      <c r="G56" s="494"/>
      <c r="H56" s="494"/>
      <c r="I56" s="494"/>
      <c r="J56" s="494"/>
      <c r="K56" s="494"/>
      <c r="L56" s="494"/>
      <c r="M56" s="495"/>
      <c r="N56" s="287"/>
      <c r="O56" s="74"/>
      <c r="P56" s="496"/>
      <c r="Q56" s="497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 t="s">
        <v>811</v>
      </c>
      <c r="B57" s="493"/>
      <c r="C57" s="291" t="s">
        <v>419</v>
      </c>
      <c r="D57" s="288" t="s">
        <v>812</v>
      </c>
      <c r="E57" s="291" t="s">
        <v>813</v>
      </c>
      <c r="F57" s="494" t="s">
        <v>814</v>
      </c>
      <c r="G57" s="494"/>
      <c r="H57" s="494"/>
      <c r="I57" s="494"/>
      <c r="J57" s="494"/>
      <c r="K57" s="494"/>
      <c r="L57" s="494"/>
      <c r="M57" s="495"/>
      <c r="N57" s="287"/>
      <c r="O57" s="74"/>
      <c r="P57" s="498"/>
      <c r="Q57" s="498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/>
      <c r="B58" s="493"/>
      <c r="C58" s="291"/>
      <c r="D58" s="288"/>
      <c r="E58" s="291"/>
      <c r="F58" s="494"/>
      <c r="G58" s="494"/>
      <c r="H58" s="494"/>
      <c r="I58" s="494"/>
      <c r="J58" s="494"/>
      <c r="K58" s="494"/>
      <c r="L58" s="494"/>
      <c r="M58" s="495"/>
      <c r="N58" s="287"/>
      <c r="O58" s="74"/>
      <c r="P58" s="496"/>
      <c r="Q58" s="497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492"/>
      <c r="B59" s="493"/>
      <c r="C59" s="291"/>
      <c r="D59" s="288"/>
      <c r="E59" s="291"/>
      <c r="F59" s="494"/>
      <c r="G59" s="494"/>
      <c r="H59" s="494"/>
      <c r="I59" s="494"/>
      <c r="J59" s="494"/>
      <c r="K59" s="494"/>
      <c r="L59" s="494"/>
      <c r="M59" s="495"/>
      <c r="N59" s="287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</row>
    <row r="60" spans="1:32" ht="27" customHeight="1">
      <c r="A60" s="508"/>
      <c r="B60" s="498"/>
      <c r="C60" s="288"/>
      <c r="D60" s="288"/>
      <c r="E60" s="288"/>
      <c r="F60" s="494"/>
      <c r="G60" s="494"/>
      <c r="H60" s="494"/>
      <c r="I60" s="494"/>
      <c r="J60" s="494"/>
      <c r="K60" s="494"/>
      <c r="L60" s="494"/>
      <c r="M60" s="495"/>
      <c r="N60" s="287"/>
      <c r="O60" s="74"/>
      <c r="P60" s="498"/>
      <c r="Q60" s="498"/>
      <c r="R60" s="498"/>
      <c r="S60" s="498"/>
      <c r="T60" s="498"/>
      <c r="U60" s="498"/>
      <c r="V60" s="494"/>
      <c r="W60" s="494"/>
      <c r="X60" s="494"/>
      <c r="Y60" s="494"/>
      <c r="Z60" s="494"/>
      <c r="AA60" s="494"/>
      <c r="AB60" s="494"/>
      <c r="AC60" s="494"/>
      <c r="AD60" s="495"/>
      <c r="AF60" s="94">
        <f>8*3000</f>
        <v>24000</v>
      </c>
    </row>
    <row r="61" spans="1:32" ht="27" customHeight="1" thickBot="1">
      <c r="A61" s="499"/>
      <c r="B61" s="500"/>
      <c r="C61" s="290"/>
      <c r="D61" s="290"/>
      <c r="E61" s="290"/>
      <c r="F61" s="501"/>
      <c r="G61" s="501"/>
      <c r="H61" s="501"/>
      <c r="I61" s="501"/>
      <c r="J61" s="501"/>
      <c r="K61" s="501"/>
      <c r="L61" s="501"/>
      <c r="M61" s="502"/>
      <c r="N61" s="289"/>
      <c r="O61" s="121"/>
      <c r="P61" s="500"/>
      <c r="Q61" s="500"/>
      <c r="R61" s="500"/>
      <c r="S61" s="500"/>
      <c r="T61" s="500"/>
      <c r="U61" s="500"/>
      <c r="V61" s="501"/>
      <c r="W61" s="501"/>
      <c r="X61" s="501"/>
      <c r="Y61" s="501"/>
      <c r="Z61" s="501"/>
      <c r="AA61" s="501"/>
      <c r="AB61" s="501"/>
      <c r="AC61" s="501"/>
      <c r="AD61" s="502"/>
      <c r="AF61" s="94">
        <f>16*3000</f>
        <v>48000</v>
      </c>
    </row>
    <row r="62" spans="1:32" ht="27.75" thickBot="1">
      <c r="A62" s="503" t="s">
        <v>821</v>
      </c>
      <c r="B62" s="503"/>
      <c r="C62" s="503"/>
      <c r="D62" s="503"/>
      <c r="E62" s="503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504" t="s">
        <v>114</v>
      </c>
      <c r="B63" s="505"/>
      <c r="C63" s="286" t="s">
        <v>2</v>
      </c>
      <c r="D63" s="286" t="s">
        <v>37</v>
      </c>
      <c r="E63" s="286" t="s">
        <v>3</v>
      </c>
      <c r="F63" s="505" t="s">
        <v>111</v>
      </c>
      <c r="G63" s="505"/>
      <c r="H63" s="505"/>
      <c r="I63" s="505"/>
      <c r="J63" s="505"/>
      <c r="K63" s="505" t="s">
        <v>39</v>
      </c>
      <c r="L63" s="505"/>
      <c r="M63" s="286" t="s">
        <v>40</v>
      </c>
      <c r="N63" s="505" t="s">
        <v>41</v>
      </c>
      <c r="O63" s="505"/>
      <c r="P63" s="506" t="s">
        <v>42</v>
      </c>
      <c r="Q63" s="507"/>
      <c r="R63" s="506" t="s">
        <v>43</v>
      </c>
      <c r="S63" s="509"/>
      <c r="T63" s="509"/>
      <c r="U63" s="509"/>
      <c r="V63" s="509"/>
      <c r="W63" s="509"/>
      <c r="X63" s="509"/>
      <c r="Y63" s="509"/>
      <c r="Z63" s="509"/>
      <c r="AA63" s="507"/>
      <c r="AB63" s="505" t="s">
        <v>44</v>
      </c>
      <c r="AC63" s="505"/>
      <c r="AD63" s="510"/>
      <c r="AF63" s="94">
        <f>SUM(AF60:AF62)</f>
        <v>96000</v>
      </c>
    </row>
    <row r="64" spans="1:32" ht="25.5" customHeight="1">
      <c r="A64" s="511">
        <v>1</v>
      </c>
      <c r="B64" s="512"/>
      <c r="C64" s="124" t="s">
        <v>752</v>
      </c>
      <c r="D64" s="282"/>
      <c r="E64" s="285" t="s">
        <v>791</v>
      </c>
      <c r="F64" s="513"/>
      <c r="G64" s="514"/>
      <c r="H64" s="514"/>
      <c r="I64" s="514"/>
      <c r="J64" s="514"/>
      <c r="K64" s="514">
        <v>7301</v>
      </c>
      <c r="L64" s="514"/>
      <c r="M64" s="54" t="s">
        <v>822</v>
      </c>
      <c r="N64" s="514">
        <v>11</v>
      </c>
      <c r="O64" s="514"/>
      <c r="P64" s="515">
        <v>50</v>
      </c>
      <c r="Q64" s="515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2</v>
      </c>
      <c r="B65" s="512"/>
      <c r="C65" s="124"/>
      <c r="D65" s="282"/>
      <c r="E65" s="285"/>
      <c r="F65" s="513"/>
      <c r="G65" s="514"/>
      <c r="H65" s="514"/>
      <c r="I65" s="514"/>
      <c r="J65" s="514"/>
      <c r="K65" s="514"/>
      <c r="L65" s="514"/>
      <c r="M65" s="54"/>
      <c r="N65" s="514"/>
      <c r="O65" s="514"/>
      <c r="P65" s="515"/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3</v>
      </c>
      <c r="B66" s="512"/>
      <c r="C66" s="124"/>
      <c r="D66" s="282"/>
      <c r="E66" s="285"/>
      <c r="F66" s="513"/>
      <c r="G66" s="514"/>
      <c r="H66" s="514"/>
      <c r="I66" s="514"/>
      <c r="J66" s="514"/>
      <c r="K66" s="514"/>
      <c r="L66" s="514"/>
      <c r="M66" s="54"/>
      <c r="N66" s="514"/>
      <c r="O66" s="514"/>
      <c r="P66" s="515"/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4</v>
      </c>
      <c r="B67" s="512"/>
      <c r="C67" s="124"/>
      <c r="D67" s="282"/>
      <c r="E67" s="285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5</v>
      </c>
      <c r="B68" s="512"/>
      <c r="C68" s="124"/>
      <c r="D68" s="282"/>
      <c r="E68" s="285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6</v>
      </c>
      <c r="B69" s="512"/>
      <c r="C69" s="124"/>
      <c r="D69" s="282"/>
      <c r="E69" s="285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7</v>
      </c>
      <c r="B70" s="512"/>
      <c r="C70" s="124"/>
      <c r="D70" s="282"/>
      <c r="E70" s="285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5.5" customHeight="1">
      <c r="A71" s="511">
        <v>8</v>
      </c>
      <c r="B71" s="512"/>
      <c r="C71" s="124"/>
      <c r="D71" s="282"/>
      <c r="E71" s="285"/>
      <c r="F71" s="513"/>
      <c r="G71" s="514"/>
      <c r="H71" s="514"/>
      <c r="I71" s="514"/>
      <c r="J71" s="514"/>
      <c r="K71" s="514"/>
      <c r="L71" s="514"/>
      <c r="M71" s="54"/>
      <c r="N71" s="514"/>
      <c r="O71" s="514"/>
      <c r="P71" s="515"/>
      <c r="Q71" s="515"/>
      <c r="R71" s="494"/>
      <c r="S71" s="494"/>
      <c r="T71" s="494"/>
      <c r="U71" s="494"/>
      <c r="V71" s="494"/>
      <c r="W71" s="494"/>
      <c r="X71" s="494"/>
      <c r="Y71" s="494"/>
      <c r="Z71" s="494"/>
      <c r="AA71" s="494"/>
      <c r="AB71" s="514"/>
      <c r="AC71" s="514"/>
      <c r="AD71" s="516"/>
      <c r="AF71" s="53"/>
    </row>
    <row r="72" spans="1:32" ht="26.25" customHeight="1" thickBot="1">
      <c r="A72" s="517" t="s">
        <v>823</v>
      </c>
      <c r="B72" s="517"/>
      <c r="C72" s="517"/>
      <c r="D72" s="517"/>
      <c r="E72" s="517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518" t="s">
        <v>114</v>
      </c>
      <c r="B73" s="519"/>
      <c r="C73" s="284" t="s">
        <v>2</v>
      </c>
      <c r="D73" s="284" t="s">
        <v>37</v>
      </c>
      <c r="E73" s="284" t="s">
        <v>3</v>
      </c>
      <c r="F73" s="519" t="s">
        <v>38</v>
      </c>
      <c r="G73" s="519"/>
      <c r="H73" s="519"/>
      <c r="I73" s="519"/>
      <c r="J73" s="519"/>
      <c r="K73" s="520" t="s">
        <v>59</v>
      </c>
      <c r="L73" s="521"/>
      <c r="M73" s="521"/>
      <c r="N73" s="521"/>
      <c r="O73" s="521"/>
      <c r="P73" s="521"/>
      <c r="Q73" s="521"/>
      <c r="R73" s="521"/>
      <c r="S73" s="522"/>
      <c r="T73" s="519" t="s">
        <v>49</v>
      </c>
      <c r="U73" s="519"/>
      <c r="V73" s="520" t="s">
        <v>50</v>
      </c>
      <c r="W73" s="522"/>
      <c r="X73" s="521" t="s">
        <v>51</v>
      </c>
      <c r="Y73" s="521"/>
      <c r="Z73" s="521"/>
      <c r="AA73" s="521"/>
      <c r="AB73" s="521"/>
      <c r="AC73" s="521"/>
      <c r="AD73" s="523"/>
      <c r="AF73" s="53"/>
    </row>
    <row r="74" spans="1:32" ht="33.75" customHeight="1">
      <c r="A74" s="532">
        <v>1</v>
      </c>
      <c r="B74" s="533"/>
      <c r="C74" s="283" t="s">
        <v>117</v>
      </c>
      <c r="D74" s="283"/>
      <c r="E74" s="71" t="s">
        <v>123</v>
      </c>
      <c r="F74" s="534" t="s">
        <v>124</v>
      </c>
      <c r="G74" s="535"/>
      <c r="H74" s="535"/>
      <c r="I74" s="535"/>
      <c r="J74" s="536"/>
      <c r="K74" s="537" t="s">
        <v>119</v>
      </c>
      <c r="L74" s="538"/>
      <c r="M74" s="538"/>
      <c r="N74" s="538"/>
      <c r="O74" s="538"/>
      <c r="P74" s="538"/>
      <c r="Q74" s="538"/>
      <c r="R74" s="538"/>
      <c r="S74" s="539"/>
      <c r="T74" s="540">
        <v>42901</v>
      </c>
      <c r="U74" s="541"/>
      <c r="V74" s="542"/>
      <c r="W74" s="542"/>
      <c r="X74" s="543"/>
      <c r="Y74" s="543"/>
      <c r="Z74" s="543"/>
      <c r="AA74" s="543"/>
      <c r="AB74" s="543"/>
      <c r="AC74" s="543"/>
      <c r="AD74" s="544"/>
      <c r="AF74" s="53"/>
    </row>
    <row r="75" spans="1:32" ht="30" customHeight="1">
      <c r="A75" s="524">
        <f>A74+1</f>
        <v>2</v>
      </c>
      <c r="B75" s="525"/>
      <c r="C75" s="282" t="s">
        <v>117</v>
      </c>
      <c r="D75" s="282"/>
      <c r="E75" s="35" t="s">
        <v>120</v>
      </c>
      <c r="F75" s="525" t="s">
        <v>121</v>
      </c>
      <c r="G75" s="525"/>
      <c r="H75" s="525"/>
      <c r="I75" s="525"/>
      <c r="J75" s="525"/>
      <c r="K75" s="526" t="s">
        <v>122</v>
      </c>
      <c r="L75" s="527"/>
      <c r="M75" s="527"/>
      <c r="N75" s="527"/>
      <c r="O75" s="527"/>
      <c r="P75" s="527"/>
      <c r="Q75" s="527"/>
      <c r="R75" s="527"/>
      <c r="S75" s="528"/>
      <c r="T75" s="529">
        <v>42867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ref="A76:A82" si="21">A75+1</f>
        <v>3</v>
      </c>
      <c r="B76" s="525"/>
      <c r="C76" s="282" t="s">
        <v>133</v>
      </c>
      <c r="D76" s="282"/>
      <c r="E76" s="35" t="s">
        <v>131</v>
      </c>
      <c r="F76" s="525" t="s">
        <v>134</v>
      </c>
      <c r="G76" s="525"/>
      <c r="H76" s="525"/>
      <c r="I76" s="525"/>
      <c r="J76" s="525"/>
      <c r="K76" s="526" t="s">
        <v>119</v>
      </c>
      <c r="L76" s="527"/>
      <c r="M76" s="527"/>
      <c r="N76" s="527"/>
      <c r="O76" s="527"/>
      <c r="P76" s="527"/>
      <c r="Q76" s="527"/>
      <c r="R76" s="527"/>
      <c r="S76" s="528"/>
      <c r="T76" s="529">
        <v>42937</v>
      </c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21"/>
        <v>4</v>
      </c>
      <c r="B77" s="525"/>
      <c r="C77" s="282"/>
      <c r="D77" s="282"/>
      <c r="E77" s="35"/>
      <c r="F77" s="525"/>
      <c r="G77" s="525"/>
      <c r="H77" s="525"/>
      <c r="I77" s="525"/>
      <c r="J77" s="525"/>
      <c r="K77" s="526"/>
      <c r="L77" s="527"/>
      <c r="M77" s="527"/>
      <c r="N77" s="527"/>
      <c r="O77" s="527"/>
      <c r="P77" s="527"/>
      <c r="Q77" s="527"/>
      <c r="R77" s="527"/>
      <c r="S77" s="528"/>
      <c r="T77" s="529"/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21"/>
        <v>5</v>
      </c>
      <c r="B78" s="525"/>
      <c r="C78" s="282"/>
      <c r="D78" s="282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21"/>
        <v>6</v>
      </c>
      <c r="B79" s="525"/>
      <c r="C79" s="282"/>
      <c r="D79" s="282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21"/>
        <v>7</v>
      </c>
      <c r="B80" s="525"/>
      <c r="C80" s="282"/>
      <c r="D80" s="282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21"/>
        <v>8</v>
      </c>
      <c r="B81" s="525"/>
      <c r="C81" s="282"/>
      <c r="D81" s="282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0" customHeight="1">
      <c r="A82" s="524">
        <f t="shared" si="21"/>
        <v>9</v>
      </c>
      <c r="B82" s="525"/>
      <c r="C82" s="282"/>
      <c r="D82" s="282"/>
      <c r="E82" s="35"/>
      <c r="F82" s="525"/>
      <c r="G82" s="525"/>
      <c r="H82" s="525"/>
      <c r="I82" s="525"/>
      <c r="J82" s="525"/>
      <c r="K82" s="526"/>
      <c r="L82" s="527"/>
      <c r="M82" s="527"/>
      <c r="N82" s="527"/>
      <c r="O82" s="527"/>
      <c r="P82" s="527"/>
      <c r="Q82" s="527"/>
      <c r="R82" s="527"/>
      <c r="S82" s="528"/>
      <c r="T82" s="529"/>
      <c r="U82" s="529"/>
      <c r="V82" s="529"/>
      <c r="W82" s="529"/>
      <c r="X82" s="530"/>
      <c r="Y82" s="530"/>
      <c r="Z82" s="530"/>
      <c r="AA82" s="530"/>
      <c r="AB82" s="530"/>
      <c r="AC82" s="530"/>
      <c r="AD82" s="531"/>
      <c r="AF82" s="53"/>
    </row>
    <row r="83" spans="1:32" ht="36" thickBot="1">
      <c r="A83" s="517" t="s">
        <v>824</v>
      </c>
      <c r="B83" s="517"/>
      <c r="C83" s="517"/>
      <c r="D83" s="517"/>
      <c r="E83" s="517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518" t="s">
        <v>114</v>
      </c>
      <c r="B84" s="519"/>
      <c r="C84" s="545" t="s">
        <v>52</v>
      </c>
      <c r="D84" s="545"/>
      <c r="E84" s="545" t="s">
        <v>53</v>
      </c>
      <c r="F84" s="545"/>
      <c r="G84" s="545"/>
      <c r="H84" s="545"/>
      <c r="I84" s="545"/>
      <c r="J84" s="545"/>
      <c r="K84" s="545" t="s">
        <v>54</v>
      </c>
      <c r="L84" s="545"/>
      <c r="M84" s="545"/>
      <c r="N84" s="545"/>
      <c r="O84" s="545"/>
      <c r="P84" s="545"/>
      <c r="Q84" s="545"/>
      <c r="R84" s="545"/>
      <c r="S84" s="545"/>
      <c r="T84" s="545" t="s">
        <v>55</v>
      </c>
      <c r="U84" s="545"/>
      <c r="V84" s="545" t="s">
        <v>56</v>
      </c>
      <c r="W84" s="545"/>
      <c r="X84" s="545"/>
      <c r="Y84" s="545" t="s">
        <v>51</v>
      </c>
      <c r="Z84" s="545"/>
      <c r="AA84" s="545"/>
      <c r="AB84" s="545"/>
      <c r="AC84" s="545"/>
      <c r="AD84" s="546"/>
      <c r="AF84" s="53"/>
    </row>
    <row r="85" spans="1:32" ht="30.75" customHeight="1">
      <c r="A85" s="532">
        <v>1</v>
      </c>
      <c r="B85" s="533"/>
      <c r="C85" s="547"/>
      <c r="D85" s="547"/>
      <c r="E85" s="547"/>
      <c r="F85" s="547"/>
      <c r="G85" s="547"/>
      <c r="H85" s="547"/>
      <c r="I85" s="547"/>
      <c r="J85" s="547"/>
      <c r="K85" s="547"/>
      <c r="L85" s="547"/>
      <c r="M85" s="547"/>
      <c r="N85" s="547"/>
      <c r="O85" s="547"/>
      <c r="P85" s="547"/>
      <c r="Q85" s="547"/>
      <c r="R85" s="547"/>
      <c r="S85" s="547"/>
      <c r="T85" s="547"/>
      <c r="U85" s="547"/>
      <c r="V85" s="548"/>
      <c r="W85" s="548"/>
      <c r="X85" s="548"/>
      <c r="Y85" s="549"/>
      <c r="Z85" s="549"/>
      <c r="AA85" s="549"/>
      <c r="AB85" s="549"/>
      <c r="AC85" s="549"/>
      <c r="AD85" s="550"/>
      <c r="AF85" s="53"/>
    </row>
    <row r="86" spans="1:32" ht="30.75" customHeight="1">
      <c r="A86" s="524">
        <v>2</v>
      </c>
      <c r="B86" s="525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9"/>
      <c r="U86" s="559"/>
      <c r="V86" s="560"/>
      <c r="W86" s="560"/>
      <c r="X86" s="560"/>
      <c r="Y86" s="551"/>
      <c r="Z86" s="551"/>
      <c r="AA86" s="551"/>
      <c r="AB86" s="551"/>
      <c r="AC86" s="551"/>
      <c r="AD86" s="552"/>
      <c r="AF86" s="53"/>
    </row>
    <row r="87" spans="1:32" ht="30.75" customHeight="1" thickBot="1">
      <c r="A87" s="553">
        <v>3</v>
      </c>
      <c r="B87" s="554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555"/>
      <c r="Q87" s="555"/>
      <c r="R87" s="555"/>
      <c r="S87" s="555"/>
      <c r="T87" s="555"/>
      <c r="U87" s="555"/>
      <c r="V87" s="555"/>
      <c r="W87" s="555"/>
      <c r="X87" s="555"/>
      <c r="Y87" s="556"/>
      <c r="Z87" s="556"/>
      <c r="AA87" s="556"/>
      <c r="AB87" s="556"/>
      <c r="AC87" s="556"/>
      <c r="AD87" s="557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8"/>
  <sheetViews>
    <sheetView zoomScale="72" zoomScaleNormal="72" zoomScaleSheetLayoutView="70" workbookViewId="0">
      <selection activeCell="L11" sqref="L11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51" t="s">
        <v>825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6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294" t="s">
        <v>17</v>
      </c>
      <c r="L5" s="294" t="s">
        <v>18</v>
      </c>
      <c r="M5" s="294" t="s">
        <v>19</v>
      </c>
      <c r="N5" s="29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6" ht="27" customHeight="1">
      <c r="A6" s="108">
        <v>1</v>
      </c>
      <c r="B6" s="11" t="s">
        <v>58</v>
      </c>
      <c r="C6" s="37" t="s">
        <v>562</v>
      </c>
      <c r="D6" s="55" t="s">
        <v>708</v>
      </c>
      <c r="E6" s="57" t="s">
        <v>709</v>
      </c>
      <c r="F6" s="33" t="s">
        <v>710</v>
      </c>
      <c r="G6" s="12">
        <v>3</v>
      </c>
      <c r="H6" s="13">
        <v>25</v>
      </c>
      <c r="I6" s="34">
        <v>100000</v>
      </c>
      <c r="J6" s="5">
        <v>14960</v>
      </c>
      <c r="K6" s="15">
        <f>L6+7182+15369+15033</f>
        <v>52536</v>
      </c>
      <c r="L6" s="15">
        <f>2574*3+2410*3</f>
        <v>14952</v>
      </c>
      <c r="M6" s="16">
        <f t="shared" ref="M6:M22" si="0">L6-N6</f>
        <v>14952</v>
      </c>
      <c r="N6" s="16">
        <v>0</v>
      </c>
      <c r="O6" s="62">
        <f t="shared" ref="O6:O23" si="1">IF(L6=0,"0",N6/L6)</f>
        <v>0</v>
      </c>
      <c r="P6" s="42">
        <f t="shared" ref="P6:P22" si="2">IF(L6=0,"0",(24-Q6))</f>
        <v>24</v>
      </c>
      <c r="Q6" s="43">
        <f t="shared" ref="Q6:Q22" si="3">SUM(R6:AA6)</f>
        <v>0</v>
      </c>
      <c r="R6" s="7"/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2" si="4">IF(J6=0,"0",(L6/J6))</f>
        <v>0.99946524064171127</v>
      </c>
      <c r="AC6" s="9">
        <f t="shared" ref="AC6:AC22" si="5">IF(P6=0,"0",(P6/24))</f>
        <v>1</v>
      </c>
      <c r="AD6" s="10">
        <f t="shared" ref="AD6:AD22" si="6">AC6*AB6*(1-O6)</f>
        <v>0.99946524064171127</v>
      </c>
      <c r="AE6" s="39">
        <f t="shared" ref="AE6:AE22" si="7">$AD$23</f>
        <v>0.47169281236352462</v>
      </c>
      <c r="AF6" s="94">
        <f t="shared" ref="AF6:AF22" si="8">A6</f>
        <v>1</v>
      </c>
    </row>
    <row r="7" spans="1:36" ht="27" customHeight="1">
      <c r="A7" s="108">
        <v>2</v>
      </c>
      <c r="B7" s="11" t="s">
        <v>58</v>
      </c>
      <c r="C7" s="37" t="s">
        <v>562</v>
      </c>
      <c r="D7" s="55" t="s">
        <v>764</v>
      </c>
      <c r="E7" s="57" t="s">
        <v>765</v>
      </c>
      <c r="F7" s="33" t="s">
        <v>766</v>
      </c>
      <c r="G7" s="12">
        <v>3</v>
      </c>
      <c r="H7" s="13">
        <v>25</v>
      </c>
      <c r="I7" s="34">
        <v>100000</v>
      </c>
      <c r="J7" s="5">
        <v>7640</v>
      </c>
      <c r="K7" s="15">
        <f>L7+3909+2650+7935+9510</f>
        <v>31639</v>
      </c>
      <c r="L7" s="15">
        <f>2545*3</f>
        <v>7635</v>
      </c>
      <c r="M7" s="16">
        <f t="shared" si="0"/>
        <v>7635</v>
      </c>
      <c r="N7" s="16">
        <v>0</v>
      </c>
      <c r="O7" s="62">
        <f t="shared" si="1"/>
        <v>0</v>
      </c>
      <c r="P7" s="42">
        <f t="shared" si="2"/>
        <v>14</v>
      </c>
      <c r="Q7" s="43">
        <f t="shared" si="3"/>
        <v>10</v>
      </c>
      <c r="R7" s="7"/>
      <c r="S7" s="6"/>
      <c r="T7" s="17"/>
      <c r="U7" s="17"/>
      <c r="V7" s="18">
        <v>10</v>
      </c>
      <c r="W7" s="19"/>
      <c r="X7" s="17"/>
      <c r="Y7" s="20"/>
      <c r="Z7" s="20"/>
      <c r="AA7" s="21"/>
      <c r="AB7" s="8">
        <f t="shared" si="4"/>
        <v>0.99934554973821987</v>
      </c>
      <c r="AC7" s="9">
        <f t="shared" si="5"/>
        <v>0.58333333333333337</v>
      </c>
      <c r="AD7" s="10">
        <f t="shared" si="6"/>
        <v>0.58295157068062831</v>
      </c>
      <c r="AE7" s="39">
        <f t="shared" si="7"/>
        <v>0.47169281236352462</v>
      </c>
      <c r="AF7" s="94">
        <f t="shared" si="8"/>
        <v>2</v>
      </c>
    </row>
    <row r="8" spans="1:36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50000</v>
      </c>
      <c r="J8" s="14">
        <v>4100</v>
      </c>
      <c r="K8" s="15">
        <f>L8</f>
        <v>4093</v>
      </c>
      <c r="L8" s="15">
        <f>1139+2954</f>
        <v>4093</v>
      </c>
      <c r="M8" s="16">
        <f t="shared" si="0"/>
        <v>4093</v>
      </c>
      <c r="N8" s="16">
        <v>0</v>
      </c>
      <c r="O8" s="62">
        <f t="shared" si="1"/>
        <v>0</v>
      </c>
      <c r="P8" s="42">
        <f t="shared" si="2"/>
        <v>21</v>
      </c>
      <c r="Q8" s="43">
        <f t="shared" si="3"/>
        <v>3</v>
      </c>
      <c r="R8" s="7"/>
      <c r="S8" s="6">
        <v>3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0.99829268292682927</v>
      </c>
      <c r="AC8" s="9">
        <f t="shared" si="5"/>
        <v>0.875</v>
      </c>
      <c r="AD8" s="10">
        <f t="shared" si="6"/>
        <v>0.87350609756097564</v>
      </c>
      <c r="AE8" s="39">
        <f t="shared" si="7"/>
        <v>0.47169281236352462</v>
      </c>
      <c r="AF8" s="94">
        <f>A8</f>
        <v>3</v>
      </c>
    </row>
    <row r="9" spans="1:36" ht="27" customHeight="1">
      <c r="A9" s="110">
        <v>4</v>
      </c>
      <c r="B9" s="11" t="s">
        <v>58</v>
      </c>
      <c r="C9" s="37" t="s">
        <v>118</v>
      </c>
      <c r="D9" s="55" t="s">
        <v>826</v>
      </c>
      <c r="E9" s="57" t="s">
        <v>827</v>
      </c>
      <c r="F9" s="33" t="s">
        <v>828</v>
      </c>
      <c r="G9" s="36">
        <v>18</v>
      </c>
      <c r="H9" s="38">
        <v>25</v>
      </c>
      <c r="I9" s="7">
        <v>100000</v>
      </c>
      <c r="J9" s="5">
        <v>44320</v>
      </c>
      <c r="K9" s="15">
        <f>L9</f>
        <v>44316</v>
      </c>
      <c r="L9" s="15">
        <f>989*18+1473*18</f>
        <v>44316</v>
      </c>
      <c r="M9" s="16">
        <f t="shared" si="0"/>
        <v>44316</v>
      </c>
      <c r="N9" s="16">
        <v>0</v>
      </c>
      <c r="O9" s="62">
        <f t="shared" si="1"/>
        <v>0</v>
      </c>
      <c r="P9" s="42">
        <f t="shared" si="2"/>
        <v>18</v>
      </c>
      <c r="Q9" s="43">
        <f t="shared" si="3"/>
        <v>6</v>
      </c>
      <c r="R9" s="7"/>
      <c r="S9" s="6">
        <v>6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0.99990974729241877</v>
      </c>
      <c r="AC9" s="9">
        <f t="shared" si="5"/>
        <v>0.75</v>
      </c>
      <c r="AD9" s="10">
        <f t="shared" si="6"/>
        <v>0.74993231046931408</v>
      </c>
      <c r="AE9" s="39">
        <f t="shared" si="7"/>
        <v>0.47169281236352462</v>
      </c>
      <c r="AF9" s="94">
        <f t="shared" ref="AF9:AF10" si="9">A9</f>
        <v>4</v>
      </c>
    </row>
    <row r="10" spans="1:36" ht="27" customHeight="1">
      <c r="A10" s="110">
        <v>5</v>
      </c>
      <c r="B10" s="11" t="s">
        <v>58</v>
      </c>
      <c r="C10" s="11" t="s">
        <v>667</v>
      </c>
      <c r="D10" s="55" t="s">
        <v>767</v>
      </c>
      <c r="E10" s="57" t="s">
        <v>768</v>
      </c>
      <c r="F10" s="12" t="s">
        <v>670</v>
      </c>
      <c r="G10" s="12">
        <v>1</v>
      </c>
      <c r="H10" s="13">
        <v>25</v>
      </c>
      <c r="I10" s="34">
        <v>500</v>
      </c>
      <c r="J10" s="14">
        <v>960</v>
      </c>
      <c r="K10" s="15">
        <f>L10+959</f>
        <v>959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0.47169281236352462</v>
      </c>
      <c r="AF10" s="94">
        <f t="shared" si="9"/>
        <v>5</v>
      </c>
    </row>
    <row r="11" spans="1:36" ht="27" customHeight="1">
      <c r="A11" s="110">
        <v>6</v>
      </c>
      <c r="B11" s="11" t="s">
        <v>58</v>
      </c>
      <c r="C11" s="11" t="s">
        <v>133</v>
      </c>
      <c r="D11" s="55" t="s">
        <v>131</v>
      </c>
      <c r="E11" s="57" t="s">
        <v>700</v>
      </c>
      <c r="F11" s="12" t="s">
        <v>166</v>
      </c>
      <c r="G11" s="12">
        <v>1</v>
      </c>
      <c r="H11" s="13">
        <v>25</v>
      </c>
      <c r="I11" s="34">
        <v>40000</v>
      </c>
      <c r="J11" s="14">
        <v>2730</v>
      </c>
      <c r="K11" s="15">
        <f>L11</f>
        <v>2724</v>
      </c>
      <c r="L11" s="15">
        <f>2724</f>
        <v>2724</v>
      </c>
      <c r="M11" s="16">
        <f t="shared" si="0"/>
        <v>2724</v>
      </c>
      <c r="N11" s="16">
        <v>0</v>
      </c>
      <c r="O11" s="62">
        <f t="shared" si="1"/>
        <v>0</v>
      </c>
      <c r="P11" s="42">
        <f t="shared" si="2"/>
        <v>14</v>
      </c>
      <c r="Q11" s="43">
        <f t="shared" si="3"/>
        <v>10</v>
      </c>
      <c r="R11" s="7"/>
      <c r="S11" s="6">
        <v>10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0.99780219780219781</v>
      </c>
      <c r="AC11" s="9">
        <f t="shared" si="5"/>
        <v>0.58333333333333337</v>
      </c>
      <c r="AD11" s="10">
        <f t="shared" si="6"/>
        <v>0.58205128205128209</v>
      </c>
      <c r="AE11" s="39">
        <f t="shared" si="7"/>
        <v>0.47169281236352462</v>
      </c>
      <c r="AF11" s="94">
        <f t="shared" si="8"/>
        <v>6</v>
      </c>
    </row>
    <row r="12" spans="1:36" ht="27" customHeight="1">
      <c r="A12" s="110">
        <v>7</v>
      </c>
      <c r="B12" s="11" t="s">
        <v>58</v>
      </c>
      <c r="C12" s="11" t="s">
        <v>118</v>
      </c>
      <c r="D12" s="55" t="s">
        <v>57</v>
      </c>
      <c r="E12" s="57" t="s">
        <v>160</v>
      </c>
      <c r="F12" s="12" t="s">
        <v>145</v>
      </c>
      <c r="G12" s="12">
        <v>1</v>
      </c>
      <c r="H12" s="13">
        <v>25</v>
      </c>
      <c r="I12" s="7">
        <v>62000</v>
      </c>
      <c r="J12" s="14">
        <v>420</v>
      </c>
      <c r="K12" s="15">
        <f>L12+3062+3955+2262+4171+4492+4201+2422+2930+4783+1827+2695+1564+2934+3400+3995+2189+1746+3380+2545</f>
        <v>58969</v>
      </c>
      <c r="L12" s="15">
        <v>416</v>
      </c>
      <c r="M12" s="16">
        <f t="shared" si="0"/>
        <v>416</v>
      </c>
      <c r="N12" s="16">
        <v>0</v>
      </c>
      <c r="O12" s="62">
        <f t="shared" si="1"/>
        <v>0</v>
      </c>
      <c r="P12" s="42">
        <f t="shared" si="2"/>
        <v>3</v>
      </c>
      <c r="Q12" s="43">
        <f t="shared" si="3"/>
        <v>21</v>
      </c>
      <c r="R12" s="7"/>
      <c r="S12" s="6">
        <v>21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0.99047619047619051</v>
      </c>
      <c r="AC12" s="9">
        <f t="shared" si="5"/>
        <v>0.125</v>
      </c>
      <c r="AD12" s="10">
        <f t="shared" si="6"/>
        <v>0.12380952380952381</v>
      </c>
      <c r="AE12" s="39">
        <f t="shared" si="7"/>
        <v>0.47169281236352462</v>
      </c>
      <c r="AF12" s="94">
        <f t="shared" si="8"/>
        <v>7</v>
      </c>
    </row>
    <row r="13" spans="1:36" ht="27" customHeight="1">
      <c r="A13" s="110">
        <v>8</v>
      </c>
      <c r="B13" s="11" t="s">
        <v>58</v>
      </c>
      <c r="C13" s="11" t="s">
        <v>195</v>
      </c>
      <c r="D13" s="55" t="s">
        <v>136</v>
      </c>
      <c r="E13" s="57" t="s">
        <v>577</v>
      </c>
      <c r="F13" s="12">
        <v>7301</v>
      </c>
      <c r="G13" s="12">
        <v>1</v>
      </c>
      <c r="H13" s="13">
        <v>25</v>
      </c>
      <c r="I13" s="7">
        <v>20000</v>
      </c>
      <c r="J13" s="14">
        <v>3480</v>
      </c>
      <c r="K13" s="15">
        <f>L13+3305+4685+5566+4846+5198+3473</f>
        <v>27073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0.47169281236352462</v>
      </c>
      <c r="AF13" s="94">
        <f t="shared" si="8"/>
        <v>8</v>
      </c>
    </row>
    <row r="14" spans="1:36" ht="27" customHeight="1">
      <c r="A14" s="109">
        <v>9</v>
      </c>
      <c r="B14" s="11" t="s">
        <v>58</v>
      </c>
      <c r="C14" s="37" t="s">
        <v>163</v>
      </c>
      <c r="D14" s="55" t="s">
        <v>190</v>
      </c>
      <c r="E14" s="57" t="s">
        <v>436</v>
      </c>
      <c r="F14" s="33" t="s">
        <v>437</v>
      </c>
      <c r="G14" s="36">
        <v>1</v>
      </c>
      <c r="H14" s="38">
        <v>25</v>
      </c>
      <c r="I14" s="7">
        <v>11000</v>
      </c>
      <c r="J14" s="5">
        <v>2330</v>
      </c>
      <c r="K14" s="15">
        <f>L14+2030+3617+4261+2322</f>
        <v>12230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0.47169281236352462</v>
      </c>
      <c r="AF14" s="94">
        <f t="shared" si="8"/>
        <v>9</v>
      </c>
    </row>
    <row r="15" spans="1:36" ht="27" customHeight="1">
      <c r="A15" s="109">
        <v>10</v>
      </c>
      <c r="B15" s="11" t="s">
        <v>58</v>
      </c>
      <c r="C15" s="11" t="s">
        <v>195</v>
      </c>
      <c r="D15" s="55" t="s">
        <v>420</v>
      </c>
      <c r="E15" s="57" t="s">
        <v>421</v>
      </c>
      <c r="F15" s="12">
        <v>8301</v>
      </c>
      <c r="G15" s="12">
        <v>1</v>
      </c>
      <c r="H15" s="13">
        <v>20</v>
      </c>
      <c r="I15" s="34">
        <v>21000</v>
      </c>
      <c r="J15" s="14">
        <v>4991</v>
      </c>
      <c r="K15" s="15">
        <f>L15+2754+4879+4902+4434+5553+5546+3393+5587+3276</f>
        <v>45315</v>
      </c>
      <c r="L15" s="15">
        <f>2801+2190</f>
        <v>4991</v>
      </c>
      <c r="M15" s="16">
        <f t="shared" si="0"/>
        <v>4991</v>
      </c>
      <c r="N15" s="16">
        <v>0</v>
      </c>
      <c r="O15" s="62">
        <f t="shared" si="1"/>
        <v>0</v>
      </c>
      <c r="P15" s="42">
        <f t="shared" si="2"/>
        <v>24</v>
      </c>
      <c r="Q15" s="43">
        <f t="shared" si="3"/>
        <v>0</v>
      </c>
      <c r="R15" s="7"/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1</v>
      </c>
      <c r="AC15" s="9">
        <f t="shared" si="5"/>
        <v>1</v>
      </c>
      <c r="AD15" s="10">
        <f t="shared" si="6"/>
        <v>1</v>
      </c>
      <c r="AE15" s="39">
        <f t="shared" si="7"/>
        <v>0.47169281236352462</v>
      </c>
      <c r="AF15" s="94">
        <f t="shared" si="8"/>
        <v>10</v>
      </c>
    </row>
    <row r="16" spans="1:36" ht="27.75" customHeight="1">
      <c r="A16" s="109">
        <v>11</v>
      </c>
      <c r="B16" s="11" t="s">
        <v>58</v>
      </c>
      <c r="C16" s="11" t="s">
        <v>133</v>
      </c>
      <c r="D16" s="55" t="s">
        <v>829</v>
      </c>
      <c r="E16" s="56" t="s">
        <v>830</v>
      </c>
      <c r="F16" s="12">
        <v>7301</v>
      </c>
      <c r="G16" s="36">
        <v>1</v>
      </c>
      <c r="H16" s="38">
        <v>25</v>
      </c>
      <c r="I16" s="7">
        <v>40000</v>
      </c>
      <c r="J16" s="14">
        <v>882</v>
      </c>
      <c r="K16" s="15">
        <f>L16</f>
        <v>882</v>
      </c>
      <c r="L16" s="15">
        <v>882</v>
      </c>
      <c r="M16" s="16">
        <f t="shared" si="0"/>
        <v>882</v>
      </c>
      <c r="N16" s="16">
        <v>0</v>
      </c>
      <c r="O16" s="62">
        <f t="shared" si="1"/>
        <v>0</v>
      </c>
      <c r="P16" s="42">
        <f t="shared" si="2"/>
        <v>4</v>
      </c>
      <c r="Q16" s="43">
        <f t="shared" si="3"/>
        <v>20</v>
      </c>
      <c r="R16" s="7"/>
      <c r="S16" s="6">
        <v>20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0.16666666666666666</v>
      </c>
      <c r="AD16" s="10">
        <f t="shared" si="6"/>
        <v>0.16666666666666666</v>
      </c>
      <c r="AE16" s="39">
        <f t="shared" si="7"/>
        <v>0.47169281236352462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58</v>
      </c>
      <c r="C17" s="37" t="s">
        <v>133</v>
      </c>
      <c r="D17" s="55" t="s">
        <v>190</v>
      </c>
      <c r="E17" s="56" t="s">
        <v>622</v>
      </c>
      <c r="F17" s="12" t="s">
        <v>281</v>
      </c>
      <c r="G17" s="12">
        <v>4</v>
      </c>
      <c r="H17" s="13">
        <v>25</v>
      </c>
      <c r="I17" s="34">
        <v>11000</v>
      </c>
      <c r="J17" s="5">
        <v>16150</v>
      </c>
      <c r="K17" s="15">
        <f>L17+16148</f>
        <v>16148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0.47169281236352462</v>
      </c>
      <c r="AF17" s="94">
        <f t="shared" ref="AF17" si="10">A17</f>
        <v>12</v>
      </c>
    </row>
    <row r="18" spans="1:32" ht="27" customHeight="1">
      <c r="A18" s="110">
        <v>13</v>
      </c>
      <c r="B18" s="11" t="s">
        <v>58</v>
      </c>
      <c r="C18" s="37" t="s">
        <v>173</v>
      </c>
      <c r="D18" s="55" t="s">
        <v>800</v>
      </c>
      <c r="E18" s="57" t="s">
        <v>801</v>
      </c>
      <c r="F18" s="33" t="s">
        <v>146</v>
      </c>
      <c r="G18" s="36">
        <v>1</v>
      </c>
      <c r="H18" s="38">
        <v>25</v>
      </c>
      <c r="I18" s="7">
        <v>4000</v>
      </c>
      <c r="J18" s="5">
        <v>590</v>
      </c>
      <c r="K18" s="15">
        <f>L18+4838</f>
        <v>5424</v>
      </c>
      <c r="L18" s="15">
        <v>586</v>
      </c>
      <c r="M18" s="16">
        <f t="shared" si="0"/>
        <v>586</v>
      </c>
      <c r="N18" s="16">
        <v>0</v>
      </c>
      <c r="O18" s="62">
        <f t="shared" si="1"/>
        <v>0</v>
      </c>
      <c r="P18" s="42">
        <f t="shared" si="2"/>
        <v>4</v>
      </c>
      <c r="Q18" s="43">
        <f t="shared" si="3"/>
        <v>20</v>
      </c>
      <c r="R18" s="7"/>
      <c r="S18" s="6"/>
      <c r="T18" s="17"/>
      <c r="U18" s="17"/>
      <c r="V18" s="18"/>
      <c r="W18" s="19">
        <v>20</v>
      </c>
      <c r="X18" s="17"/>
      <c r="Y18" s="20"/>
      <c r="Z18" s="20"/>
      <c r="AA18" s="21"/>
      <c r="AB18" s="8">
        <f t="shared" si="4"/>
        <v>0.99322033898305084</v>
      </c>
      <c r="AC18" s="9">
        <f t="shared" si="5"/>
        <v>0.16666666666666666</v>
      </c>
      <c r="AD18" s="10">
        <f t="shared" si="6"/>
        <v>0.1655367231638418</v>
      </c>
      <c r="AE18" s="39">
        <f t="shared" si="7"/>
        <v>0.47169281236352462</v>
      </c>
      <c r="AF18" s="94">
        <f t="shared" si="8"/>
        <v>13</v>
      </c>
    </row>
    <row r="19" spans="1:32" ht="27" customHeight="1">
      <c r="A19" s="110">
        <v>13</v>
      </c>
      <c r="B19" s="11" t="s">
        <v>58</v>
      </c>
      <c r="C19" s="37" t="s">
        <v>228</v>
      </c>
      <c r="D19" s="55" t="s">
        <v>831</v>
      </c>
      <c r="E19" s="57" t="s">
        <v>832</v>
      </c>
      <c r="F19" s="33" t="s">
        <v>833</v>
      </c>
      <c r="G19" s="36">
        <v>1</v>
      </c>
      <c r="H19" s="38">
        <v>25</v>
      </c>
      <c r="I19" s="7">
        <v>3000</v>
      </c>
      <c r="J19" s="5">
        <v>995</v>
      </c>
      <c r="K19" s="15">
        <f>L19</f>
        <v>995</v>
      </c>
      <c r="L19" s="15">
        <f>305+690</f>
        <v>995</v>
      </c>
      <c r="M19" s="16">
        <f t="shared" ref="M19" si="11">L19-N19</f>
        <v>995</v>
      </c>
      <c r="N19" s="16">
        <v>0</v>
      </c>
      <c r="O19" s="62">
        <f t="shared" ref="O19" si="12">IF(L19=0,"0",N19/L19)</f>
        <v>0</v>
      </c>
      <c r="P19" s="42">
        <f t="shared" ref="P19" si="13">IF(L19=0,"0",(24-Q19))</f>
        <v>6</v>
      </c>
      <c r="Q19" s="43">
        <f t="shared" ref="Q19" si="14">SUM(R19:AA19)</f>
        <v>18</v>
      </c>
      <c r="R19" s="7"/>
      <c r="S19" s="6">
        <v>18</v>
      </c>
      <c r="T19" s="17"/>
      <c r="U19" s="17"/>
      <c r="V19" s="18"/>
      <c r="W19" s="19"/>
      <c r="X19" s="17"/>
      <c r="Y19" s="20"/>
      <c r="Z19" s="20"/>
      <c r="AA19" s="21"/>
      <c r="AB19" s="8">
        <f t="shared" ref="AB19" si="15">IF(J19=0,"0",(L19/J19))</f>
        <v>1</v>
      </c>
      <c r="AC19" s="9">
        <f t="shared" ref="AC19" si="16">IF(P19=0,"0",(P19/24))</f>
        <v>0.25</v>
      </c>
      <c r="AD19" s="10">
        <f t="shared" ref="AD19" si="17">AC19*AB19*(1-O19)</f>
        <v>0.25</v>
      </c>
      <c r="AE19" s="39">
        <f t="shared" si="7"/>
        <v>0.47169281236352462</v>
      </c>
      <c r="AF19" s="94">
        <f t="shared" ref="AF19" si="18">A19</f>
        <v>13</v>
      </c>
    </row>
    <row r="20" spans="1:32" ht="27" customHeight="1">
      <c r="A20" s="110">
        <v>14</v>
      </c>
      <c r="B20" s="11" t="s">
        <v>58</v>
      </c>
      <c r="C20" s="11" t="s">
        <v>118</v>
      </c>
      <c r="D20" s="55" t="s">
        <v>57</v>
      </c>
      <c r="E20" s="56" t="s">
        <v>772</v>
      </c>
      <c r="F20" s="12">
        <v>7301</v>
      </c>
      <c r="G20" s="12">
        <v>1</v>
      </c>
      <c r="H20" s="38">
        <v>25</v>
      </c>
      <c r="I20" s="34">
        <v>4000</v>
      </c>
      <c r="J20" s="5">
        <v>1900</v>
      </c>
      <c r="K20" s="15">
        <f>L20+342+3200</f>
        <v>5439</v>
      </c>
      <c r="L20" s="15">
        <v>1897</v>
      </c>
      <c r="M20" s="16">
        <f t="shared" si="0"/>
        <v>1897</v>
      </c>
      <c r="N20" s="16">
        <v>0</v>
      </c>
      <c r="O20" s="62">
        <f t="shared" si="1"/>
        <v>0</v>
      </c>
      <c r="P20" s="42">
        <f t="shared" si="2"/>
        <v>10</v>
      </c>
      <c r="Q20" s="43">
        <f t="shared" si="3"/>
        <v>14</v>
      </c>
      <c r="R20" s="7"/>
      <c r="S20" s="6"/>
      <c r="T20" s="17"/>
      <c r="U20" s="17"/>
      <c r="V20" s="18"/>
      <c r="W20" s="19">
        <v>14</v>
      </c>
      <c r="X20" s="17"/>
      <c r="Y20" s="20"/>
      <c r="Z20" s="20"/>
      <c r="AA20" s="21"/>
      <c r="AB20" s="8">
        <f t="shared" si="4"/>
        <v>0.99842105263157899</v>
      </c>
      <c r="AC20" s="9">
        <f t="shared" si="5"/>
        <v>0.41666666666666669</v>
      </c>
      <c r="AD20" s="10">
        <f t="shared" si="6"/>
        <v>0.41600877192982461</v>
      </c>
      <c r="AE20" s="39">
        <f t="shared" si="7"/>
        <v>0.47169281236352462</v>
      </c>
      <c r="AF20" s="94">
        <f t="shared" si="8"/>
        <v>14</v>
      </c>
    </row>
    <row r="21" spans="1:32" ht="27" customHeight="1">
      <c r="A21" s="110">
        <v>14</v>
      </c>
      <c r="B21" s="11" t="s">
        <v>58</v>
      </c>
      <c r="C21" s="11" t="s">
        <v>118</v>
      </c>
      <c r="D21" s="55" t="s">
        <v>57</v>
      </c>
      <c r="E21" s="57" t="s">
        <v>160</v>
      </c>
      <c r="F21" s="12" t="s">
        <v>145</v>
      </c>
      <c r="G21" s="12">
        <v>1</v>
      </c>
      <c r="H21" s="13">
        <v>25</v>
      </c>
      <c r="I21" s="7">
        <v>62000</v>
      </c>
      <c r="J21" s="14">
        <v>490</v>
      </c>
      <c r="K21" s="15">
        <f>L21+3062+3955+2262+4171+4492+4201+2422+2930+4783+1827+2695+1564+2934+3400+3995+2189+1746+3380+2545+416</f>
        <v>59456</v>
      </c>
      <c r="L21" s="15">
        <v>487</v>
      </c>
      <c r="M21" s="16">
        <f t="shared" ref="M21" si="19">L21-N21</f>
        <v>487</v>
      </c>
      <c r="N21" s="16">
        <v>0</v>
      </c>
      <c r="O21" s="62">
        <f t="shared" ref="O21" si="20">IF(L21=0,"0",N21/L21)</f>
        <v>0</v>
      </c>
      <c r="P21" s="42">
        <f t="shared" ref="P21" si="21">IF(L21=0,"0",(24-Q21))</f>
        <v>4</v>
      </c>
      <c r="Q21" s="43">
        <f t="shared" ref="Q21" si="22">SUM(R21:AA21)</f>
        <v>20</v>
      </c>
      <c r="R21" s="7"/>
      <c r="S21" s="6">
        <v>20</v>
      </c>
      <c r="T21" s="17"/>
      <c r="U21" s="17"/>
      <c r="V21" s="18"/>
      <c r="W21" s="19"/>
      <c r="X21" s="17"/>
      <c r="Y21" s="20"/>
      <c r="Z21" s="20"/>
      <c r="AA21" s="21"/>
      <c r="AB21" s="8">
        <f t="shared" ref="AB21" si="23">IF(J21=0,"0",(L21/J21))</f>
        <v>0.9938775510204082</v>
      </c>
      <c r="AC21" s="9">
        <f t="shared" ref="AC21" si="24">IF(P21=0,"0",(P21/24))</f>
        <v>0.16666666666666666</v>
      </c>
      <c r="AD21" s="10">
        <f t="shared" ref="AD21" si="25">AC21*AB21*(1-O21)</f>
        <v>0.16564625850340137</v>
      </c>
      <c r="AE21" s="39">
        <f t="shared" si="7"/>
        <v>0.47169281236352462</v>
      </c>
      <c r="AF21" s="94">
        <f t="shared" ref="AF21" si="26">A21</f>
        <v>14</v>
      </c>
    </row>
    <row r="22" spans="1:32" ht="27" customHeight="1" thickBot="1">
      <c r="A22" s="110">
        <v>15</v>
      </c>
      <c r="B22" s="11" t="s">
        <v>58</v>
      </c>
      <c r="C22" s="11" t="s">
        <v>115</v>
      </c>
      <c r="D22" s="55"/>
      <c r="E22" s="56" t="s">
        <v>803</v>
      </c>
      <c r="F22" s="12" t="s">
        <v>116</v>
      </c>
      <c r="G22" s="12">
        <v>4</v>
      </c>
      <c r="H22" s="38">
        <v>15</v>
      </c>
      <c r="I22" s="7">
        <v>50000</v>
      </c>
      <c r="J22" s="14">
        <v>49380</v>
      </c>
      <c r="K22" s="15">
        <f>L22+27495</f>
        <v>76866</v>
      </c>
      <c r="L22" s="15">
        <f>8481*3+7976*3</f>
        <v>49371</v>
      </c>
      <c r="M22" s="16">
        <f t="shared" si="0"/>
        <v>49371</v>
      </c>
      <c r="N22" s="16">
        <v>0</v>
      </c>
      <c r="O22" s="62">
        <f t="shared" si="1"/>
        <v>0</v>
      </c>
      <c r="P22" s="42">
        <f t="shared" si="2"/>
        <v>24</v>
      </c>
      <c r="Q22" s="43">
        <f t="shared" si="3"/>
        <v>0</v>
      </c>
      <c r="R22" s="7"/>
      <c r="S22" s="6"/>
      <c r="T22" s="17"/>
      <c r="U22" s="17"/>
      <c r="V22" s="18"/>
      <c r="W22" s="19"/>
      <c r="X22" s="17"/>
      <c r="Y22" s="20"/>
      <c r="Z22" s="20"/>
      <c r="AA22" s="21"/>
      <c r="AB22" s="8">
        <f t="shared" si="4"/>
        <v>0.99981773997569867</v>
      </c>
      <c r="AC22" s="9">
        <f t="shared" si="5"/>
        <v>1</v>
      </c>
      <c r="AD22" s="10">
        <f t="shared" si="6"/>
        <v>0.99981773997569867</v>
      </c>
      <c r="AE22" s="39">
        <f t="shared" si="7"/>
        <v>0.47169281236352462</v>
      </c>
      <c r="AF22" s="94">
        <f t="shared" si="8"/>
        <v>15</v>
      </c>
    </row>
    <row r="23" spans="1:32" ht="31.5" customHeight="1" thickBot="1">
      <c r="A23" s="465" t="s">
        <v>34</v>
      </c>
      <c r="B23" s="466"/>
      <c r="C23" s="466"/>
      <c r="D23" s="466"/>
      <c r="E23" s="466"/>
      <c r="F23" s="466"/>
      <c r="G23" s="466"/>
      <c r="H23" s="467"/>
      <c r="I23" s="25">
        <f t="shared" ref="I23:N23" si="27">SUM(I6:I22)</f>
        <v>678500</v>
      </c>
      <c r="J23" s="22">
        <f t="shared" si="27"/>
        <v>156318</v>
      </c>
      <c r="K23" s="23">
        <f t="shared" si="27"/>
        <v>445064</v>
      </c>
      <c r="L23" s="24">
        <f t="shared" si="27"/>
        <v>133345</v>
      </c>
      <c r="M23" s="23">
        <f t="shared" si="27"/>
        <v>133345</v>
      </c>
      <c r="N23" s="24">
        <f t="shared" si="27"/>
        <v>0</v>
      </c>
      <c r="O23" s="44">
        <f t="shared" si="1"/>
        <v>0</v>
      </c>
      <c r="P23" s="45">
        <f t="shared" ref="P23:AA23" si="28">SUM(P6:P22)</f>
        <v>170</v>
      </c>
      <c r="Q23" s="46">
        <f t="shared" si="28"/>
        <v>238</v>
      </c>
      <c r="R23" s="26">
        <f t="shared" si="28"/>
        <v>0</v>
      </c>
      <c r="S23" s="27">
        <f t="shared" si="28"/>
        <v>98</v>
      </c>
      <c r="T23" s="27">
        <f t="shared" si="28"/>
        <v>0</v>
      </c>
      <c r="U23" s="27">
        <f t="shared" si="28"/>
        <v>0</v>
      </c>
      <c r="V23" s="28">
        <f t="shared" si="28"/>
        <v>10</v>
      </c>
      <c r="W23" s="29">
        <f t="shared" si="28"/>
        <v>130</v>
      </c>
      <c r="X23" s="30">
        <f t="shared" si="28"/>
        <v>0</v>
      </c>
      <c r="Y23" s="30">
        <f t="shared" si="28"/>
        <v>0</v>
      </c>
      <c r="Z23" s="30">
        <f t="shared" si="28"/>
        <v>0</v>
      </c>
      <c r="AA23" s="30">
        <f t="shared" si="28"/>
        <v>0</v>
      </c>
      <c r="AB23" s="31">
        <f>SUM(AB6:AB22)/15</f>
        <v>0.86470855276588687</v>
      </c>
      <c r="AC23" s="4">
        <f>SUM(AC6:AC22)/15</f>
        <v>0.47222222222222232</v>
      </c>
      <c r="AD23" s="4">
        <f>SUM(AD6:AD22)/15</f>
        <v>0.47169281236352462</v>
      </c>
      <c r="AE23" s="32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5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468" t="s">
        <v>45</v>
      </c>
      <c r="B50" s="468"/>
      <c r="C50" s="468"/>
      <c r="D50" s="468"/>
      <c r="E50" s="468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469" t="s">
        <v>834</v>
      </c>
      <c r="B51" s="470"/>
      <c r="C51" s="470"/>
      <c r="D51" s="470"/>
      <c r="E51" s="470"/>
      <c r="F51" s="470"/>
      <c r="G51" s="470"/>
      <c r="H51" s="470"/>
      <c r="I51" s="470"/>
      <c r="J51" s="470"/>
      <c r="K51" s="470"/>
      <c r="L51" s="470"/>
      <c r="M51" s="471"/>
      <c r="N51" s="472" t="s">
        <v>848</v>
      </c>
      <c r="O51" s="473"/>
      <c r="P51" s="473"/>
      <c r="Q51" s="473"/>
      <c r="R51" s="473"/>
      <c r="S51" s="473"/>
      <c r="T51" s="473"/>
      <c r="U51" s="473"/>
      <c r="V51" s="473"/>
      <c r="W51" s="473"/>
      <c r="X51" s="473"/>
      <c r="Y51" s="473"/>
      <c r="Z51" s="473"/>
      <c r="AA51" s="473"/>
      <c r="AB51" s="473"/>
      <c r="AC51" s="473"/>
      <c r="AD51" s="474"/>
    </row>
    <row r="52" spans="1:32" ht="27" customHeight="1">
      <c r="A52" s="475" t="s">
        <v>2</v>
      </c>
      <c r="B52" s="476"/>
      <c r="C52" s="295" t="s">
        <v>46</v>
      </c>
      <c r="D52" s="295" t="s">
        <v>47</v>
      </c>
      <c r="E52" s="295" t="s">
        <v>109</v>
      </c>
      <c r="F52" s="476" t="s">
        <v>108</v>
      </c>
      <c r="G52" s="476"/>
      <c r="H52" s="476"/>
      <c r="I52" s="476"/>
      <c r="J52" s="476"/>
      <c r="K52" s="476"/>
      <c r="L52" s="476"/>
      <c r="M52" s="477"/>
      <c r="N52" s="73" t="s">
        <v>113</v>
      </c>
      <c r="O52" s="295" t="s">
        <v>46</v>
      </c>
      <c r="P52" s="478" t="s">
        <v>47</v>
      </c>
      <c r="Q52" s="479"/>
      <c r="R52" s="478" t="s">
        <v>38</v>
      </c>
      <c r="S52" s="480"/>
      <c r="T52" s="480"/>
      <c r="U52" s="479"/>
      <c r="V52" s="478" t="s">
        <v>48</v>
      </c>
      <c r="W52" s="480"/>
      <c r="X52" s="480"/>
      <c r="Y52" s="480"/>
      <c r="Z52" s="480"/>
      <c r="AA52" s="480"/>
      <c r="AB52" s="480"/>
      <c r="AC52" s="480"/>
      <c r="AD52" s="481"/>
    </row>
    <row r="53" spans="1:32" ht="27" customHeight="1">
      <c r="A53" s="492" t="s">
        <v>327</v>
      </c>
      <c r="B53" s="493"/>
      <c r="C53" s="296" t="s">
        <v>307</v>
      </c>
      <c r="D53" s="297" t="s">
        <v>57</v>
      </c>
      <c r="E53" s="296" t="s">
        <v>160</v>
      </c>
      <c r="F53" s="494" t="s">
        <v>835</v>
      </c>
      <c r="G53" s="494"/>
      <c r="H53" s="494"/>
      <c r="I53" s="494"/>
      <c r="J53" s="494"/>
      <c r="K53" s="494"/>
      <c r="L53" s="494"/>
      <c r="M53" s="495"/>
      <c r="N53" s="301" t="s">
        <v>173</v>
      </c>
      <c r="O53" s="74" t="s">
        <v>472</v>
      </c>
      <c r="P53" s="496" t="s">
        <v>816</v>
      </c>
      <c r="Q53" s="497"/>
      <c r="R53" s="498" t="s">
        <v>817</v>
      </c>
      <c r="S53" s="498"/>
      <c r="T53" s="498"/>
      <c r="U53" s="498"/>
      <c r="V53" s="494" t="s">
        <v>849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118</v>
      </c>
      <c r="B54" s="493"/>
      <c r="C54" s="296" t="s">
        <v>472</v>
      </c>
      <c r="D54" s="297" t="s">
        <v>836</v>
      </c>
      <c r="E54" s="296" t="s">
        <v>827</v>
      </c>
      <c r="F54" s="494" t="s">
        <v>837</v>
      </c>
      <c r="G54" s="494"/>
      <c r="H54" s="494"/>
      <c r="I54" s="494"/>
      <c r="J54" s="494"/>
      <c r="K54" s="494"/>
      <c r="L54" s="494"/>
      <c r="M54" s="495"/>
      <c r="N54" s="301" t="s">
        <v>118</v>
      </c>
      <c r="O54" s="74" t="s">
        <v>218</v>
      </c>
      <c r="P54" s="496" t="s">
        <v>850</v>
      </c>
      <c r="Q54" s="497"/>
      <c r="R54" s="498" t="s">
        <v>851</v>
      </c>
      <c r="S54" s="498"/>
      <c r="T54" s="498"/>
      <c r="U54" s="498"/>
      <c r="V54" s="494" t="s">
        <v>144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327</v>
      </c>
      <c r="B55" s="493"/>
      <c r="C55" s="296" t="s">
        <v>725</v>
      </c>
      <c r="D55" s="297" t="s">
        <v>164</v>
      </c>
      <c r="E55" s="296" t="s">
        <v>165</v>
      </c>
      <c r="F55" s="494" t="s">
        <v>838</v>
      </c>
      <c r="G55" s="494"/>
      <c r="H55" s="494"/>
      <c r="I55" s="494"/>
      <c r="J55" s="494"/>
      <c r="K55" s="494"/>
      <c r="L55" s="494"/>
      <c r="M55" s="495"/>
      <c r="N55" s="301" t="s">
        <v>118</v>
      </c>
      <c r="O55" s="74" t="s">
        <v>235</v>
      </c>
      <c r="P55" s="496" t="s">
        <v>57</v>
      </c>
      <c r="Q55" s="497"/>
      <c r="R55" s="498" t="s">
        <v>160</v>
      </c>
      <c r="S55" s="498"/>
      <c r="T55" s="498"/>
      <c r="U55" s="498"/>
      <c r="V55" s="494" t="s">
        <v>144</v>
      </c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839</v>
      </c>
      <c r="B56" s="493"/>
      <c r="C56" s="296" t="s">
        <v>840</v>
      </c>
      <c r="D56" s="297" t="s">
        <v>841</v>
      </c>
      <c r="E56" s="296" t="s">
        <v>842</v>
      </c>
      <c r="F56" s="494" t="s">
        <v>843</v>
      </c>
      <c r="G56" s="494"/>
      <c r="H56" s="494"/>
      <c r="I56" s="494"/>
      <c r="J56" s="494"/>
      <c r="K56" s="494"/>
      <c r="L56" s="494"/>
      <c r="M56" s="495"/>
      <c r="N56" s="301" t="s">
        <v>228</v>
      </c>
      <c r="O56" s="74" t="s">
        <v>174</v>
      </c>
      <c r="P56" s="496" t="s">
        <v>819</v>
      </c>
      <c r="Q56" s="497"/>
      <c r="R56" s="498" t="s">
        <v>820</v>
      </c>
      <c r="S56" s="498"/>
      <c r="T56" s="498"/>
      <c r="U56" s="498"/>
      <c r="V56" s="494" t="s">
        <v>144</v>
      </c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 t="s">
        <v>133</v>
      </c>
      <c r="B57" s="493"/>
      <c r="C57" s="296" t="s">
        <v>840</v>
      </c>
      <c r="D57" s="297" t="s">
        <v>829</v>
      </c>
      <c r="E57" s="296" t="s">
        <v>830</v>
      </c>
      <c r="F57" s="494" t="s">
        <v>844</v>
      </c>
      <c r="G57" s="494"/>
      <c r="H57" s="494"/>
      <c r="I57" s="494"/>
      <c r="J57" s="494"/>
      <c r="K57" s="494"/>
      <c r="L57" s="494"/>
      <c r="M57" s="495"/>
      <c r="N57" s="301" t="s">
        <v>839</v>
      </c>
      <c r="O57" s="74" t="s">
        <v>170</v>
      </c>
      <c r="P57" s="496" t="s">
        <v>829</v>
      </c>
      <c r="Q57" s="497"/>
      <c r="R57" s="498" t="s">
        <v>830</v>
      </c>
      <c r="S57" s="498"/>
      <c r="T57" s="498"/>
      <c r="U57" s="498"/>
      <c r="V57" s="494" t="s">
        <v>144</v>
      </c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 t="s">
        <v>133</v>
      </c>
      <c r="B58" s="493"/>
      <c r="C58" s="296" t="s">
        <v>374</v>
      </c>
      <c r="D58" s="297" t="s">
        <v>845</v>
      </c>
      <c r="E58" s="296" t="s">
        <v>846</v>
      </c>
      <c r="F58" s="494" t="s">
        <v>847</v>
      </c>
      <c r="G58" s="494"/>
      <c r="H58" s="494"/>
      <c r="I58" s="494"/>
      <c r="J58" s="494"/>
      <c r="K58" s="494"/>
      <c r="L58" s="494"/>
      <c r="M58" s="495"/>
      <c r="N58" s="301"/>
      <c r="O58" s="74"/>
      <c r="P58" s="498"/>
      <c r="Q58" s="498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492" t="s">
        <v>852</v>
      </c>
      <c r="B59" s="493"/>
      <c r="C59" s="296" t="s">
        <v>853</v>
      </c>
      <c r="D59" s="297" t="s">
        <v>854</v>
      </c>
      <c r="E59" s="296" t="s">
        <v>832</v>
      </c>
      <c r="F59" s="494" t="s">
        <v>855</v>
      </c>
      <c r="G59" s="494"/>
      <c r="H59" s="494"/>
      <c r="I59" s="494"/>
      <c r="J59" s="494"/>
      <c r="K59" s="494"/>
      <c r="L59" s="494"/>
      <c r="M59" s="495"/>
      <c r="N59" s="301"/>
      <c r="O59" s="74"/>
      <c r="P59" s="496"/>
      <c r="Q59" s="497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</row>
    <row r="60" spans="1:32" ht="27" customHeight="1">
      <c r="A60" s="492"/>
      <c r="B60" s="493"/>
      <c r="C60" s="296"/>
      <c r="D60" s="297"/>
      <c r="E60" s="296"/>
      <c r="F60" s="494"/>
      <c r="G60" s="494"/>
      <c r="H60" s="494"/>
      <c r="I60" s="494"/>
      <c r="J60" s="494"/>
      <c r="K60" s="494"/>
      <c r="L60" s="494"/>
      <c r="M60" s="495"/>
      <c r="N60" s="301"/>
      <c r="O60" s="74"/>
      <c r="P60" s="498"/>
      <c r="Q60" s="498"/>
      <c r="R60" s="498"/>
      <c r="S60" s="498"/>
      <c r="T60" s="498"/>
      <c r="U60" s="498"/>
      <c r="V60" s="494"/>
      <c r="W60" s="494"/>
      <c r="X60" s="494"/>
      <c r="Y60" s="494"/>
      <c r="Z60" s="494"/>
      <c r="AA60" s="494"/>
      <c r="AB60" s="494"/>
      <c r="AC60" s="494"/>
      <c r="AD60" s="495"/>
    </row>
    <row r="61" spans="1:32" ht="27" customHeight="1">
      <c r="A61" s="508"/>
      <c r="B61" s="498"/>
      <c r="C61" s="297"/>
      <c r="D61" s="297"/>
      <c r="E61" s="297"/>
      <c r="F61" s="494"/>
      <c r="G61" s="494"/>
      <c r="H61" s="494"/>
      <c r="I61" s="494"/>
      <c r="J61" s="494"/>
      <c r="K61" s="494"/>
      <c r="L61" s="494"/>
      <c r="M61" s="495"/>
      <c r="N61" s="301"/>
      <c r="O61" s="74"/>
      <c r="P61" s="498"/>
      <c r="Q61" s="498"/>
      <c r="R61" s="498"/>
      <c r="S61" s="498"/>
      <c r="T61" s="498"/>
      <c r="U61" s="498"/>
      <c r="V61" s="494"/>
      <c r="W61" s="494"/>
      <c r="X61" s="494"/>
      <c r="Y61" s="494"/>
      <c r="Z61" s="494"/>
      <c r="AA61" s="494"/>
      <c r="AB61" s="494"/>
      <c r="AC61" s="494"/>
      <c r="AD61" s="495"/>
      <c r="AF61" s="94">
        <f>8*3000</f>
        <v>24000</v>
      </c>
    </row>
    <row r="62" spans="1:32" ht="27" customHeight="1" thickBot="1">
      <c r="A62" s="499"/>
      <c r="B62" s="500"/>
      <c r="C62" s="299"/>
      <c r="D62" s="299"/>
      <c r="E62" s="299"/>
      <c r="F62" s="501"/>
      <c r="G62" s="501"/>
      <c r="H62" s="501"/>
      <c r="I62" s="501"/>
      <c r="J62" s="501"/>
      <c r="K62" s="501"/>
      <c r="L62" s="501"/>
      <c r="M62" s="502"/>
      <c r="N62" s="298"/>
      <c r="O62" s="121"/>
      <c r="P62" s="500"/>
      <c r="Q62" s="500"/>
      <c r="R62" s="500"/>
      <c r="S62" s="500"/>
      <c r="T62" s="500"/>
      <c r="U62" s="500"/>
      <c r="V62" s="501"/>
      <c r="W62" s="501"/>
      <c r="X62" s="501"/>
      <c r="Y62" s="501"/>
      <c r="Z62" s="501"/>
      <c r="AA62" s="501"/>
      <c r="AB62" s="501"/>
      <c r="AC62" s="501"/>
      <c r="AD62" s="502"/>
      <c r="AF62" s="94">
        <f>16*3000</f>
        <v>48000</v>
      </c>
    </row>
    <row r="63" spans="1:32" ht="27.75" thickBot="1">
      <c r="A63" s="503" t="s">
        <v>856</v>
      </c>
      <c r="B63" s="503"/>
      <c r="C63" s="503"/>
      <c r="D63" s="503"/>
      <c r="E63" s="503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4">
        <v>24000</v>
      </c>
    </row>
    <row r="64" spans="1:32" ht="29.25" customHeight="1" thickBot="1">
      <c r="A64" s="504" t="s">
        <v>114</v>
      </c>
      <c r="B64" s="505"/>
      <c r="C64" s="300" t="s">
        <v>2</v>
      </c>
      <c r="D64" s="300" t="s">
        <v>37</v>
      </c>
      <c r="E64" s="300" t="s">
        <v>3</v>
      </c>
      <c r="F64" s="505" t="s">
        <v>111</v>
      </c>
      <c r="G64" s="505"/>
      <c r="H64" s="505"/>
      <c r="I64" s="505"/>
      <c r="J64" s="505"/>
      <c r="K64" s="505" t="s">
        <v>39</v>
      </c>
      <c r="L64" s="505"/>
      <c r="M64" s="300" t="s">
        <v>40</v>
      </c>
      <c r="N64" s="505" t="s">
        <v>41</v>
      </c>
      <c r="O64" s="505"/>
      <c r="P64" s="506" t="s">
        <v>42</v>
      </c>
      <c r="Q64" s="507"/>
      <c r="R64" s="506" t="s">
        <v>43</v>
      </c>
      <c r="S64" s="509"/>
      <c r="T64" s="509"/>
      <c r="U64" s="509"/>
      <c r="V64" s="509"/>
      <c r="W64" s="509"/>
      <c r="X64" s="509"/>
      <c r="Y64" s="509"/>
      <c r="Z64" s="509"/>
      <c r="AA64" s="507"/>
      <c r="AB64" s="505" t="s">
        <v>44</v>
      </c>
      <c r="AC64" s="505"/>
      <c r="AD64" s="510"/>
      <c r="AF64" s="94">
        <f>SUM(AF61:AF63)</f>
        <v>96000</v>
      </c>
    </row>
    <row r="65" spans="1:32" ht="25.5" customHeight="1">
      <c r="A65" s="511">
        <v>1</v>
      </c>
      <c r="B65" s="512"/>
      <c r="C65" s="124" t="s">
        <v>857</v>
      </c>
      <c r="D65" s="304"/>
      <c r="E65" s="302" t="s">
        <v>57</v>
      </c>
      <c r="F65" s="513" t="s">
        <v>858</v>
      </c>
      <c r="G65" s="514"/>
      <c r="H65" s="514"/>
      <c r="I65" s="514"/>
      <c r="J65" s="514"/>
      <c r="K65" s="514" t="s">
        <v>859</v>
      </c>
      <c r="L65" s="514"/>
      <c r="M65" s="54" t="s">
        <v>860</v>
      </c>
      <c r="N65" s="514">
        <v>8</v>
      </c>
      <c r="O65" s="514"/>
      <c r="P65" s="515">
        <v>50</v>
      </c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2</v>
      </c>
      <c r="B66" s="512"/>
      <c r="C66" s="124" t="s">
        <v>228</v>
      </c>
      <c r="D66" s="304"/>
      <c r="E66" s="302" t="s">
        <v>861</v>
      </c>
      <c r="F66" s="513" t="s">
        <v>862</v>
      </c>
      <c r="G66" s="514"/>
      <c r="H66" s="514"/>
      <c r="I66" s="514"/>
      <c r="J66" s="514"/>
      <c r="K66" s="514" t="s">
        <v>863</v>
      </c>
      <c r="L66" s="514"/>
      <c r="M66" s="54" t="s">
        <v>860</v>
      </c>
      <c r="N66" s="514">
        <v>7</v>
      </c>
      <c r="O66" s="514"/>
      <c r="P66" s="515">
        <v>50</v>
      </c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3</v>
      </c>
      <c r="B67" s="512"/>
      <c r="C67" s="124"/>
      <c r="D67" s="304"/>
      <c r="E67" s="302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4</v>
      </c>
      <c r="B68" s="512"/>
      <c r="C68" s="124"/>
      <c r="D68" s="304"/>
      <c r="E68" s="302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5</v>
      </c>
      <c r="B69" s="512"/>
      <c r="C69" s="124"/>
      <c r="D69" s="304"/>
      <c r="E69" s="302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6</v>
      </c>
      <c r="B70" s="512"/>
      <c r="C70" s="124"/>
      <c r="D70" s="304"/>
      <c r="E70" s="302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5.5" customHeight="1">
      <c r="A71" s="511">
        <v>7</v>
      </c>
      <c r="B71" s="512"/>
      <c r="C71" s="124"/>
      <c r="D71" s="304"/>
      <c r="E71" s="302"/>
      <c r="F71" s="513"/>
      <c r="G71" s="514"/>
      <c r="H71" s="514"/>
      <c r="I71" s="514"/>
      <c r="J71" s="514"/>
      <c r="K71" s="514"/>
      <c r="L71" s="514"/>
      <c r="M71" s="54"/>
      <c r="N71" s="514"/>
      <c r="O71" s="514"/>
      <c r="P71" s="515"/>
      <c r="Q71" s="515"/>
      <c r="R71" s="494"/>
      <c r="S71" s="494"/>
      <c r="T71" s="494"/>
      <c r="U71" s="494"/>
      <c r="V71" s="494"/>
      <c r="W71" s="494"/>
      <c r="X71" s="494"/>
      <c r="Y71" s="494"/>
      <c r="Z71" s="494"/>
      <c r="AA71" s="494"/>
      <c r="AB71" s="514"/>
      <c r="AC71" s="514"/>
      <c r="AD71" s="516"/>
      <c r="AF71" s="53"/>
    </row>
    <row r="72" spans="1:32" ht="25.5" customHeight="1">
      <c r="A72" s="511">
        <v>8</v>
      </c>
      <c r="B72" s="512"/>
      <c r="C72" s="124"/>
      <c r="D72" s="304"/>
      <c r="E72" s="302"/>
      <c r="F72" s="513"/>
      <c r="G72" s="514"/>
      <c r="H72" s="514"/>
      <c r="I72" s="514"/>
      <c r="J72" s="514"/>
      <c r="K72" s="514"/>
      <c r="L72" s="514"/>
      <c r="M72" s="54"/>
      <c r="N72" s="514"/>
      <c r="O72" s="514"/>
      <c r="P72" s="515"/>
      <c r="Q72" s="515"/>
      <c r="R72" s="494"/>
      <c r="S72" s="494"/>
      <c r="T72" s="494"/>
      <c r="U72" s="494"/>
      <c r="V72" s="494"/>
      <c r="W72" s="494"/>
      <c r="X72" s="494"/>
      <c r="Y72" s="494"/>
      <c r="Z72" s="494"/>
      <c r="AA72" s="494"/>
      <c r="AB72" s="514"/>
      <c r="AC72" s="514"/>
      <c r="AD72" s="516"/>
      <c r="AF72" s="53"/>
    </row>
    <row r="73" spans="1:32" ht="26.25" customHeight="1" thickBot="1">
      <c r="A73" s="517" t="s">
        <v>864</v>
      </c>
      <c r="B73" s="517"/>
      <c r="C73" s="517"/>
      <c r="D73" s="517"/>
      <c r="E73" s="517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518" t="s">
        <v>114</v>
      </c>
      <c r="B74" s="519"/>
      <c r="C74" s="303" t="s">
        <v>2</v>
      </c>
      <c r="D74" s="303" t="s">
        <v>37</v>
      </c>
      <c r="E74" s="303" t="s">
        <v>3</v>
      </c>
      <c r="F74" s="519" t="s">
        <v>38</v>
      </c>
      <c r="G74" s="519"/>
      <c r="H74" s="519"/>
      <c r="I74" s="519"/>
      <c r="J74" s="519"/>
      <c r="K74" s="520" t="s">
        <v>59</v>
      </c>
      <c r="L74" s="521"/>
      <c r="M74" s="521"/>
      <c r="N74" s="521"/>
      <c r="O74" s="521"/>
      <c r="P74" s="521"/>
      <c r="Q74" s="521"/>
      <c r="R74" s="521"/>
      <c r="S74" s="522"/>
      <c r="T74" s="519" t="s">
        <v>49</v>
      </c>
      <c r="U74" s="519"/>
      <c r="V74" s="520" t="s">
        <v>50</v>
      </c>
      <c r="W74" s="522"/>
      <c r="X74" s="521" t="s">
        <v>51</v>
      </c>
      <c r="Y74" s="521"/>
      <c r="Z74" s="521"/>
      <c r="AA74" s="521"/>
      <c r="AB74" s="521"/>
      <c r="AC74" s="521"/>
      <c r="AD74" s="523"/>
      <c r="AF74" s="53"/>
    </row>
    <row r="75" spans="1:32" ht="33.75" customHeight="1">
      <c r="A75" s="532">
        <v>1</v>
      </c>
      <c r="B75" s="533"/>
      <c r="C75" s="305" t="s">
        <v>117</v>
      </c>
      <c r="D75" s="305"/>
      <c r="E75" s="71" t="s">
        <v>123</v>
      </c>
      <c r="F75" s="534" t="s">
        <v>124</v>
      </c>
      <c r="G75" s="535"/>
      <c r="H75" s="535"/>
      <c r="I75" s="535"/>
      <c r="J75" s="536"/>
      <c r="K75" s="537" t="s">
        <v>119</v>
      </c>
      <c r="L75" s="538"/>
      <c r="M75" s="538"/>
      <c r="N75" s="538"/>
      <c r="O75" s="538"/>
      <c r="P75" s="538"/>
      <c r="Q75" s="538"/>
      <c r="R75" s="538"/>
      <c r="S75" s="539"/>
      <c r="T75" s="540">
        <v>42901</v>
      </c>
      <c r="U75" s="541"/>
      <c r="V75" s="542"/>
      <c r="W75" s="542"/>
      <c r="X75" s="543"/>
      <c r="Y75" s="543"/>
      <c r="Z75" s="543"/>
      <c r="AA75" s="543"/>
      <c r="AB75" s="543"/>
      <c r="AC75" s="543"/>
      <c r="AD75" s="544"/>
      <c r="AF75" s="53"/>
    </row>
    <row r="76" spans="1:32" ht="30" customHeight="1">
      <c r="A76" s="524">
        <f>A75+1</f>
        <v>2</v>
      </c>
      <c r="B76" s="525"/>
      <c r="C76" s="304" t="s">
        <v>117</v>
      </c>
      <c r="D76" s="304"/>
      <c r="E76" s="35" t="s">
        <v>120</v>
      </c>
      <c r="F76" s="525" t="s">
        <v>121</v>
      </c>
      <c r="G76" s="525"/>
      <c r="H76" s="525"/>
      <c r="I76" s="525"/>
      <c r="J76" s="525"/>
      <c r="K76" s="526" t="s">
        <v>122</v>
      </c>
      <c r="L76" s="527"/>
      <c r="M76" s="527"/>
      <c r="N76" s="527"/>
      <c r="O76" s="527"/>
      <c r="P76" s="527"/>
      <c r="Q76" s="527"/>
      <c r="R76" s="527"/>
      <c r="S76" s="528"/>
      <c r="T76" s="529">
        <v>42867</v>
      </c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ref="A77:A83" si="29">A76+1</f>
        <v>3</v>
      </c>
      <c r="B77" s="525"/>
      <c r="C77" s="304" t="s">
        <v>133</v>
      </c>
      <c r="D77" s="304"/>
      <c r="E77" s="35" t="s">
        <v>131</v>
      </c>
      <c r="F77" s="525" t="s">
        <v>134</v>
      </c>
      <c r="G77" s="525"/>
      <c r="H77" s="525"/>
      <c r="I77" s="525"/>
      <c r="J77" s="525"/>
      <c r="K77" s="526" t="s">
        <v>119</v>
      </c>
      <c r="L77" s="527"/>
      <c r="M77" s="527"/>
      <c r="N77" s="527"/>
      <c r="O77" s="527"/>
      <c r="P77" s="527"/>
      <c r="Q77" s="527"/>
      <c r="R77" s="527"/>
      <c r="S77" s="528"/>
      <c r="T77" s="529">
        <v>42937</v>
      </c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29"/>
        <v>4</v>
      </c>
      <c r="B78" s="525"/>
      <c r="C78" s="304"/>
      <c r="D78" s="304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29"/>
        <v>5</v>
      </c>
      <c r="B79" s="525"/>
      <c r="C79" s="304"/>
      <c r="D79" s="304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29"/>
        <v>6</v>
      </c>
      <c r="B80" s="525"/>
      <c r="C80" s="304"/>
      <c r="D80" s="304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29"/>
        <v>7</v>
      </c>
      <c r="B81" s="525"/>
      <c r="C81" s="304"/>
      <c r="D81" s="304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0" customHeight="1">
      <c r="A82" s="524">
        <f t="shared" si="29"/>
        <v>8</v>
      </c>
      <c r="B82" s="525"/>
      <c r="C82" s="304"/>
      <c r="D82" s="304"/>
      <c r="E82" s="35"/>
      <c r="F82" s="525"/>
      <c r="G82" s="525"/>
      <c r="H82" s="525"/>
      <c r="I82" s="525"/>
      <c r="J82" s="525"/>
      <c r="K82" s="526"/>
      <c r="L82" s="527"/>
      <c r="M82" s="527"/>
      <c r="N82" s="527"/>
      <c r="O82" s="527"/>
      <c r="P82" s="527"/>
      <c r="Q82" s="527"/>
      <c r="R82" s="527"/>
      <c r="S82" s="528"/>
      <c r="T82" s="529"/>
      <c r="U82" s="529"/>
      <c r="V82" s="529"/>
      <c r="W82" s="529"/>
      <c r="X82" s="530"/>
      <c r="Y82" s="530"/>
      <c r="Z82" s="530"/>
      <c r="AA82" s="530"/>
      <c r="AB82" s="530"/>
      <c r="AC82" s="530"/>
      <c r="AD82" s="531"/>
      <c r="AF82" s="53"/>
    </row>
    <row r="83" spans="1:32" ht="30" customHeight="1">
      <c r="A83" s="524">
        <f t="shared" si="29"/>
        <v>9</v>
      </c>
      <c r="B83" s="525"/>
      <c r="C83" s="304"/>
      <c r="D83" s="304"/>
      <c r="E83" s="35"/>
      <c r="F83" s="525"/>
      <c r="G83" s="525"/>
      <c r="H83" s="525"/>
      <c r="I83" s="525"/>
      <c r="J83" s="525"/>
      <c r="K83" s="526"/>
      <c r="L83" s="527"/>
      <c r="M83" s="527"/>
      <c r="N83" s="527"/>
      <c r="O83" s="527"/>
      <c r="P83" s="527"/>
      <c r="Q83" s="527"/>
      <c r="R83" s="527"/>
      <c r="S83" s="528"/>
      <c r="T83" s="529"/>
      <c r="U83" s="529"/>
      <c r="V83" s="529"/>
      <c r="W83" s="529"/>
      <c r="X83" s="530"/>
      <c r="Y83" s="530"/>
      <c r="Z83" s="530"/>
      <c r="AA83" s="530"/>
      <c r="AB83" s="530"/>
      <c r="AC83" s="530"/>
      <c r="AD83" s="531"/>
      <c r="AF83" s="53"/>
    </row>
    <row r="84" spans="1:32" ht="36" thickBot="1">
      <c r="A84" s="517" t="s">
        <v>865</v>
      </c>
      <c r="B84" s="517"/>
      <c r="C84" s="517"/>
      <c r="D84" s="517"/>
      <c r="E84" s="517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518" t="s">
        <v>114</v>
      </c>
      <c r="B85" s="519"/>
      <c r="C85" s="545" t="s">
        <v>52</v>
      </c>
      <c r="D85" s="545"/>
      <c r="E85" s="545" t="s">
        <v>53</v>
      </c>
      <c r="F85" s="545"/>
      <c r="G85" s="545"/>
      <c r="H85" s="545"/>
      <c r="I85" s="545"/>
      <c r="J85" s="545"/>
      <c r="K85" s="545" t="s">
        <v>54</v>
      </c>
      <c r="L85" s="545"/>
      <c r="M85" s="545"/>
      <c r="N85" s="545"/>
      <c r="O85" s="545"/>
      <c r="P85" s="545"/>
      <c r="Q85" s="545"/>
      <c r="R85" s="545"/>
      <c r="S85" s="545"/>
      <c r="T85" s="545" t="s">
        <v>55</v>
      </c>
      <c r="U85" s="545"/>
      <c r="V85" s="545" t="s">
        <v>56</v>
      </c>
      <c r="W85" s="545"/>
      <c r="X85" s="545"/>
      <c r="Y85" s="545" t="s">
        <v>51</v>
      </c>
      <c r="Z85" s="545"/>
      <c r="AA85" s="545"/>
      <c r="AB85" s="545"/>
      <c r="AC85" s="545"/>
      <c r="AD85" s="546"/>
      <c r="AF85" s="53"/>
    </row>
    <row r="86" spans="1:32" ht="30.75" customHeight="1">
      <c r="A86" s="532">
        <v>1</v>
      </c>
      <c r="B86" s="533"/>
      <c r="C86" s="547"/>
      <c r="D86" s="547"/>
      <c r="E86" s="547"/>
      <c r="F86" s="547"/>
      <c r="G86" s="547"/>
      <c r="H86" s="547"/>
      <c r="I86" s="547"/>
      <c r="J86" s="547"/>
      <c r="K86" s="547"/>
      <c r="L86" s="547"/>
      <c r="M86" s="547"/>
      <c r="N86" s="547"/>
      <c r="O86" s="547"/>
      <c r="P86" s="547"/>
      <c r="Q86" s="547"/>
      <c r="R86" s="547"/>
      <c r="S86" s="547"/>
      <c r="T86" s="547"/>
      <c r="U86" s="547"/>
      <c r="V86" s="548"/>
      <c r="W86" s="548"/>
      <c r="X86" s="548"/>
      <c r="Y86" s="549"/>
      <c r="Z86" s="549"/>
      <c r="AA86" s="549"/>
      <c r="AB86" s="549"/>
      <c r="AC86" s="549"/>
      <c r="AD86" s="550"/>
      <c r="AF86" s="53"/>
    </row>
    <row r="87" spans="1:32" ht="30.75" customHeight="1">
      <c r="A87" s="524">
        <v>2</v>
      </c>
      <c r="B87" s="525"/>
      <c r="C87" s="558"/>
      <c r="D87" s="558"/>
      <c r="E87" s="558"/>
      <c r="F87" s="558"/>
      <c r="G87" s="558"/>
      <c r="H87" s="558"/>
      <c r="I87" s="558"/>
      <c r="J87" s="558"/>
      <c r="K87" s="558"/>
      <c r="L87" s="558"/>
      <c r="M87" s="558"/>
      <c r="N87" s="558"/>
      <c r="O87" s="558"/>
      <c r="P87" s="558"/>
      <c r="Q87" s="558"/>
      <c r="R87" s="558"/>
      <c r="S87" s="558"/>
      <c r="T87" s="559"/>
      <c r="U87" s="559"/>
      <c r="V87" s="560"/>
      <c r="W87" s="560"/>
      <c r="X87" s="560"/>
      <c r="Y87" s="551"/>
      <c r="Z87" s="551"/>
      <c r="AA87" s="551"/>
      <c r="AB87" s="551"/>
      <c r="AC87" s="551"/>
      <c r="AD87" s="552"/>
      <c r="AF87" s="53"/>
    </row>
    <row r="88" spans="1:32" ht="30.75" customHeight="1" thickBot="1">
      <c r="A88" s="553">
        <v>3</v>
      </c>
      <c r="B88" s="554"/>
      <c r="C88" s="555"/>
      <c r="D88" s="555"/>
      <c r="E88" s="555"/>
      <c r="F88" s="555"/>
      <c r="G88" s="555"/>
      <c r="H88" s="555"/>
      <c r="I88" s="555"/>
      <c r="J88" s="555"/>
      <c r="K88" s="555"/>
      <c r="L88" s="555"/>
      <c r="M88" s="555"/>
      <c r="N88" s="555"/>
      <c r="O88" s="555"/>
      <c r="P88" s="555"/>
      <c r="Q88" s="555"/>
      <c r="R88" s="555"/>
      <c r="S88" s="555"/>
      <c r="T88" s="555"/>
      <c r="U88" s="555"/>
      <c r="V88" s="555"/>
      <c r="W88" s="555"/>
      <c r="X88" s="555"/>
      <c r="Y88" s="556"/>
      <c r="Z88" s="556"/>
      <c r="AA88" s="556"/>
      <c r="AB88" s="556"/>
      <c r="AC88" s="556"/>
      <c r="AD88" s="557"/>
      <c r="AF88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9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zoomScale="72" zoomScaleNormal="72" zoomScaleSheetLayoutView="70" workbookViewId="0">
      <selection activeCell="K75" sqref="K75:S75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51" t="s">
        <v>866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6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317" t="s">
        <v>17</v>
      </c>
      <c r="L5" s="317" t="s">
        <v>18</v>
      </c>
      <c r="M5" s="317" t="s">
        <v>19</v>
      </c>
      <c r="N5" s="31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6" ht="27" customHeight="1">
      <c r="A6" s="108">
        <v>1</v>
      </c>
      <c r="B6" s="11" t="s">
        <v>58</v>
      </c>
      <c r="C6" s="37" t="s">
        <v>562</v>
      </c>
      <c r="D6" s="55" t="s">
        <v>708</v>
      </c>
      <c r="E6" s="57" t="s">
        <v>709</v>
      </c>
      <c r="F6" s="33" t="s">
        <v>710</v>
      </c>
      <c r="G6" s="12">
        <v>3</v>
      </c>
      <c r="H6" s="13">
        <v>25</v>
      </c>
      <c r="I6" s="34">
        <v>100000</v>
      </c>
      <c r="J6" s="5">
        <v>15050</v>
      </c>
      <c r="K6" s="15">
        <f>L6+7182+15369+15033+14952</f>
        <v>67581</v>
      </c>
      <c r="L6" s="15">
        <f>2579*3+2436*3</f>
        <v>15045</v>
      </c>
      <c r="M6" s="16">
        <f t="shared" ref="M6:M20" si="0">L6-N6</f>
        <v>15045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24</v>
      </c>
      <c r="Q6" s="43">
        <f t="shared" ref="Q6:Q20" si="3">SUM(R6:AA6)</f>
        <v>0</v>
      </c>
      <c r="R6" s="7"/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0.99966777408637875</v>
      </c>
      <c r="AC6" s="9">
        <f t="shared" ref="AC6:AC20" si="5">IF(P6=0,"0",(P6/24))</f>
        <v>1</v>
      </c>
      <c r="AD6" s="10">
        <f t="shared" ref="AD6:AD20" si="6">AC6*AB6*(1-O6)</f>
        <v>0.99966777408637875</v>
      </c>
      <c r="AE6" s="39">
        <f t="shared" ref="AE6:AE20" si="7">$AD$21</f>
        <v>0.58568538809327797</v>
      </c>
      <c r="AF6" s="94">
        <f t="shared" ref="AF6:AF20" si="8">A6</f>
        <v>1</v>
      </c>
    </row>
    <row r="7" spans="1:36" ht="27" customHeight="1">
      <c r="A7" s="108">
        <v>2</v>
      </c>
      <c r="B7" s="11" t="s">
        <v>58</v>
      </c>
      <c r="C7" s="37" t="s">
        <v>562</v>
      </c>
      <c r="D7" s="55" t="s">
        <v>764</v>
      </c>
      <c r="E7" s="57" t="s">
        <v>765</v>
      </c>
      <c r="F7" s="33" t="s">
        <v>766</v>
      </c>
      <c r="G7" s="12">
        <v>3</v>
      </c>
      <c r="H7" s="13">
        <v>25</v>
      </c>
      <c r="I7" s="34">
        <v>100000</v>
      </c>
      <c r="J7" s="5">
        <v>12750</v>
      </c>
      <c r="K7" s="15">
        <f>L7+3909+2650+7935+9510+7635</f>
        <v>44383</v>
      </c>
      <c r="L7" s="15">
        <f>1751*3+2497*3</f>
        <v>12744</v>
      </c>
      <c r="M7" s="16">
        <f t="shared" si="0"/>
        <v>12744</v>
      </c>
      <c r="N7" s="16">
        <v>0</v>
      </c>
      <c r="O7" s="62">
        <f t="shared" si="1"/>
        <v>0</v>
      </c>
      <c r="P7" s="42">
        <f t="shared" si="2"/>
        <v>24</v>
      </c>
      <c r="Q7" s="43">
        <f t="shared" si="3"/>
        <v>0</v>
      </c>
      <c r="R7" s="7"/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0.99952941176470589</v>
      </c>
      <c r="AC7" s="9">
        <f t="shared" si="5"/>
        <v>1</v>
      </c>
      <c r="AD7" s="10">
        <f t="shared" si="6"/>
        <v>0.99952941176470589</v>
      </c>
      <c r="AE7" s="39">
        <f t="shared" si="7"/>
        <v>0.58568538809327797</v>
      </c>
      <c r="AF7" s="94">
        <f t="shared" si="8"/>
        <v>2</v>
      </c>
    </row>
    <row r="8" spans="1:36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50000</v>
      </c>
      <c r="J8" s="14">
        <v>2190</v>
      </c>
      <c r="K8" s="15">
        <f>L8+4093</f>
        <v>6283</v>
      </c>
      <c r="L8" s="15">
        <f>932+1258</f>
        <v>2190</v>
      </c>
      <c r="M8" s="16">
        <f t="shared" si="0"/>
        <v>2190</v>
      </c>
      <c r="N8" s="16">
        <v>0</v>
      </c>
      <c r="O8" s="62">
        <f t="shared" si="1"/>
        <v>0</v>
      </c>
      <c r="P8" s="42">
        <f t="shared" si="2"/>
        <v>11</v>
      </c>
      <c r="Q8" s="43">
        <f t="shared" si="3"/>
        <v>13</v>
      </c>
      <c r="R8" s="7"/>
      <c r="S8" s="6">
        <v>13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0.45833333333333331</v>
      </c>
      <c r="AD8" s="10">
        <f t="shared" si="6"/>
        <v>0.45833333333333331</v>
      </c>
      <c r="AE8" s="39">
        <f t="shared" si="7"/>
        <v>0.58568538809327797</v>
      </c>
      <c r="AF8" s="94">
        <f>A8</f>
        <v>3</v>
      </c>
    </row>
    <row r="9" spans="1:36" ht="27" customHeight="1">
      <c r="A9" s="110">
        <v>4</v>
      </c>
      <c r="B9" s="11" t="s">
        <v>58</v>
      </c>
      <c r="C9" s="37" t="s">
        <v>118</v>
      </c>
      <c r="D9" s="55" t="s">
        <v>826</v>
      </c>
      <c r="E9" s="57" t="s">
        <v>827</v>
      </c>
      <c r="F9" s="33" t="s">
        <v>828</v>
      </c>
      <c r="G9" s="36">
        <v>18</v>
      </c>
      <c r="H9" s="38">
        <v>25</v>
      </c>
      <c r="I9" s="7">
        <v>100000</v>
      </c>
      <c r="J9" s="5">
        <v>74390</v>
      </c>
      <c r="K9" s="15">
        <f>L9+44316</f>
        <v>118698</v>
      </c>
      <c r="L9" s="15">
        <f>3388*14+1925*14</f>
        <v>74382</v>
      </c>
      <c r="M9" s="16">
        <f t="shared" si="0"/>
        <v>74382</v>
      </c>
      <c r="N9" s="16">
        <v>0</v>
      </c>
      <c r="O9" s="62">
        <f t="shared" si="1"/>
        <v>0</v>
      </c>
      <c r="P9" s="42">
        <f t="shared" si="2"/>
        <v>22</v>
      </c>
      <c r="Q9" s="43">
        <f t="shared" si="3"/>
        <v>2</v>
      </c>
      <c r="R9" s="7"/>
      <c r="S9" s="6">
        <v>2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0.99989245866379894</v>
      </c>
      <c r="AC9" s="9">
        <f t="shared" si="5"/>
        <v>0.91666666666666663</v>
      </c>
      <c r="AD9" s="10">
        <f t="shared" si="6"/>
        <v>0.91656808710848237</v>
      </c>
      <c r="AE9" s="39">
        <f t="shared" si="7"/>
        <v>0.58568538809327797</v>
      </c>
      <c r="AF9" s="94">
        <f t="shared" ref="AF9:AF10" si="9">A9</f>
        <v>4</v>
      </c>
    </row>
    <row r="10" spans="1:36" ht="27" customHeight="1">
      <c r="A10" s="110">
        <v>5</v>
      </c>
      <c r="B10" s="11" t="s">
        <v>58</v>
      </c>
      <c r="C10" s="11" t="s">
        <v>867</v>
      </c>
      <c r="D10" s="55" t="s">
        <v>868</v>
      </c>
      <c r="E10" s="57" t="s">
        <v>869</v>
      </c>
      <c r="F10" s="12" t="s">
        <v>870</v>
      </c>
      <c r="G10" s="12">
        <v>2</v>
      </c>
      <c r="H10" s="13">
        <v>25</v>
      </c>
      <c r="I10" s="34">
        <v>7000</v>
      </c>
      <c r="J10" s="14">
        <v>8200</v>
      </c>
      <c r="K10" s="15">
        <f>L10</f>
        <v>8200</v>
      </c>
      <c r="L10" s="15">
        <f>3035*2+1065*2</f>
        <v>8200</v>
      </c>
      <c r="M10" s="16">
        <f t="shared" si="0"/>
        <v>8200</v>
      </c>
      <c r="N10" s="16">
        <v>0</v>
      </c>
      <c r="O10" s="62">
        <f t="shared" si="1"/>
        <v>0</v>
      </c>
      <c r="P10" s="42">
        <f t="shared" si="2"/>
        <v>20</v>
      </c>
      <c r="Q10" s="43">
        <f t="shared" si="3"/>
        <v>4</v>
      </c>
      <c r="R10" s="7"/>
      <c r="S10" s="6"/>
      <c r="T10" s="17">
        <v>4</v>
      </c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0.83333333333333337</v>
      </c>
      <c r="AD10" s="10">
        <f t="shared" si="6"/>
        <v>0.83333333333333337</v>
      </c>
      <c r="AE10" s="39">
        <f t="shared" si="7"/>
        <v>0.58568538809327797</v>
      </c>
      <c r="AF10" s="94">
        <f t="shared" si="9"/>
        <v>5</v>
      </c>
    </row>
    <row r="11" spans="1:36" ht="27" customHeight="1">
      <c r="A11" s="110">
        <v>6</v>
      </c>
      <c r="B11" s="11" t="s">
        <v>58</v>
      </c>
      <c r="C11" s="11" t="s">
        <v>133</v>
      </c>
      <c r="D11" s="55" t="s">
        <v>131</v>
      </c>
      <c r="E11" s="57" t="s">
        <v>700</v>
      </c>
      <c r="F11" s="12" t="s">
        <v>166</v>
      </c>
      <c r="G11" s="12">
        <v>1</v>
      </c>
      <c r="H11" s="13">
        <v>25</v>
      </c>
      <c r="I11" s="34">
        <v>40000</v>
      </c>
      <c r="J11" s="14">
        <v>6310</v>
      </c>
      <c r="K11" s="15">
        <f>L11+2724</f>
        <v>9027</v>
      </c>
      <c r="L11" s="15">
        <f>3193+3110</f>
        <v>6303</v>
      </c>
      <c r="M11" s="16">
        <f t="shared" si="0"/>
        <v>6303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0.99889064976228215</v>
      </c>
      <c r="AC11" s="9">
        <f t="shared" si="5"/>
        <v>1</v>
      </c>
      <c r="AD11" s="10">
        <f t="shared" si="6"/>
        <v>0.99889064976228215</v>
      </c>
      <c r="AE11" s="39">
        <f t="shared" si="7"/>
        <v>0.58568538809327797</v>
      </c>
      <c r="AF11" s="94">
        <f t="shared" si="8"/>
        <v>6</v>
      </c>
    </row>
    <row r="12" spans="1:36" ht="27" customHeight="1">
      <c r="A12" s="110">
        <v>7</v>
      </c>
      <c r="B12" s="11" t="s">
        <v>58</v>
      </c>
      <c r="C12" s="11" t="s">
        <v>118</v>
      </c>
      <c r="D12" s="55" t="s">
        <v>57</v>
      </c>
      <c r="E12" s="57" t="s">
        <v>160</v>
      </c>
      <c r="F12" s="12" t="s">
        <v>145</v>
      </c>
      <c r="G12" s="12">
        <v>1</v>
      </c>
      <c r="H12" s="13">
        <v>25</v>
      </c>
      <c r="I12" s="7">
        <v>62000</v>
      </c>
      <c r="J12" s="14">
        <v>420</v>
      </c>
      <c r="K12" s="15">
        <f>L12+3062+3955+2262+4171+4492+4201+2422+2930+4783+1827+2695+1564+2934+3400+3995+2189+1746+3380+2545+416</f>
        <v>58969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/>
      <c r="X12" s="17"/>
      <c r="Y12" s="20"/>
      <c r="Z12" s="20"/>
      <c r="AA12" s="21">
        <v>24</v>
      </c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0.58568538809327797</v>
      </c>
      <c r="AF12" s="94">
        <f t="shared" si="8"/>
        <v>7</v>
      </c>
    </row>
    <row r="13" spans="1:36" ht="27" customHeight="1">
      <c r="A13" s="110">
        <v>8</v>
      </c>
      <c r="B13" s="11" t="s">
        <v>58</v>
      </c>
      <c r="C13" s="11" t="s">
        <v>195</v>
      </c>
      <c r="D13" s="55" t="s">
        <v>136</v>
      </c>
      <c r="E13" s="57" t="s">
        <v>577</v>
      </c>
      <c r="F13" s="12">
        <v>7301</v>
      </c>
      <c r="G13" s="12">
        <v>1</v>
      </c>
      <c r="H13" s="13">
        <v>25</v>
      </c>
      <c r="I13" s="7">
        <v>20000</v>
      </c>
      <c r="J13" s="14">
        <v>3480</v>
      </c>
      <c r="K13" s="15">
        <f>L13+3305+4685+5566+4846+5198+3473</f>
        <v>27073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/>
      <c r="X13" s="17"/>
      <c r="Y13" s="20"/>
      <c r="Z13" s="20"/>
      <c r="AA13" s="21">
        <v>24</v>
      </c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0.58568538809327797</v>
      </c>
      <c r="AF13" s="94">
        <f t="shared" si="8"/>
        <v>8</v>
      </c>
    </row>
    <row r="14" spans="1:36" ht="27" customHeight="1">
      <c r="A14" s="109">
        <v>9</v>
      </c>
      <c r="B14" s="11" t="s">
        <v>58</v>
      </c>
      <c r="C14" s="37" t="s">
        <v>163</v>
      </c>
      <c r="D14" s="55" t="s">
        <v>190</v>
      </c>
      <c r="E14" s="57" t="s">
        <v>436</v>
      </c>
      <c r="F14" s="33" t="s">
        <v>437</v>
      </c>
      <c r="G14" s="36">
        <v>1</v>
      </c>
      <c r="H14" s="38">
        <v>25</v>
      </c>
      <c r="I14" s="7">
        <v>11000</v>
      </c>
      <c r="J14" s="5">
        <v>2330</v>
      </c>
      <c r="K14" s="15">
        <f>L14+2030+3617+4261+2322</f>
        <v>12230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0.58568538809327797</v>
      </c>
      <c r="AF14" s="94">
        <f t="shared" si="8"/>
        <v>9</v>
      </c>
    </row>
    <row r="15" spans="1:36" ht="27" customHeight="1">
      <c r="A15" s="109">
        <v>10</v>
      </c>
      <c r="B15" s="11" t="s">
        <v>58</v>
      </c>
      <c r="C15" s="11" t="s">
        <v>195</v>
      </c>
      <c r="D15" s="55" t="s">
        <v>420</v>
      </c>
      <c r="E15" s="57" t="s">
        <v>421</v>
      </c>
      <c r="F15" s="12">
        <v>8301</v>
      </c>
      <c r="G15" s="12">
        <v>1</v>
      </c>
      <c r="H15" s="13">
        <v>20</v>
      </c>
      <c r="I15" s="34">
        <v>21000</v>
      </c>
      <c r="J15" s="14">
        <v>5460</v>
      </c>
      <c r="K15" s="15">
        <f>L15+2754+4879+4902+4434+5553+5546+3393+5587+3276+4991</f>
        <v>50766</v>
      </c>
      <c r="L15" s="15">
        <f>2784+2667</f>
        <v>5451</v>
      </c>
      <c r="M15" s="16">
        <f t="shared" si="0"/>
        <v>5451</v>
      </c>
      <c r="N15" s="16">
        <v>0</v>
      </c>
      <c r="O15" s="62">
        <f t="shared" si="1"/>
        <v>0</v>
      </c>
      <c r="P15" s="42">
        <f t="shared" si="2"/>
        <v>24</v>
      </c>
      <c r="Q15" s="43">
        <f t="shared" si="3"/>
        <v>0</v>
      </c>
      <c r="R15" s="7"/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0.99835164835164836</v>
      </c>
      <c r="AC15" s="9">
        <f t="shared" si="5"/>
        <v>1</v>
      </c>
      <c r="AD15" s="10">
        <f t="shared" si="6"/>
        <v>0.99835164835164836</v>
      </c>
      <c r="AE15" s="39">
        <f t="shared" si="7"/>
        <v>0.58568538809327797</v>
      </c>
      <c r="AF15" s="94">
        <f t="shared" si="8"/>
        <v>10</v>
      </c>
    </row>
    <row r="16" spans="1:36" ht="27.75" customHeight="1">
      <c r="A16" s="109">
        <v>11</v>
      </c>
      <c r="B16" s="11" t="s">
        <v>58</v>
      </c>
      <c r="C16" s="11" t="s">
        <v>133</v>
      </c>
      <c r="D16" s="55" t="s">
        <v>829</v>
      </c>
      <c r="E16" s="56" t="s">
        <v>830</v>
      </c>
      <c r="F16" s="12">
        <v>7301</v>
      </c>
      <c r="G16" s="36">
        <v>1</v>
      </c>
      <c r="H16" s="38">
        <v>25</v>
      </c>
      <c r="I16" s="7">
        <v>40000</v>
      </c>
      <c r="J16" s="14">
        <v>882</v>
      </c>
      <c r="K16" s="15">
        <f>L16+882</f>
        <v>882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>
        <v>24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0.58568538809327797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58</v>
      </c>
      <c r="C17" s="37" t="s">
        <v>133</v>
      </c>
      <c r="D17" s="55" t="s">
        <v>190</v>
      </c>
      <c r="E17" s="56" t="s">
        <v>622</v>
      </c>
      <c r="F17" s="12" t="s">
        <v>281</v>
      </c>
      <c r="G17" s="12">
        <v>4</v>
      </c>
      <c r="H17" s="13">
        <v>25</v>
      </c>
      <c r="I17" s="34">
        <v>11000</v>
      </c>
      <c r="J17" s="5">
        <v>16150</v>
      </c>
      <c r="K17" s="15">
        <f>L17+16148</f>
        <v>16148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/>
      <c r="X17" s="17"/>
      <c r="Y17" s="20"/>
      <c r="Z17" s="20"/>
      <c r="AA17" s="21">
        <v>24</v>
      </c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0.58568538809327797</v>
      </c>
      <c r="AF17" s="94">
        <f t="shared" ref="AF17" si="10">A17</f>
        <v>12</v>
      </c>
    </row>
    <row r="18" spans="1:32" ht="27" customHeight="1">
      <c r="A18" s="110">
        <v>13</v>
      </c>
      <c r="B18" s="11" t="s">
        <v>58</v>
      </c>
      <c r="C18" s="37" t="s">
        <v>228</v>
      </c>
      <c r="D18" s="55" t="s">
        <v>831</v>
      </c>
      <c r="E18" s="57" t="s">
        <v>832</v>
      </c>
      <c r="F18" s="33" t="s">
        <v>833</v>
      </c>
      <c r="G18" s="36">
        <v>1</v>
      </c>
      <c r="H18" s="38">
        <v>25</v>
      </c>
      <c r="I18" s="7">
        <v>3000</v>
      </c>
      <c r="J18" s="5">
        <v>2950</v>
      </c>
      <c r="K18" s="15">
        <f>L18+995</f>
        <v>3939</v>
      </c>
      <c r="L18" s="15">
        <f>2450+494</f>
        <v>2944</v>
      </c>
      <c r="M18" s="16">
        <f t="shared" si="0"/>
        <v>2944</v>
      </c>
      <c r="N18" s="16">
        <v>0</v>
      </c>
      <c r="O18" s="62">
        <f t="shared" si="1"/>
        <v>0</v>
      </c>
      <c r="P18" s="42">
        <f t="shared" si="2"/>
        <v>16</v>
      </c>
      <c r="Q18" s="43">
        <f t="shared" si="3"/>
        <v>8</v>
      </c>
      <c r="R18" s="7"/>
      <c r="S18" s="6"/>
      <c r="T18" s="17"/>
      <c r="U18" s="17"/>
      <c r="V18" s="18">
        <v>8</v>
      </c>
      <c r="W18" s="19"/>
      <c r="X18" s="17"/>
      <c r="Y18" s="20"/>
      <c r="Z18" s="20"/>
      <c r="AA18" s="21"/>
      <c r="AB18" s="8">
        <f t="shared" si="4"/>
        <v>0.99796610169491529</v>
      </c>
      <c r="AC18" s="9">
        <f t="shared" si="5"/>
        <v>0.66666666666666663</v>
      </c>
      <c r="AD18" s="10">
        <f t="shared" si="6"/>
        <v>0.66531073446327682</v>
      </c>
      <c r="AE18" s="39">
        <f t="shared" si="7"/>
        <v>0.58568538809327797</v>
      </c>
      <c r="AF18" s="94">
        <f t="shared" si="8"/>
        <v>13</v>
      </c>
    </row>
    <row r="19" spans="1:32" ht="27" customHeight="1">
      <c r="A19" s="110">
        <v>14</v>
      </c>
      <c r="B19" s="11" t="s">
        <v>58</v>
      </c>
      <c r="C19" s="11" t="s">
        <v>118</v>
      </c>
      <c r="D19" s="55" t="s">
        <v>57</v>
      </c>
      <c r="E19" s="57" t="s">
        <v>160</v>
      </c>
      <c r="F19" s="12" t="s">
        <v>145</v>
      </c>
      <c r="G19" s="12">
        <v>1</v>
      </c>
      <c r="H19" s="13">
        <v>25</v>
      </c>
      <c r="I19" s="7">
        <v>52000</v>
      </c>
      <c r="J19" s="14">
        <v>4430</v>
      </c>
      <c r="K19" s="15">
        <f>L19</f>
        <v>4424</v>
      </c>
      <c r="L19" s="15">
        <f>2710+1714</f>
        <v>4424</v>
      </c>
      <c r="M19" s="16">
        <f t="shared" si="0"/>
        <v>4424</v>
      </c>
      <c r="N19" s="16">
        <v>0</v>
      </c>
      <c r="O19" s="62">
        <f t="shared" si="1"/>
        <v>0</v>
      </c>
      <c r="P19" s="42">
        <f t="shared" si="2"/>
        <v>22</v>
      </c>
      <c r="Q19" s="43">
        <f t="shared" si="3"/>
        <v>2</v>
      </c>
      <c r="R19" s="7"/>
      <c r="S19" s="6">
        <v>2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0.9986455981941309</v>
      </c>
      <c r="AC19" s="9">
        <f t="shared" si="5"/>
        <v>0.91666666666666663</v>
      </c>
      <c r="AD19" s="10">
        <f t="shared" si="6"/>
        <v>0.91542513167795325</v>
      </c>
      <c r="AE19" s="39">
        <f t="shared" si="7"/>
        <v>0.58568538809327797</v>
      </c>
      <c r="AF19" s="94">
        <f t="shared" si="8"/>
        <v>14</v>
      </c>
    </row>
    <row r="20" spans="1:32" ht="27" customHeight="1" thickBot="1">
      <c r="A20" s="110">
        <v>15</v>
      </c>
      <c r="B20" s="11" t="s">
        <v>58</v>
      </c>
      <c r="C20" s="11" t="s">
        <v>115</v>
      </c>
      <c r="D20" s="55"/>
      <c r="E20" s="56" t="s">
        <v>803</v>
      </c>
      <c r="F20" s="12" t="s">
        <v>116</v>
      </c>
      <c r="G20" s="12">
        <v>4</v>
      </c>
      <c r="H20" s="38">
        <v>15</v>
      </c>
      <c r="I20" s="7">
        <v>50000</v>
      </c>
      <c r="J20" s="14">
        <v>46410</v>
      </c>
      <c r="K20" s="15">
        <f>L20+27495+49371</f>
        <v>123270</v>
      </c>
      <c r="L20" s="15">
        <f>7546*3+7922*3</f>
        <v>46404</v>
      </c>
      <c r="M20" s="16">
        <f t="shared" si="0"/>
        <v>46404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0.99987071751777634</v>
      </c>
      <c r="AC20" s="9">
        <f t="shared" si="5"/>
        <v>1</v>
      </c>
      <c r="AD20" s="10">
        <f t="shared" si="6"/>
        <v>0.99987071751777634</v>
      </c>
      <c r="AE20" s="39">
        <f t="shared" si="7"/>
        <v>0.58568538809327797</v>
      </c>
      <c r="AF20" s="94">
        <f t="shared" si="8"/>
        <v>15</v>
      </c>
    </row>
    <row r="21" spans="1:32" ht="31.5" customHeight="1" thickBot="1">
      <c r="A21" s="465" t="s">
        <v>34</v>
      </c>
      <c r="B21" s="466"/>
      <c r="C21" s="466"/>
      <c r="D21" s="466"/>
      <c r="E21" s="466"/>
      <c r="F21" s="466"/>
      <c r="G21" s="466"/>
      <c r="H21" s="467"/>
      <c r="I21" s="25">
        <f t="shared" ref="I21:N21" si="11">SUM(I6:I20)</f>
        <v>667000</v>
      </c>
      <c r="J21" s="22">
        <f t="shared" si="11"/>
        <v>201402</v>
      </c>
      <c r="K21" s="23">
        <f t="shared" si="11"/>
        <v>551873</v>
      </c>
      <c r="L21" s="24">
        <f t="shared" si="11"/>
        <v>178087</v>
      </c>
      <c r="M21" s="23">
        <f t="shared" si="11"/>
        <v>178087</v>
      </c>
      <c r="N21" s="24">
        <f t="shared" si="11"/>
        <v>0</v>
      </c>
      <c r="O21" s="44">
        <f t="shared" si="1"/>
        <v>0</v>
      </c>
      <c r="P21" s="45">
        <f t="shared" ref="P21:AA21" si="12">SUM(P6:P20)</f>
        <v>211</v>
      </c>
      <c r="Q21" s="46">
        <f t="shared" si="12"/>
        <v>149</v>
      </c>
      <c r="R21" s="26">
        <f t="shared" si="12"/>
        <v>0</v>
      </c>
      <c r="S21" s="27">
        <f t="shared" si="12"/>
        <v>41</v>
      </c>
      <c r="T21" s="27">
        <f t="shared" si="12"/>
        <v>4</v>
      </c>
      <c r="U21" s="27">
        <f t="shared" si="12"/>
        <v>0</v>
      </c>
      <c r="V21" s="28">
        <f t="shared" si="12"/>
        <v>8</v>
      </c>
      <c r="W21" s="29">
        <f t="shared" si="12"/>
        <v>24</v>
      </c>
      <c r="X21" s="30">
        <f t="shared" si="12"/>
        <v>0</v>
      </c>
      <c r="Y21" s="30">
        <f t="shared" si="12"/>
        <v>0</v>
      </c>
      <c r="Z21" s="30">
        <f t="shared" si="12"/>
        <v>0</v>
      </c>
      <c r="AA21" s="30">
        <f t="shared" si="12"/>
        <v>72</v>
      </c>
      <c r="AB21" s="31">
        <f>SUM(AB6:AB20)/15</f>
        <v>0.66618762400237586</v>
      </c>
      <c r="AC21" s="4">
        <f>SUM(AC6:AC20)/15</f>
        <v>0.58611111111111114</v>
      </c>
      <c r="AD21" s="4">
        <f>SUM(AD6:AD20)/15</f>
        <v>0.58568538809327797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68" t="s">
        <v>45</v>
      </c>
      <c r="B48" s="468"/>
      <c r="C48" s="468"/>
      <c r="D48" s="468"/>
      <c r="E48" s="468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69" t="s">
        <v>871</v>
      </c>
      <c r="B49" s="470"/>
      <c r="C49" s="470"/>
      <c r="D49" s="470"/>
      <c r="E49" s="470"/>
      <c r="F49" s="470"/>
      <c r="G49" s="470"/>
      <c r="H49" s="470"/>
      <c r="I49" s="470"/>
      <c r="J49" s="470"/>
      <c r="K49" s="470"/>
      <c r="L49" s="470"/>
      <c r="M49" s="471"/>
      <c r="N49" s="472" t="s">
        <v>877</v>
      </c>
      <c r="O49" s="473"/>
      <c r="P49" s="473"/>
      <c r="Q49" s="473"/>
      <c r="R49" s="473"/>
      <c r="S49" s="473"/>
      <c r="T49" s="473"/>
      <c r="U49" s="473"/>
      <c r="V49" s="473"/>
      <c r="W49" s="473"/>
      <c r="X49" s="473"/>
      <c r="Y49" s="473"/>
      <c r="Z49" s="473"/>
      <c r="AA49" s="473"/>
      <c r="AB49" s="473"/>
      <c r="AC49" s="473"/>
      <c r="AD49" s="474"/>
    </row>
    <row r="50" spans="1:32" ht="27" customHeight="1">
      <c r="A50" s="475" t="s">
        <v>2</v>
      </c>
      <c r="B50" s="476"/>
      <c r="C50" s="316" t="s">
        <v>46</v>
      </c>
      <c r="D50" s="316" t="s">
        <v>47</v>
      </c>
      <c r="E50" s="316" t="s">
        <v>109</v>
      </c>
      <c r="F50" s="476" t="s">
        <v>108</v>
      </c>
      <c r="G50" s="476"/>
      <c r="H50" s="476"/>
      <c r="I50" s="476"/>
      <c r="J50" s="476"/>
      <c r="K50" s="476"/>
      <c r="L50" s="476"/>
      <c r="M50" s="477"/>
      <c r="N50" s="73" t="s">
        <v>113</v>
      </c>
      <c r="O50" s="316" t="s">
        <v>46</v>
      </c>
      <c r="P50" s="478" t="s">
        <v>47</v>
      </c>
      <c r="Q50" s="479"/>
      <c r="R50" s="478" t="s">
        <v>38</v>
      </c>
      <c r="S50" s="480"/>
      <c r="T50" s="480"/>
      <c r="U50" s="479"/>
      <c r="V50" s="478" t="s">
        <v>48</v>
      </c>
      <c r="W50" s="480"/>
      <c r="X50" s="480"/>
      <c r="Y50" s="480"/>
      <c r="Z50" s="480"/>
      <c r="AA50" s="480"/>
      <c r="AB50" s="480"/>
      <c r="AC50" s="480"/>
      <c r="AD50" s="481"/>
    </row>
    <row r="51" spans="1:32" ht="27" customHeight="1">
      <c r="A51" s="492" t="s">
        <v>327</v>
      </c>
      <c r="B51" s="493"/>
      <c r="C51" s="315" t="s">
        <v>872</v>
      </c>
      <c r="D51" s="312" t="s">
        <v>57</v>
      </c>
      <c r="E51" s="315" t="s">
        <v>160</v>
      </c>
      <c r="F51" s="494" t="s">
        <v>873</v>
      </c>
      <c r="G51" s="494"/>
      <c r="H51" s="494"/>
      <c r="I51" s="494"/>
      <c r="J51" s="494"/>
      <c r="K51" s="494"/>
      <c r="L51" s="494"/>
      <c r="M51" s="495"/>
      <c r="N51" s="311" t="s">
        <v>878</v>
      </c>
      <c r="O51" s="74" t="s">
        <v>879</v>
      </c>
      <c r="P51" s="496" t="s">
        <v>880</v>
      </c>
      <c r="Q51" s="497"/>
      <c r="R51" s="498" t="s">
        <v>881</v>
      </c>
      <c r="S51" s="498"/>
      <c r="T51" s="498"/>
      <c r="U51" s="498"/>
      <c r="V51" s="494" t="s">
        <v>875</v>
      </c>
      <c r="W51" s="494"/>
      <c r="X51" s="494"/>
      <c r="Y51" s="494"/>
      <c r="Z51" s="494"/>
      <c r="AA51" s="494"/>
      <c r="AB51" s="494"/>
      <c r="AC51" s="494"/>
      <c r="AD51" s="495"/>
    </row>
    <row r="52" spans="1:32" ht="27" customHeight="1">
      <c r="A52" s="492" t="s">
        <v>118</v>
      </c>
      <c r="B52" s="493"/>
      <c r="C52" s="315" t="s">
        <v>472</v>
      </c>
      <c r="D52" s="312" t="s">
        <v>826</v>
      </c>
      <c r="E52" s="315" t="s">
        <v>827</v>
      </c>
      <c r="F52" s="494" t="s">
        <v>873</v>
      </c>
      <c r="G52" s="494"/>
      <c r="H52" s="494"/>
      <c r="I52" s="494"/>
      <c r="J52" s="494"/>
      <c r="K52" s="494"/>
      <c r="L52" s="494"/>
      <c r="M52" s="495"/>
      <c r="N52" s="311" t="s">
        <v>118</v>
      </c>
      <c r="O52" s="74" t="s">
        <v>218</v>
      </c>
      <c r="P52" s="496" t="s">
        <v>850</v>
      </c>
      <c r="Q52" s="497"/>
      <c r="R52" s="498" t="s">
        <v>851</v>
      </c>
      <c r="S52" s="498"/>
      <c r="T52" s="498"/>
      <c r="U52" s="498"/>
      <c r="V52" s="494" t="s">
        <v>144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327</v>
      </c>
      <c r="B53" s="493"/>
      <c r="C53" s="315" t="s">
        <v>725</v>
      </c>
      <c r="D53" s="312" t="s">
        <v>164</v>
      </c>
      <c r="E53" s="315" t="s">
        <v>165</v>
      </c>
      <c r="F53" s="494" t="s">
        <v>874</v>
      </c>
      <c r="G53" s="494"/>
      <c r="H53" s="494"/>
      <c r="I53" s="494"/>
      <c r="J53" s="494"/>
      <c r="K53" s="494"/>
      <c r="L53" s="494"/>
      <c r="M53" s="495"/>
      <c r="N53" s="311" t="s">
        <v>839</v>
      </c>
      <c r="O53" s="74" t="s">
        <v>170</v>
      </c>
      <c r="P53" s="496" t="s">
        <v>829</v>
      </c>
      <c r="Q53" s="497"/>
      <c r="R53" s="498" t="s">
        <v>830</v>
      </c>
      <c r="S53" s="498"/>
      <c r="T53" s="498"/>
      <c r="U53" s="498"/>
      <c r="V53" s="494" t="s">
        <v>144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852</v>
      </c>
      <c r="B54" s="493"/>
      <c r="C54" s="315" t="s">
        <v>853</v>
      </c>
      <c r="D54" s="312" t="s">
        <v>831</v>
      </c>
      <c r="E54" s="315" t="s">
        <v>832</v>
      </c>
      <c r="F54" s="494" t="s">
        <v>875</v>
      </c>
      <c r="G54" s="494"/>
      <c r="H54" s="494"/>
      <c r="I54" s="494"/>
      <c r="J54" s="494"/>
      <c r="K54" s="494"/>
      <c r="L54" s="494"/>
      <c r="M54" s="495"/>
      <c r="N54" s="311" t="s">
        <v>867</v>
      </c>
      <c r="O54" s="74" t="s">
        <v>883</v>
      </c>
      <c r="P54" s="496" t="s">
        <v>884</v>
      </c>
      <c r="Q54" s="497"/>
      <c r="R54" s="498" t="s">
        <v>882</v>
      </c>
      <c r="S54" s="498"/>
      <c r="T54" s="498"/>
      <c r="U54" s="498"/>
      <c r="V54" s="494" t="s">
        <v>885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867</v>
      </c>
      <c r="B55" s="493"/>
      <c r="C55" s="315" t="s">
        <v>876</v>
      </c>
      <c r="D55" s="312" t="s">
        <v>868</v>
      </c>
      <c r="E55" s="315" t="s">
        <v>869</v>
      </c>
      <c r="F55" s="494" t="s">
        <v>875</v>
      </c>
      <c r="G55" s="494"/>
      <c r="H55" s="494"/>
      <c r="I55" s="494"/>
      <c r="J55" s="494"/>
      <c r="K55" s="494"/>
      <c r="L55" s="494"/>
      <c r="M55" s="495"/>
      <c r="N55" s="311"/>
      <c r="O55" s="74"/>
      <c r="P55" s="496"/>
      <c r="Q55" s="497"/>
      <c r="R55" s="498"/>
      <c r="S55" s="498"/>
      <c r="T55" s="498"/>
      <c r="U55" s="498"/>
      <c r="V55" s="494"/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/>
      <c r="B56" s="493"/>
      <c r="C56" s="315"/>
      <c r="D56" s="312"/>
      <c r="E56" s="315"/>
      <c r="F56" s="494"/>
      <c r="G56" s="494"/>
      <c r="H56" s="494"/>
      <c r="I56" s="494"/>
      <c r="J56" s="494"/>
      <c r="K56" s="494"/>
      <c r="L56" s="494"/>
      <c r="M56" s="495"/>
      <c r="N56" s="311"/>
      <c r="O56" s="74"/>
      <c r="P56" s="498"/>
      <c r="Q56" s="498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/>
      <c r="B57" s="493"/>
      <c r="C57" s="315"/>
      <c r="D57" s="312"/>
      <c r="E57" s="315"/>
      <c r="F57" s="494"/>
      <c r="G57" s="494"/>
      <c r="H57" s="494"/>
      <c r="I57" s="494"/>
      <c r="J57" s="494"/>
      <c r="K57" s="494"/>
      <c r="L57" s="494"/>
      <c r="M57" s="495"/>
      <c r="N57" s="311"/>
      <c r="O57" s="74"/>
      <c r="P57" s="496"/>
      <c r="Q57" s="497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/>
      <c r="B58" s="493"/>
      <c r="C58" s="315"/>
      <c r="D58" s="312"/>
      <c r="E58" s="315"/>
      <c r="F58" s="494"/>
      <c r="G58" s="494"/>
      <c r="H58" s="494"/>
      <c r="I58" s="494"/>
      <c r="J58" s="494"/>
      <c r="K58" s="494"/>
      <c r="L58" s="494"/>
      <c r="M58" s="495"/>
      <c r="N58" s="311"/>
      <c r="O58" s="74"/>
      <c r="P58" s="498"/>
      <c r="Q58" s="498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508"/>
      <c r="B59" s="498"/>
      <c r="C59" s="312"/>
      <c r="D59" s="312"/>
      <c r="E59" s="312"/>
      <c r="F59" s="494"/>
      <c r="G59" s="494"/>
      <c r="H59" s="494"/>
      <c r="I59" s="494"/>
      <c r="J59" s="494"/>
      <c r="K59" s="494"/>
      <c r="L59" s="494"/>
      <c r="M59" s="495"/>
      <c r="N59" s="311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  <c r="AF59" s="94">
        <f>8*3000</f>
        <v>24000</v>
      </c>
    </row>
    <row r="60" spans="1:32" ht="27" customHeight="1" thickBot="1">
      <c r="A60" s="499"/>
      <c r="B60" s="500"/>
      <c r="C60" s="314"/>
      <c r="D60" s="314"/>
      <c r="E60" s="314"/>
      <c r="F60" s="501"/>
      <c r="G60" s="501"/>
      <c r="H60" s="501"/>
      <c r="I60" s="501"/>
      <c r="J60" s="501"/>
      <c r="K60" s="501"/>
      <c r="L60" s="501"/>
      <c r="M60" s="502"/>
      <c r="N60" s="313"/>
      <c r="O60" s="121"/>
      <c r="P60" s="500"/>
      <c r="Q60" s="500"/>
      <c r="R60" s="500"/>
      <c r="S60" s="500"/>
      <c r="T60" s="500"/>
      <c r="U60" s="500"/>
      <c r="V60" s="501"/>
      <c r="W60" s="501"/>
      <c r="X60" s="501"/>
      <c r="Y60" s="501"/>
      <c r="Z60" s="501"/>
      <c r="AA60" s="501"/>
      <c r="AB60" s="501"/>
      <c r="AC60" s="501"/>
      <c r="AD60" s="502"/>
      <c r="AF60" s="94">
        <f>16*3000</f>
        <v>48000</v>
      </c>
    </row>
    <row r="61" spans="1:32" ht="27.75" thickBot="1">
      <c r="A61" s="503" t="s">
        <v>886</v>
      </c>
      <c r="B61" s="503"/>
      <c r="C61" s="503"/>
      <c r="D61" s="503"/>
      <c r="E61" s="503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504" t="s">
        <v>114</v>
      </c>
      <c r="B62" s="505"/>
      <c r="C62" s="310" t="s">
        <v>2</v>
      </c>
      <c r="D62" s="310" t="s">
        <v>37</v>
      </c>
      <c r="E62" s="310" t="s">
        <v>3</v>
      </c>
      <c r="F62" s="505" t="s">
        <v>111</v>
      </c>
      <c r="G62" s="505"/>
      <c r="H62" s="505"/>
      <c r="I62" s="505"/>
      <c r="J62" s="505"/>
      <c r="K62" s="505" t="s">
        <v>39</v>
      </c>
      <c r="L62" s="505"/>
      <c r="M62" s="310" t="s">
        <v>40</v>
      </c>
      <c r="N62" s="505" t="s">
        <v>41</v>
      </c>
      <c r="O62" s="505"/>
      <c r="P62" s="506" t="s">
        <v>42</v>
      </c>
      <c r="Q62" s="507"/>
      <c r="R62" s="506" t="s">
        <v>43</v>
      </c>
      <c r="S62" s="509"/>
      <c r="T62" s="509"/>
      <c r="U62" s="509"/>
      <c r="V62" s="509"/>
      <c r="W62" s="509"/>
      <c r="X62" s="509"/>
      <c r="Y62" s="509"/>
      <c r="Z62" s="509"/>
      <c r="AA62" s="507"/>
      <c r="AB62" s="505" t="s">
        <v>44</v>
      </c>
      <c r="AC62" s="505"/>
      <c r="AD62" s="510"/>
      <c r="AF62" s="94">
        <f>SUM(AF59:AF61)</f>
        <v>96000</v>
      </c>
    </row>
    <row r="63" spans="1:32" ht="25.5" customHeight="1">
      <c r="A63" s="511">
        <v>1</v>
      </c>
      <c r="B63" s="512"/>
      <c r="C63" s="124" t="s">
        <v>852</v>
      </c>
      <c r="D63" s="306"/>
      <c r="E63" s="309" t="s">
        <v>57</v>
      </c>
      <c r="F63" s="513" t="s">
        <v>858</v>
      </c>
      <c r="G63" s="514"/>
      <c r="H63" s="514"/>
      <c r="I63" s="514"/>
      <c r="J63" s="514"/>
      <c r="K63" s="514" t="s">
        <v>859</v>
      </c>
      <c r="L63" s="514"/>
      <c r="M63" s="54" t="s">
        <v>860</v>
      </c>
      <c r="N63" s="514">
        <v>8</v>
      </c>
      <c r="O63" s="514"/>
      <c r="P63" s="515">
        <v>50</v>
      </c>
      <c r="Q63" s="515"/>
      <c r="R63" s="494" t="s">
        <v>887</v>
      </c>
      <c r="S63" s="494"/>
      <c r="T63" s="494"/>
      <c r="U63" s="494"/>
      <c r="V63" s="494"/>
      <c r="W63" s="494"/>
      <c r="X63" s="494"/>
      <c r="Y63" s="494"/>
      <c r="Z63" s="494"/>
      <c r="AA63" s="494"/>
      <c r="AB63" s="514"/>
      <c r="AC63" s="514"/>
      <c r="AD63" s="516"/>
      <c r="AF63" s="53"/>
    </row>
    <row r="64" spans="1:32" ht="25.5" customHeight="1">
      <c r="A64" s="511">
        <v>2</v>
      </c>
      <c r="B64" s="512"/>
      <c r="C64" s="124" t="s">
        <v>279</v>
      </c>
      <c r="D64" s="306"/>
      <c r="E64" s="309" t="s">
        <v>280</v>
      </c>
      <c r="F64" s="513"/>
      <c r="G64" s="514"/>
      <c r="H64" s="514"/>
      <c r="I64" s="514"/>
      <c r="J64" s="514"/>
      <c r="K64" s="514" t="s">
        <v>281</v>
      </c>
      <c r="L64" s="514"/>
      <c r="M64" s="54" t="s">
        <v>161</v>
      </c>
      <c r="N64" s="514">
        <v>8</v>
      </c>
      <c r="O64" s="514"/>
      <c r="P64" s="515">
        <v>50</v>
      </c>
      <c r="Q64" s="515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3</v>
      </c>
      <c r="B65" s="512"/>
      <c r="C65" s="124" t="s">
        <v>888</v>
      </c>
      <c r="D65" s="306"/>
      <c r="E65" s="309" t="s">
        <v>889</v>
      </c>
      <c r="F65" s="513" t="s">
        <v>890</v>
      </c>
      <c r="G65" s="514"/>
      <c r="H65" s="514"/>
      <c r="I65" s="514"/>
      <c r="J65" s="514"/>
      <c r="K65" s="514" t="s">
        <v>891</v>
      </c>
      <c r="L65" s="514"/>
      <c r="M65" s="54" t="s">
        <v>892</v>
      </c>
      <c r="N65" s="514">
        <v>7</v>
      </c>
      <c r="O65" s="514"/>
      <c r="P65" s="515">
        <v>200</v>
      </c>
      <c r="Q65" s="515"/>
      <c r="R65" s="494" t="s">
        <v>893</v>
      </c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4</v>
      </c>
      <c r="B66" s="512"/>
      <c r="C66" s="124" t="s">
        <v>562</v>
      </c>
      <c r="D66" s="306"/>
      <c r="E66" s="309" t="s">
        <v>608</v>
      </c>
      <c r="F66" s="513" t="s">
        <v>609</v>
      </c>
      <c r="G66" s="514"/>
      <c r="H66" s="514"/>
      <c r="I66" s="514"/>
      <c r="J66" s="514"/>
      <c r="K66" s="514" t="s">
        <v>565</v>
      </c>
      <c r="L66" s="514"/>
      <c r="M66" s="54" t="s">
        <v>169</v>
      </c>
      <c r="N66" s="514">
        <v>12</v>
      </c>
      <c r="O66" s="514"/>
      <c r="P66" s="515">
        <v>200</v>
      </c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5</v>
      </c>
      <c r="B67" s="512"/>
      <c r="C67" s="124" t="s">
        <v>562</v>
      </c>
      <c r="D67" s="306"/>
      <c r="E67" s="309" t="s">
        <v>563</v>
      </c>
      <c r="F67" s="513" t="s">
        <v>564</v>
      </c>
      <c r="G67" s="514"/>
      <c r="H67" s="514"/>
      <c r="I67" s="514"/>
      <c r="J67" s="514"/>
      <c r="K67" s="514" t="s">
        <v>565</v>
      </c>
      <c r="L67" s="514"/>
      <c r="M67" s="54" t="s">
        <v>566</v>
      </c>
      <c r="N67" s="514">
        <v>12</v>
      </c>
      <c r="O67" s="514"/>
      <c r="P67" s="515">
        <v>150</v>
      </c>
      <c r="Q67" s="515"/>
      <c r="R67" s="494" t="s">
        <v>894</v>
      </c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6</v>
      </c>
      <c r="B68" s="512"/>
      <c r="C68" s="124"/>
      <c r="D68" s="306"/>
      <c r="E68" s="309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7</v>
      </c>
      <c r="B69" s="512"/>
      <c r="C69" s="124"/>
      <c r="D69" s="306"/>
      <c r="E69" s="309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8</v>
      </c>
      <c r="B70" s="512"/>
      <c r="C70" s="124"/>
      <c r="D70" s="306"/>
      <c r="E70" s="309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6.25" customHeight="1" thickBot="1">
      <c r="A71" s="517" t="s">
        <v>895</v>
      </c>
      <c r="B71" s="517"/>
      <c r="C71" s="517"/>
      <c r="D71" s="517"/>
      <c r="E71" s="51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518" t="s">
        <v>114</v>
      </c>
      <c r="B72" s="519"/>
      <c r="C72" s="308" t="s">
        <v>2</v>
      </c>
      <c r="D72" s="308" t="s">
        <v>37</v>
      </c>
      <c r="E72" s="308" t="s">
        <v>3</v>
      </c>
      <c r="F72" s="519" t="s">
        <v>38</v>
      </c>
      <c r="G72" s="519"/>
      <c r="H72" s="519"/>
      <c r="I72" s="519"/>
      <c r="J72" s="519"/>
      <c r="K72" s="520" t="s">
        <v>59</v>
      </c>
      <c r="L72" s="521"/>
      <c r="M72" s="521"/>
      <c r="N72" s="521"/>
      <c r="O72" s="521"/>
      <c r="P72" s="521"/>
      <c r="Q72" s="521"/>
      <c r="R72" s="521"/>
      <c r="S72" s="522"/>
      <c r="T72" s="519" t="s">
        <v>49</v>
      </c>
      <c r="U72" s="519"/>
      <c r="V72" s="520" t="s">
        <v>50</v>
      </c>
      <c r="W72" s="522"/>
      <c r="X72" s="521" t="s">
        <v>51</v>
      </c>
      <c r="Y72" s="521"/>
      <c r="Z72" s="521"/>
      <c r="AA72" s="521"/>
      <c r="AB72" s="521"/>
      <c r="AC72" s="521"/>
      <c r="AD72" s="523"/>
      <c r="AF72" s="53"/>
    </row>
    <row r="73" spans="1:32" ht="33.75" customHeight="1">
      <c r="A73" s="532">
        <v>1</v>
      </c>
      <c r="B73" s="533"/>
      <c r="C73" s="307" t="s">
        <v>117</v>
      </c>
      <c r="D73" s="307"/>
      <c r="E73" s="71" t="s">
        <v>123</v>
      </c>
      <c r="F73" s="534" t="s">
        <v>124</v>
      </c>
      <c r="G73" s="535"/>
      <c r="H73" s="535"/>
      <c r="I73" s="535"/>
      <c r="J73" s="536"/>
      <c r="K73" s="537" t="s">
        <v>119</v>
      </c>
      <c r="L73" s="538"/>
      <c r="M73" s="538"/>
      <c r="N73" s="538"/>
      <c r="O73" s="538"/>
      <c r="P73" s="538"/>
      <c r="Q73" s="538"/>
      <c r="R73" s="538"/>
      <c r="S73" s="539"/>
      <c r="T73" s="540">
        <v>42901</v>
      </c>
      <c r="U73" s="541"/>
      <c r="V73" s="542"/>
      <c r="W73" s="542"/>
      <c r="X73" s="543"/>
      <c r="Y73" s="543"/>
      <c r="Z73" s="543"/>
      <c r="AA73" s="543"/>
      <c r="AB73" s="543"/>
      <c r="AC73" s="543"/>
      <c r="AD73" s="544"/>
      <c r="AF73" s="53"/>
    </row>
    <row r="74" spans="1:32" ht="30" customHeight="1">
      <c r="A74" s="524">
        <f>A73+1</f>
        <v>2</v>
      </c>
      <c r="B74" s="525"/>
      <c r="C74" s="306" t="s">
        <v>117</v>
      </c>
      <c r="D74" s="306"/>
      <c r="E74" s="35" t="s">
        <v>120</v>
      </c>
      <c r="F74" s="525" t="s">
        <v>121</v>
      </c>
      <c r="G74" s="525"/>
      <c r="H74" s="525"/>
      <c r="I74" s="525"/>
      <c r="J74" s="525"/>
      <c r="K74" s="526" t="s">
        <v>122</v>
      </c>
      <c r="L74" s="527"/>
      <c r="M74" s="527"/>
      <c r="N74" s="527"/>
      <c r="O74" s="527"/>
      <c r="P74" s="527"/>
      <c r="Q74" s="527"/>
      <c r="R74" s="527"/>
      <c r="S74" s="528"/>
      <c r="T74" s="529">
        <v>42867</v>
      </c>
      <c r="U74" s="529"/>
      <c r="V74" s="529"/>
      <c r="W74" s="529"/>
      <c r="X74" s="530"/>
      <c r="Y74" s="530"/>
      <c r="Z74" s="530"/>
      <c r="AA74" s="530"/>
      <c r="AB74" s="530"/>
      <c r="AC74" s="530"/>
      <c r="AD74" s="531"/>
      <c r="AF74" s="53"/>
    </row>
    <row r="75" spans="1:32" ht="30" customHeight="1">
      <c r="A75" s="524">
        <f t="shared" ref="A75:A81" si="13">A74+1</f>
        <v>3</v>
      </c>
      <c r="B75" s="525"/>
      <c r="C75" s="306" t="s">
        <v>133</v>
      </c>
      <c r="D75" s="306"/>
      <c r="E75" s="35" t="s">
        <v>131</v>
      </c>
      <c r="F75" s="525" t="s">
        <v>134</v>
      </c>
      <c r="G75" s="525"/>
      <c r="H75" s="525"/>
      <c r="I75" s="525"/>
      <c r="J75" s="525"/>
      <c r="K75" s="526" t="s">
        <v>119</v>
      </c>
      <c r="L75" s="527"/>
      <c r="M75" s="527"/>
      <c r="N75" s="527"/>
      <c r="O75" s="527"/>
      <c r="P75" s="527"/>
      <c r="Q75" s="527"/>
      <c r="R75" s="527"/>
      <c r="S75" s="528"/>
      <c r="T75" s="529">
        <v>42937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si="13"/>
        <v>4</v>
      </c>
      <c r="B76" s="525"/>
      <c r="C76" s="306"/>
      <c r="D76" s="306"/>
      <c r="E76" s="35"/>
      <c r="F76" s="525"/>
      <c r="G76" s="525"/>
      <c r="H76" s="525"/>
      <c r="I76" s="525"/>
      <c r="J76" s="525"/>
      <c r="K76" s="526"/>
      <c r="L76" s="527"/>
      <c r="M76" s="527"/>
      <c r="N76" s="527"/>
      <c r="O76" s="527"/>
      <c r="P76" s="527"/>
      <c r="Q76" s="527"/>
      <c r="R76" s="527"/>
      <c r="S76" s="528"/>
      <c r="T76" s="529"/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13"/>
        <v>5</v>
      </c>
      <c r="B77" s="525"/>
      <c r="C77" s="306"/>
      <c r="D77" s="306"/>
      <c r="E77" s="35"/>
      <c r="F77" s="525"/>
      <c r="G77" s="525"/>
      <c r="H77" s="525"/>
      <c r="I77" s="525"/>
      <c r="J77" s="525"/>
      <c r="K77" s="526"/>
      <c r="L77" s="527"/>
      <c r="M77" s="527"/>
      <c r="N77" s="527"/>
      <c r="O77" s="527"/>
      <c r="P77" s="527"/>
      <c r="Q77" s="527"/>
      <c r="R77" s="527"/>
      <c r="S77" s="528"/>
      <c r="T77" s="529"/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13"/>
        <v>6</v>
      </c>
      <c r="B78" s="525"/>
      <c r="C78" s="306"/>
      <c r="D78" s="306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13"/>
        <v>7</v>
      </c>
      <c r="B79" s="525"/>
      <c r="C79" s="306"/>
      <c r="D79" s="306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13"/>
        <v>8</v>
      </c>
      <c r="B80" s="525"/>
      <c r="C80" s="306"/>
      <c r="D80" s="306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13"/>
        <v>9</v>
      </c>
      <c r="B81" s="525"/>
      <c r="C81" s="306"/>
      <c r="D81" s="306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6" thickBot="1">
      <c r="A82" s="517" t="s">
        <v>896</v>
      </c>
      <c r="B82" s="517"/>
      <c r="C82" s="517"/>
      <c r="D82" s="517"/>
      <c r="E82" s="51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518" t="s">
        <v>114</v>
      </c>
      <c r="B83" s="519"/>
      <c r="C83" s="545" t="s">
        <v>52</v>
      </c>
      <c r="D83" s="545"/>
      <c r="E83" s="545" t="s">
        <v>53</v>
      </c>
      <c r="F83" s="545"/>
      <c r="G83" s="545"/>
      <c r="H83" s="545"/>
      <c r="I83" s="545"/>
      <c r="J83" s="545"/>
      <c r="K83" s="545" t="s">
        <v>54</v>
      </c>
      <c r="L83" s="545"/>
      <c r="M83" s="545"/>
      <c r="N83" s="545"/>
      <c r="O83" s="545"/>
      <c r="P83" s="545"/>
      <c r="Q83" s="545"/>
      <c r="R83" s="545"/>
      <c r="S83" s="545"/>
      <c r="T83" s="545" t="s">
        <v>55</v>
      </c>
      <c r="U83" s="545"/>
      <c r="V83" s="545" t="s">
        <v>56</v>
      </c>
      <c r="W83" s="545"/>
      <c r="X83" s="545"/>
      <c r="Y83" s="545" t="s">
        <v>51</v>
      </c>
      <c r="Z83" s="545"/>
      <c r="AA83" s="545"/>
      <c r="AB83" s="545"/>
      <c r="AC83" s="545"/>
      <c r="AD83" s="546"/>
      <c r="AF83" s="53"/>
    </row>
    <row r="84" spans="1:32" ht="30.75" customHeight="1">
      <c r="A84" s="532">
        <v>1</v>
      </c>
      <c r="B84" s="533"/>
      <c r="C84" s="547"/>
      <c r="D84" s="547"/>
      <c r="E84" s="547"/>
      <c r="F84" s="547"/>
      <c r="G84" s="547"/>
      <c r="H84" s="547"/>
      <c r="I84" s="547"/>
      <c r="J84" s="547"/>
      <c r="K84" s="547"/>
      <c r="L84" s="547"/>
      <c r="M84" s="547"/>
      <c r="N84" s="547"/>
      <c r="O84" s="547"/>
      <c r="P84" s="547"/>
      <c r="Q84" s="547"/>
      <c r="R84" s="547"/>
      <c r="S84" s="547"/>
      <c r="T84" s="547"/>
      <c r="U84" s="547"/>
      <c r="V84" s="548"/>
      <c r="W84" s="548"/>
      <c r="X84" s="548"/>
      <c r="Y84" s="549"/>
      <c r="Z84" s="549"/>
      <c r="AA84" s="549"/>
      <c r="AB84" s="549"/>
      <c r="AC84" s="549"/>
      <c r="AD84" s="550"/>
      <c r="AF84" s="53"/>
    </row>
    <row r="85" spans="1:32" ht="30.75" customHeight="1">
      <c r="A85" s="524">
        <v>2</v>
      </c>
      <c r="B85" s="525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9"/>
      <c r="U85" s="559"/>
      <c r="V85" s="560"/>
      <c r="W85" s="560"/>
      <c r="X85" s="560"/>
      <c r="Y85" s="551"/>
      <c r="Z85" s="551"/>
      <c r="AA85" s="551"/>
      <c r="AB85" s="551"/>
      <c r="AC85" s="551"/>
      <c r="AD85" s="552"/>
      <c r="AF85" s="53"/>
    </row>
    <row r="86" spans="1:32" ht="30.75" customHeight="1" thickBot="1">
      <c r="A86" s="553">
        <v>3</v>
      </c>
      <c r="B86" s="554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6"/>
      <c r="Z86" s="556"/>
      <c r="AA86" s="556"/>
      <c r="AB86" s="556"/>
      <c r="AC86" s="556"/>
      <c r="AD86" s="55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7"/>
  <sheetViews>
    <sheetView zoomScale="72" zoomScaleNormal="72" zoomScaleSheetLayoutView="70" workbookViewId="0">
      <selection activeCell="F79" sqref="F79:J79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51" t="s">
        <v>897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6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318" t="s">
        <v>17</v>
      </c>
      <c r="L5" s="318" t="s">
        <v>18</v>
      </c>
      <c r="M5" s="318" t="s">
        <v>19</v>
      </c>
      <c r="N5" s="31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6" ht="27" customHeight="1">
      <c r="A6" s="108">
        <v>1</v>
      </c>
      <c r="B6" s="11" t="s">
        <v>58</v>
      </c>
      <c r="C6" s="37" t="s">
        <v>562</v>
      </c>
      <c r="D6" s="55" t="s">
        <v>708</v>
      </c>
      <c r="E6" s="57" t="s">
        <v>709</v>
      </c>
      <c r="F6" s="33" t="s">
        <v>710</v>
      </c>
      <c r="G6" s="12">
        <v>3</v>
      </c>
      <c r="H6" s="13">
        <v>25</v>
      </c>
      <c r="I6" s="34">
        <v>100000</v>
      </c>
      <c r="J6" s="5">
        <v>15620</v>
      </c>
      <c r="K6" s="15">
        <f>L6+7182+15369+15033+14952+15045</f>
        <v>83193</v>
      </c>
      <c r="L6" s="15">
        <f>2131*3+3073*3</f>
        <v>15612</v>
      </c>
      <c r="M6" s="16">
        <f t="shared" ref="M6:M21" si="0">L6-N6</f>
        <v>15612</v>
      </c>
      <c r="N6" s="16">
        <v>0</v>
      </c>
      <c r="O6" s="62">
        <f t="shared" ref="O6:O22" si="1">IF(L6=0,"0",N6/L6)</f>
        <v>0</v>
      </c>
      <c r="P6" s="42">
        <f t="shared" ref="P6:P21" si="2">IF(L6=0,"0",(24-Q6))</f>
        <v>24</v>
      </c>
      <c r="Q6" s="43">
        <f t="shared" ref="Q6:Q21" si="3">SUM(R6:AA6)</f>
        <v>0</v>
      </c>
      <c r="R6" s="7"/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0.99948783610755443</v>
      </c>
      <c r="AC6" s="9">
        <f t="shared" ref="AC6:AC21" si="5">IF(P6=0,"0",(P6/24))</f>
        <v>1</v>
      </c>
      <c r="AD6" s="10">
        <f t="shared" ref="AD6:AD21" si="6">AC6*AB6*(1-O6)</f>
        <v>0.99948783610755443</v>
      </c>
      <c r="AE6" s="39">
        <f t="shared" ref="AE6:AE21" si="7">$AD$22</f>
        <v>0.6493690640031371</v>
      </c>
      <c r="AF6" s="94">
        <f t="shared" ref="AF6:AF21" si="8">A6</f>
        <v>1</v>
      </c>
    </row>
    <row r="7" spans="1:36" ht="27" customHeight="1">
      <c r="A7" s="108">
        <v>2</v>
      </c>
      <c r="B7" s="11" t="s">
        <v>58</v>
      </c>
      <c r="C7" s="37" t="s">
        <v>562</v>
      </c>
      <c r="D7" s="55" t="s">
        <v>898</v>
      </c>
      <c r="E7" s="57" t="s">
        <v>899</v>
      </c>
      <c r="F7" s="33" t="s">
        <v>766</v>
      </c>
      <c r="G7" s="12">
        <v>2</v>
      </c>
      <c r="H7" s="13">
        <v>25</v>
      </c>
      <c r="I7" s="34">
        <v>3000</v>
      </c>
      <c r="J7" s="5">
        <v>8340</v>
      </c>
      <c r="K7" s="15">
        <f>L7</f>
        <v>8332</v>
      </c>
      <c r="L7" s="15">
        <f>1721*2+2445*2</f>
        <v>8332</v>
      </c>
      <c r="M7" s="16">
        <f t="shared" si="0"/>
        <v>8332</v>
      </c>
      <c r="N7" s="16">
        <v>0</v>
      </c>
      <c r="O7" s="62">
        <f t="shared" si="1"/>
        <v>0</v>
      </c>
      <c r="P7" s="42">
        <f t="shared" si="2"/>
        <v>22</v>
      </c>
      <c r="Q7" s="43">
        <f t="shared" si="3"/>
        <v>2</v>
      </c>
      <c r="R7" s="7"/>
      <c r="S7" s="6"/>
      <c r="T7" s="17">
        <v>2</v>
      </c>
      <c r="U7" s="17"/>
      <c r="V7" s="18"/>
      <c r="W7" s="19"/>
      <c r="X7" s="17"/>
      <c r="Y7" s="20"/>
      <c r="Z7" s="20"/>
      <c r="AA7" s="21"/>
      <c r="AB7" s="8">
        <f t="shared" si="4"/>
        <v>0.99904076738609116</v>
      </c>
      <c r="AC7" s="9">
        <f t="shared" si="5"/>
        <v>0.91666666666666663</v>
      </c>
      <c r="AD7" s="10">
        <f t="shared" si="6"/>
        <v>0.91578737010391686</v>
      </c>
      <c r="AE7" s="39">
        <f t="shared" si="7"/>
        <v>0.6493690640031371</v>
      </c>
      <c r="AF7" s="94">
        <f t="shared" si="8"/>
        <v>2</v>
      </c>
    </row>
    <row r="8" spans="1:36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50000</v>
      </c>
      <c r="J8" s="14">
        <v>5480</v>
      </c>
      <c r="K8" s="15">
        <f>L8+4093+2190</f>
        <v>11757</v>
      </c>
      <c r="L8" s="15">
        <f>1585+3889</f>
        <v>5474</v>
      </c>
      <c r="M8" s="16">
        <f t="shared" si="0"/>
        <v>5474</v>
      </c>
      <c r="N8" s="16">
        <v>0</v>
      </c>
      <c r="O8" s="62">
        <f t="shared" si="1"/>
        <v>0</v>
      </c>
      <c r="P8" s="42">
        <f t="shared" si="2"/>
        <v>23</v>
      </c>
      <c r="Q8" s="43">
        <f t="shared" si="3"/>
        <v>1</v>
      </c>
      <c r="R8" s="7"/>
      <c r="S8" s="6">
        <v>1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0.99890510948905109</v>
      </c>
      <c r="AC8" s="9">
        <f t="shared" si="5"/>
        <v>0.95833333333333337</v>
      </c>
      <c r="AD8" s="10">
        <f t="shared" si="6"/>
        <v>0.95728406326034066</v>
      </c>
      <c r="AE8" s="39">
        <f t="shared" si="7"/>
        <v>0.6493690640031371</v>
      </c>
      <c r="AF8" s="94">
        <f>A8</f>
        <v>3</v>
      </c>
    </row>
    <row r="9" spans="1:36" ht="27" customHeight="1">
      <c r="A9" s="110">
        <v>4</v>
      </c>
      <c r="B9" s="11" t="s">
        <v>58</v>
      </c>
      <c r="C9" s="37" t="s">
        <v>118</v>
      </c>
      <c r="D9" s="55" t="s">
        <v>826</v>
      </c>
      <c r="E9" s="57" t="s">
        <v>827</v>
      </c>
      <c r="F9" s="33" t="s">
        <v>828</v>
      </c>
      <c r="G9" s="36">
        <v>18</v>
      </c>
      <c r="H9" s="38">
        <v>25</v>
      </c>
      <c r="I9" s="7">
        <v>100000</v>
      </c>
      <c r="J9" s="5">
        <v>91510</v>
      </c>
      <c r="K9" s="15">
        <f>L9+44316+74382</f>
        <v>210202</v>
      </c>
      <c r="L9" s="15">
        <f>2791*14+3745*14</f>
        <v>91504</v>
      </c>
      <c r="M9" s="16">
        <f t="shared" si="0"/>
        <v>91504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0.99993443339525734</v>
      </c>
      <c r="AC9" s="9">
        <f t="shared" si="5"/>
        <v>1</v>
      </c>
      <c r="AD9" s="10">
        <f t="shared" si="6"/>
        <v>0.99993443339525734</v>
      </c>
      <c r="AE9" s="39">
        <f t="shared" si="7"/>
        <v>0.6493690640031371</v>
      </c>
      <c r="AF9" s="94">
        <f t="shared" ref="AF9:AF10" si="9">A9</f>
        <v>4</v>
      </c>
    </row>
    <row r="10" spans="1:36" ht="27" customHeight="1">
      <c r="A10" s="110">
        <v>5</v>
      </c>
      <c r="B10" s="11" t="s">
        <v>58</v>
      </c>
      <c r="C10" s="11" t="s">
        <v>867</v>
      </c>
      <c r="D10" s="55" t="s">
        <v>868</v>
      </c>
      <c r="E10" s="57" t="s">
        <v>869</v>
      </c>
      <c r="F10" s="12" t="s">
        <v>870</v>
      </c>
      <c r="G10" s="12">
        <v>2</v>
      </c>
      <c r="H10" s="13">
        <v>25</v>
      </c>
      <c r="I10" s="34">
        <v>7000</v>
      </c>
      <c r="J10" s="14">
        <v>4550</v>
      </c>
      <c r="K10" s="15">
        <f>L10+8200</f>
        <v>12746</v>
      </c>
      <c r="L10" s="15">
        <f>2273*2</f>
        <v>4546</v>
      </c>
      <c r="M10" s="16">
        <f t="shared" si="0"/>
        <v>4546</v>
      </c>
      <c r="N10" s="16">
        <v>0</v>
      </c>
      <c r="O10" s="62">
        <f t="shared" si="1"/>
        <v>0</v>
      </c>
      <c r="P10" s="42">
        <f t="shared" si="2"/>
        <v>9</v>
      </c>
      <c r="Q10" s="43">
        <f t="shared" si="3"/>
        <v>15</v>
      </c>
      <c r="R10" s="7"/>
      <c r="S10" s="6"/>
      <c r="T10" s="17"/>
      <c r="U10" s="17"/>
      <c r="V10" s="18"/>
      <c r="W10" s="19">
        <v>15</v>
      </c>
      <c r="X10" s="17"/>
      <c r="Y10" s="20"/>
      <c r="Z10" s="20"/>
      <c r="AA10" s="21"/>
      <c r="AB10" s="8">
        <f t="shared" si="4"/>
        <v>0.9991208791208791</v>
      </c>
      <c r="AC10" s="9">
        <f t="shared" si="5"/>
        <v>0.375</v>
      </c>
      <c r="AD10" s="10">
        <f t="shared" si="6"/>
        <v>0.37467032967032965</v>
      </c>
      <c r="AE10" s="39">
        <f t="shared" si="7"/>
        <v>0.6493690640031371</v>
      </c>
      <c r="AF10" s="94">
        <f t="shared" si="9"/>
        <v>5</v>
      </c>
    </row>
    <row r="11" spans="1:36" ht="27" customHeight="1">
      <c r="A11" s="110">
        <v>6</v>
      </c>
      <c r="B11" s="11" t="s">
        <v>58</v>
      </c>
      <c r="C11" s="11" t="s">
        <v>133</v>
      </c>
      <c r="D11" s="55" t="s">
        <v>131</v>
      </c>
      <c r="E11" s="57" t="s">
        <v>700</v>
      </c>
      <c r="F11" s="12" t="s">
        <v>166</v>
      </c>
      <c r="G11" s="12">
        <v>1</v>
      </c>
      <c r="H11" s="13">
        <v>25</v>
      </c>
      <c r="I11" s="34">
        <v>40000</v>
      </c>
      <c r="J11" s="14">
        <v>6510</v>
      </c>
      <c r="K11" s="15">
        <f>L11+2724+6303</f>
        <v>15531</v>
      </c>
      <c r="L11" s="15">
        <f>2708+3796</f>
        <v>6504</v>
      </c>
      <c r="M11" s="16">
        <f t="shared" si="0"/>
        <v>6504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0.99907834101382487</v>
      </c>
      <c r="AC11" s="9">
        <f t="shared" si="5"/>
        <v>1</v>
      </c>
      <c r="AD11" s="10">
        <f t="shared" si="6"/>
        <v>0.99907834101382487</v>
      </c>
      <c r="AE11" s="39">
        <f t="shared" si="7"/>
        <v>0.6493690640031371</v>
      </c>
      <c r="AF11" s="94">
        <f t="shared" si="8"/>
        <v>6</v>
      </c>
    </row>
    <row r="12" spans="1:36" ht="27" customHeight="1">
      <c r="A12" s="110">
        <v>7</v>
      </c>
      <c r="B12" s="11" t="s">
        <v>58</v>
      </c>
      <c r="C12" s="11" t="s">
        <v>118</v>
      </c>
      <c r="D12" s="55" t="s">
        <v>57</v>
      </c>
      <c r="E12" s="57" t="s">
        <v>160</v>
      </c>
      <c r="F12" s="12" t="s">
        <v>145</v>
      </c>
      <c r="G12" s="12">
        <v>1</v>
      </c>
      <c r="H12" s="13">
        <v>25</v>
      </c>
      <c r="I12" s="7">
        <v>62000</v>
      </c>
      <c r="J12" s="14">
        <v>420</v>
      </c>
      <c r="K12" s="15">
        <f>L12+3062+3955+2262+4171+4492+4201+2422+2930+4783+1827+2695+1564+2934+3400+3995+2189+1746+3380+2545+416</f>
        <v>58969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/>
      <c r="X12" s="17"/>
      <c r="Y12" s="20"/>
      <c r="Z12" s="20"/>
      <c r="AA12" s="21">
        <v>24</v>
      </c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0.6493690640031371</v>
      </c>
      <c r="AF12" s="94">
        <f t="shared" si="8"/>
        <v>7</v>
      </c>
    </row>
    <row r="13" spans="1:36" ht="27" customHeight="1">
      <c r="A13" s="110">
        <v>8</v>
      </c>
      <c r="B13" s="11" t="s">
        <v>58</v>
      </c>
      <c r="C13" s="11" t="s">
        <v>195</v>
      </c>
      <c r="D13" s="55" t="s">
        <v>136</v>
      </c>
      <c r="E13" s="57" t="s">
        <v>577</v>
      </c>
      <c r="F13" s="12">
        <v>7301</v>
      </c>
      <c r="G13" s="12">
        <v>1</v>
      </c>
      <c r="H13" s="13">
        <v>25</v>
      </c>
      <c r="I13" s="7">
        <v>20000</v>
      </c>
      <c r="J13" s="14">
        <v>3680</v>
      </c>
      <c r="K13" s="15">
        <f>L13+3305+4685+5566+4846+5198+3473</f>
        <v>27073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/>
      <c r="X13" s="17"/>
      <c r="Y13" s="20"/>
      <c r="Z13" s="20"/>
      <c r="AA13" s="21">
        <v>24</v>
      </c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0.6493690640031371</v>
      </c>
      <c r="AF13" s="94">
        <f t="shared" si="8"/>
        <v>8</v>
      </c>
    </row>
    <row r="14" spans="1:36" ht="27" customHeight="1">
      <c r="A14" s="109">
        <v>9</v>
      </c>
      <c r="B14" s="11" t="s">
        <v>58</v>
      </c>
      <c r="C14" s="37" t="s">
        <v>163</v>
      </c>
      <c r="D14" s="55" t="s">
        <v>190</v>
      </c>
      <c r="E14" s="57" t="s">
        <v>436</v>
      </c>
      <c r="F14" s="33" t="s">
        <v>437</v>
      </c>
      <c r="G14" s="36">
        <v>1</v>
      </c>
      <c r="H14" s="38">
        <v>25</v>
      </c>
      <c r="I14" s="7">
        <v>11000</v>
      </c>
      <c r="J14" s="5">
        <v>2330</v>
      </c>
      <c r="K14" s="15">
        <f>L14+2030+3617+4261+2322</f>
        <v>12230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0.6493690640031371</v>
      </c>
      <c r="AF14" s="94">
        <f t="shared" si="8"/>
        <v>9</v>
      </c>
    </row>
    <row r="15" spans="1:36" ht="27" customHeight="1">
      <c r="A15" s="109">
        <v>10</v>
      </c>
      <c r="B15" s="11" t="s">
        <v>58</v>
      </c>
      <c r="C15" s="11" t="s">
        <v>195</v>
      </c>
      <c r="D15" s="55" t="s">
        <v>420</v>
      </c>
      <c r="E15" s="57" t="s">
        <v>421</v>
      </c>
      <c r="F15" s="12">
        <v>8301</v>
      </c>
      <c r="G15" s="12">
        <v>1</v>
      </c>
      <c r="H15" s="13">
        <v>20</v>
      </c>
      <c r="I15" s="34">
        <v>21000</v>
      </c>
      <c r="J15" s="14">
        <v>3680</v>
      </c>
      <c r="K15" s="15">
        <f>L15+2754+4879+4902+4434+5553+5546+3393+5587+3276+4991+5451</f>
        <v>54442</v>
      </c>
      <c r="L15" s="15">
        <f>2326+1350</f>
        <v>3676</v>
      </c>
      <c r="M15" s="16">
        <f t="shared" si="0"/>
        <v>3676</v>
      </c>
      <c r="N15" s="16">
        <v>0</v>
      </c>
      <c r="O15" s="62">
        <f t="shared" si="1"/>
        <v>0</v>
      </c>
      <c r="P15" s="42">
        <f t="shared" si="2"/>
        <v>18</v>
      </c>
      <c r="Q15" s="43">
        <f t="shared" si="3"/>
        <v>6</v>
      </c>
      <c r="R15" s="7"/>
      <c r="S15" s="6">
        <v>6</v>
      </c>
      <c r="T15" s="17"/>
      <c r="U15" s="17"/>
      <c r="V15" s="18"/>
      <c r="W15" s="19"/>
      <c r="X15" s="17"/>
      <c r="Y15" s="20"/>
      <c r="Z15" s="20"/>
      <c r="AA15" s="21"/>
      <c r="AB15" s="8">
        <f t="shared" si="4"/>
        <v>0.99891304347826082</v>
      </c>
      <c r="AC15" s="9">
        <f t="shared" si="5"/>
        <v>0.75</v>
      </c>
      <c r="AD15" s="10">
        <f t="shared" si="6"/>
        <v>0.74918478260869559</v>
      </c>
      <c r="AE15" s="39">
        <f t="shared" si="7"/>
        <v>0.6493690640031371</v>
      </c>
      <c r="AF15" s="94">
        <f t="shared" si="8"/>
        <v>10</v>
      </c>
    </row>
    <row r="16" spans="1:36" ht="27.75" customHeight="1">
      <c r="A16" s="109">
        <v>11</v>
      </c>
      <c r="B16" s="11" t="s">
        <v>58</v>
      </c>
      <c r="C16" s="11" t="s">
        <v>133</v>
      </c>
      <c r="D16" s="55" t="s">
        <v>900</v>
      </c>
      <c r="E16" s="56" t="s">
        <v>901</v>
      </c>
      <c r="F16" s="12">
        <v>7301</v>
      </c>
      <c r="G16" s="36">
        <v>1</v>
      </c>
      <c r="H16" s="38">
        <v>25</v>
      </c>
      <c r="I16" s="7">
        <v>40000</v>
      </c>
      <c r="J16" s="14">
        <v>882</v>
      </c>
      <c r="K16" s="15">
        <f>L16</f>
        <v>0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>
        <v>24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0.6493690640031371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58</v>
      </c>
      <c r="C17" s="37" t="s">
        <v>133</v>
      </c>
      <c r="D17" s="55" t="s">
        <v>190</v>
      </c>
      <c r="E17" s="56" t="s">
        <v>902</v>
      </c>
      <c r="F17" s="12" t="s">
        <v>903</v>
      </c>
      <c r="G17" s="12">
        <v>1</v>
      </c>
      <c r="H17" s="13">
        <v>25</v>
      </c>
      <c r="I17" s="34">
        <v>15000</v>
      </c>
      <c r="J17" s="5">
        <v>4440</v>
      </c>
      <c r="K17" s="15">
        <f>L17</f>
        <v>4436</v>
      </c>
      <c r="L17" s="15">
        <f>478+3958</f>
        <v>4436</v>
      </c>
      <c r="M17" s="16">
        <f t="shared" si="0"/>
        <v>4436</v>
      </c>
      <c r="N17" s="16">
        <v>0</v>
      </c>
      <c r="O17" s="62">
        <f t="shared" si="1"/>
        <v>0</v>
      </c>
      <c r="P17" s="42">
        <f t="shared" si="2"/>
        <v>19</v>
      </c>
      <c r="Q17" s="43">
        <f t="shared" si="3"/>
        <v>5</v>
      </c>
      <c r="R17" s="7"/>
      <c r="S17" s="6"/>
      <c r="T17" s="17">
        <v>5</v>
      </c>
      <c r="U17" s="17"/>
      <c r="V17" s="18"/>
      <c r="W17" s="19"/>
      <c r="X17" s="17"/>
      <c r="Y17" s="20"/>
      <c r="Z17" s="20"/>
      <c r="AA17" s="21"/>
      <c r="AB17" s="8">
        <f t="shared" si="4"/>
        <v>0.99909909909909911</v>
      </c>
      <c r="AC17" s="9">
        <f t="shared" si="5"/>
        <v>0.79166666666666663</v>
      </c>
      <c r="AD17" s="10">
        <f t="shared" si="6"/>
        <v>0.79095345345345347</v>
      </c>
      <c r="AE17" s="39">
        <f t="shared" si="7"/>
        <v>0.6493690640031371</v>
      </c>
      <c r="AF17" s="94">
        <f t="shared" ref="AF17" si="10">A17</f>
        <v>12</v>
      </c>
    </row>
    <row r="18" spans="1:32" ht="27" customHeight="1">
      <c r="A18" s="110">
        <v>13</v>
      </c>
      <c r="B18" s="11" t="s">
        <v>58</v>
      </c>
      <c r="C18" s="37" t="s">
        <v>228</v>
      </c>
      <c r="D18" s="55" t="s">
        <v>831</v>
      </c>
      <c r="E18" s="57" t="s">
        <v>832</v>
      </c>
      <c r="F18" s="33" t="s">
        <v>833</v>
      </c>
      <c r="G18" s="36">
        <v>1</v>
      </c>
      <c r="H18" s="38">
        <v>25</v>
      </c>
      <c r="I18" s="7">
        <v>3000</v>
      </c>
      <c r="J18" s="5">
        <v>880</v>
      </c>
      <c r="K18" s="15">
        <f>L18+995+2944</f>
        <v>4812</v>
      </c>
      <c r="L18" s="15">
        <v>873</v>
      </c>
      <c r="M18" s="16">
        <f t="shared" si="0"/>
        <v>873</v>
      </c>
      <c r="N18" s="16">
        <v>0</v>
      </c>
      <c r="O18" s="62">
        <f t="shared" si="1"/>
        <v>0</v>
      </c>
      <c r="P18" s="42">
        <f t="shared" si="2"/>
        <v>5</v>
      </c>
      <c r="Q18" s="43">
        <f t="shared" si="3"/>
        <v>19</v>
      </c>
      <c r="R18" s="7"/>
      <c r="S18" s="6"/>
      <c r="T18" s="17"/>
      <c r="U18" s="17"/>
      <c r="V18" s="18"/>
      <c r="W18" s="19">
        <v>19</v>
      </c>
      <c r="X18" s="17"/>
      <c r="Y18" s="20"/>
      <c r="Z18" s="20"/>
      <c r="AA18" s="21"/>
      <c r="AB18" s="8">
        <f t="shared" si="4"/>
        <v>0.99204545454545456</v>
      </c>
      <c r="AC18" s="9">
        <f t="shared" si="5"/>
        <v>0.20833333333333334</v>
      </c>
      <c r="AD18" s="10">
        <f t="shared" si="6"/>
        <v>0.20667613636363638</v>
      </c>
      <c r="AE18" s="39">
        <f t="shared" si="7"/>
        <v>0.6493690640031371</v>
      </c>
      <c r="AF18" s="94">
        <f t="shared" si="8"/>
        <v>13</v>
      </c>
    </row>
    <row r="19" spans="1:32" ht="27" customHeight="1">
      <c r="A19" s="110">
        <v>13</v>
      </c>
      <c r="B19" s="11" t="s">
        <v>58</v>
      </c>
      <c r="C19" s="37" t="s">
        <v>137</v>
      </c>
      <c r="D19" s="55" t="s">
        <v>904</v>
      </c>
      <c r="E19" s="57" t="s">
        <v>905</v>
      </c>
      <c r="F19" s="33" t="s">
        <v>833</v>
      </c>
      <c r="G19" s="36">
        <v>1</v>
      </c>
      <c r="H19" s="38">
        <v>25</v>
      </c>
      <c r="I19" s="7">
        <v>50000</v>
      </c>
      <c r="J19" s="5">
        <v>4460</v>
      </c>
      <c r="K19" s="15">
        <f>L19</f>
        <v>4454</v>
      </c>
      <c r="L19" s="15">
        <f>1064+3390</f>
        <v>4454</v>
      </c>
      <c r="M19" s="16">
        <f t="shared" ref="M19" si="11">L19-N19</f>
        <v>4454</v>
      </c>
      <c r="N19" s="16">
        <v>0</v>
      </c>
      <c r="O19" s="62">
        <f t="shared" ref="O19" si="12">IF(L19=0,"0",N19/L19)</f>
        <v>0</v>
      </c>
      <c r="P19" s="42">
        <f t="shared" ref="P19" si="13">IF(L19=0,"0",(24-Q19))</f>
        <v>18</v>
      </c>
      <c r="Q19" s="43">
        <f t="shared" ref="Q19" si="14">SUM(R19:AA19)</f>
        <v>6</v>
      </c>
      <c r="R19" s="7"/>
      <c r="S19" s="6"/>
      <c r="T19" s="17">
        <v>6</v>
      </c>
      <c r="U19" s="17"/>
      <c r="V19" s="18"/>
      <c r="W19" s="19"/>
      <c r="X19" s="17"/>
      <c r="Y19" s="20"/>
      <c r="Z19" s="20"/>
      <c r="AA19" s="21"/>
      <c r="AB19" s="8">
        <f t="shared" ref="AB19" si="15">IF(J19=0,"0",(L19/J19))</f>
        <v>0.99865470852017935</v>
      </c>
      <c r="AC19" s="9">
        <f t="shared" ref="AC19" si="16">IF(P19=0,"0",(P19/24))</f>
        <v>0.75</v>
      </c>
      <c r="AD19" s="10">
        <f t="shared" ref="AD19" si="17">AC19*AB19*(1-O19)</f>
        <v>0.74899103139013445</v>
      </c>
      <c r="AE19" s="39">
        <f t="shared" si="7"/>
        <v>0.6493690640031371</v>
      </c>
      <c r="AF19" s="94">
        <f t="shared" ref="AF19" si="18">A19</f>
        <v>13</v>
      </c>
    </row>
    <row r="20" spans="1:32" ht="27" customHeight="1">
      <c r="A20" s="110">
        <v>14</v>
      </c>
      <c r="B20" s="11" t="s">
        <v>58</v>
      </c>
      <c r="C20" s="11" t="s">
        <v>118</v>
      </c>
      <c r="D20" s="55" t="s">
        <v>57</v>
      </c>
      <c r="E20" s="57" t="s">
        <v>160</v>
      </c>
      <c r="F20" s="12" t="s">
        <v>145</v>
      </c>
      <c r="G20" s="12">
        <v>1</v>
      </c>
      <c r="H20" s="13">
        <v>25</v>
      </c>
      <c r="I20" s="7">
        <v>52000</v>
      </c>
      <c r="J20" s="14">
        <v>5410</v>
      </c>
      <c r="K20" s="15">
        <f>L20+4424</f>
        <v>9826</v>
      </c>
      <c r="L20" s="15">
        <f>2229+3173</f>
        <v>5402</v>
      </c>
      <c r="M20" s="16">
        <f t="shared" si="0"/>
        <v>5402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0.99852125693160809</v>
      </c>
      <c r="AC20" s="9">
        <f t="shared" si="5"/>
        <v>1</v>
      </c>
      <c r="AD20" s="10">
        <f t="shared" si="6"/>
        <v>0.99852125693160809</v>
      </c>
      <c r="AE20" s="39">
        <f t="shared" si="7"/>
        <v>0.6493690640031371</v>
      </c>
      <c r="AF20" s="94">
        <f t="shared" si="8"/>
        <v>14</v>
      </c>
    </row>
    <row r="21" spans="1:32" ht="27" customHeight="1" thickBot="1">
      <c r="A21" s="110">
        <v>15</v>
      </c>
      <c r="B21" s="11" t="s">
        <v>58</v>
      </c>
      <c r="C21" s="11" t="s">
        <v>115</v>
      </c>
      <c r="D21" s="55"/>
      <c r="E21" s="56" t="s">
        <v>906</v>
      </c>
      <c r="F21" s="12" t="s">
        <v>116</v>
      </c>
      <c r="G21" s="12">
        <v>4</v>
      </c>
      <c r="H21" s="38">
        <v>15</v>
      </c>
      <c r="I21" s="7">
        <v>100000</v>
      </c>
      <c r="J21" s="14">
        <v>60470</v>
      </c>
      <c r="K21" s="15">
        <f>L21</f>
        <v>60468</v>
      </c>
      <c r="L21" s="15">
        <f>10054*4+5063*4</f>
        <v>60468</v>
      </c>
      <c r="M21" s="16">
        <f t="shared" si="0"/>
        <v>60468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0.99996692574830492</v>
      </c>
      <c r="AC21" s="9">
        <f t="shared" si="5"/>
        <v>1</v>
      </c>
      <c r="AD21" s="10">
        <f t="shared" si="6"/>
        <v>0.99996692574830492</v>
      </c>
      <c r="AE21" s="39">
        <f t="shared" si="7"/>
        <v>0.6493690640031371</v>
      </c>
      <c r="AF21" s="94">
        <f t="shared" si="8"/>
        <v>15</v>
      </c>
    </row>
    <row r="22" spans="1:32" ht="31.5" customHeight="1" thickBot="1">
      <c r="A22" s="465" t="s">
        <v>34</v>
      </c>
      <c r="B22" s="466"/>
      <c r="C22" s="466"/>
      <c r="D22" s="466"/>
      <c r="E22" s="466"/>
      <c r="F22" s="466"/>
      <c r="G22" s="466"/>
      <c r="H22" s="467"/>
      <c r="I22" s="25">
        <f t="shared" ref="I22:N22" si="19">SUM(I6:I21)</f>
        <v>674000</v>
      </c>
      <c r="J22" s="22">
        <f t="shared" si="19"/>
        <v>218662</v>
      </c>
      <c r="K22" s="23">
        <f t="shared" si="19"/>
        <v>578471</v>
      </c>
      <c r="L22" s="24">
        <f t="shared" si="19"/>
        <v>211281</v>
      </c>
      <c r="M22" s="23">
        <f t="shared" si="19"/>
        <v>211281</v>
      </c>
      <c r="N22" s="24">
        <f t="shared" si="19"/>
        <v>0</v>
      </c>
      <c r="O22" s="44">
        <f t="shared" si="1"/>
        <v>0</v>
      </c>
      <c r="P22" s="45">
        <f t="shared" ref="P22:AA22" si="20">SUM(P6:P21)</f>
        <v>234</v>
      </c>
      <c r="Q22" s="46">
        <f t="shared" si="20"/>
        <v>150</v>
      </c>
      <c r="R22" s="26">
        <f t="shared" si="20"/>
        <v>0</v>
      </c>
      <c r="S22" s="27">
        <f t="shared" si="20"/>
        <v>31</v>
      </c>
      <c r="T22" s="27">
        <f t="shared" si="20"/>
        <v>13</v>
      </c>
      <c r="U22" s="27">
        <f t="shared" si="20"/>
        <v>0</v>
      </c>
      <c r="V22" s="28">
        <f t="shared" si="20"/>
        <v>0</v>
      </c>
      <c r="W22" s="29">
        <f t="shared" si="20"/>
        <v>58</v>
      </c>
      <c r="X22" s="30">
        <f t="shared" si="20"/>
        <v>0</v>
      </c>
      <c r="Y22" s="30">
        <f t="shared" si="20"/>
        <v>0</v>
      </c>
      <c r="Z22" s="30">
        <f t="shared" si="20"/>
        <v>0</v>
      </c>
      <c r="AA22" s="30">
        <f t="shared" si="20"/>
        <v>48</v>
      </c>
      <c r="AB22" s="31">
        <f>SUM(AB6:AB21)/15</f>
        <v>0.79885119032237095</v>
      </c>
      <c r="AC22" s="4">
        <f>SUM(AC6:AC21)/15</f>
        <v>0.65</v>
      </c>
      <c r="AD22" s="4">
        <f>SUM(AD6:AD21)/15</f>
        <v>0.6493690640031371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68" t="s">
        <v>45</v>
      </c>
      <c r="B49" s="468"/>
      <c r="C49" s="468"/>
      <c r="D49" s="468"/>
      <c r="E49" s="468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69" t="s">
        <v>907</v>
      </c>
      <c r="B50" s="470"/>
      <c r="C50" s="470"/>
      <c r="D50" s="470"/>
      <c r="E50" s="470"/>
      <c r="F50" s="470"/>
      <c r="G50" s="470"/>
      <c r="H50" s="470"/>
      <c r="I50" s="470"/>
      <c r="J50" s="470"/>
      <c r="K50" s="470"/>
      <c r="L50" s="470"/>
      <c r="M50" s="471"/>
      <c r="N50" s="472" t="s">
        <v>921</v>
      </c>
      <c r="O50" s="473"/>
      <c r="P50" s="473"/>
      <c r="Q50" s="473"/>
      <c r="R50" s="473"/>
      <c r="S50" s="473"/>
      <c r="T50" s="473"/>
      <c r="U50" s="473"/>
      <c r="V50" s="473"/>
      <c r="W50" s="473"/>
      <c r="X50" s="473"/>
      <c r="Y50" s="473"/>
      <c r="Z50" s="473"/>
      <c r="AA50" s="473"/>
      <c r="AB50" s="473"/>
      <c r="AC50" s="473"/>
      <c r="AD50" s="474"/>
    </row>
    <row r="51" spans="1:32" ht="27" customHeight="1">
      <c r="A51" s="475" t="s">
        <v>2</v>
      </c>
      <c r="B51" s="476"/>
      <c r="C51" s="319" t="s">
        <v>46</v>
      </c>
      <c r="D51" s="319" t="s">
        <v>47</v>
      </c>
      <c r="E51" s="319" t="s">
        <v>109</v>
      </c>
      <c r="F51" s="476" t="s">
        <v>108</v>
      </c>
      <c r="G51" s="476"/>
      <c r="H51" s="476"/>
      <c r="I51" s="476"/>
      <c r="J51" s="476"/>
      <c r="K51" s="476"/>
      <c r="L51" s="476"/>
      <c r="M51" s="477"/>
      <c r="N51" s="73" t="s">
        <v>113</v>
      </c>
      <c r="O51" s="319" t="s">
        <v>46</v>
      </c>
      <c r="P51" s="478" t="s">
        <v>47</v>
      </c>
      <c r="Q51" s="479"/>
      <c r="R51" s="478" t="s">
        <v>38</v>
      </c>
      <c r="S51" s="480"/>
      <c r="T51" s="480"/>
      <c r="U51" s="479"/>
      <c r="V51" s="478" t="s">
        <v>48</v>
      </c>
      <c r="W51" s="480"/>
      <c r="X51" s="480"/>
      <c r="Y51" s="480"/>
      <c r="Z51" s="480"/>
      <c r="AA51" s="480"/>
      <c r="AB51" s="480"/>
      <c r="AC51" s="480"/>
      <c r="AD51" s="481"/>
    </row>
    <row r="52" spans="1:32" ht="27" customHeight="1">
      <c r="A52" s="492" t="s">
        <v>137</v>
      </c>
      <c r="B52" s="493"/>
      <c r="C52" s="320" t="s">
        <v>725</v>
      </c>
      <c r="D52" s="321" t="s">
        <v>164</v>
      </c>
      <c r="E52" s="320" t="s">
        <v>165</v>
      </c>
      <c r="F52" s="494" t="s">
        <v>908</v>
      </c>
      <c r="G52" s="494"/>
      <c r="H52" s="494"/>
      <c r="I52" s="494"/>
      <c r="J52" s="494"/>
      <c r="K52" s="494"/>
      <c r="L52" s="494"/>
      <c r="M52" s="495"/>
      <c r="N52" s="325" t="s">
        <v>137</v>
      </c>
      <c r="O52" s="74" t="s">
        <v>472</v>
      </c>
      <c r="P52" s="496" t="s">
        <v>922</v>
      </c>
      <c r="Q52" s="497"/>
      <c r="R52" s="498" t="s">
        <v>923</v>
      </c>
      <c r="S52" s="498"/>
      <c r="T52" s="498"/>
      <c r="U52" s="498"/>
      <c r="V52" s="494" t="s">
        <v>875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909</v>
      </c>
      <c r="B53" s="493"/>
      <c r="C53" s="320" t="s">
        <v>910</v>
      </c>
      <c r="D53" s="321" t="s">
        <v>898</v>
      </c>
      <c r="E53" s="320" t="s">
        <v>899</v>
      </c>
      <c r="F53" s="494" t="s">
        <v>372</v>
      </c>
      <c r="G53" s="494"/>
      <c r="H53" s="494"/>
      <c r="I53" s="494"/>
      <c r="J53" s="494"/>
      <c r="K53" s="494"/>
      <c r="L53" s="494"/>
      <c r="M53" s="495"/>
      <c r="N53" s="325" t="s">
        <v>839</v>
      </c>
      <c r="O53" s="74" t="s">
        <v>170</v>
      </c>
      <c r="P53" s="496" t="s">
        <v>829</v>
      </c>
      <c r="Q53" s="497"/>
      <c r="R53" s="498" t="s">
        <v>830</v>
      </c>
      <c r="S53" s="498"/>
      <c r="T53" s="498"/>
      <c r="U53" s="498"/>
      <c r="V53" s="494" t="s">
        <v>144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911</v>
      </c>
      <c r="B54" s="493"/>
      <c r="C54" s="320" t="s">
        <v>853</v>
      </c>
      <c r="D54" s="321" t="s">
        <v>912</v>
      </c>
      <c r="E54" s="320" t="s">
        <v>905</v>
      </c>
      <c r="F54" s="494" t="s">
        <v>875</v>
      </c>
      <c r="G54" s="494"/>
      <c r="H54" s="494"/>
      <c r="I54" s="494"/>
      <c r="J54" s="494"/>
      <c r="K54" s="494"/>
      <c r="L54" s="494"/>
      <c r="M54" s="495"/>
      <c r="N54" s="325" t="s">
        <v>925</v>
      </c>
      <c r="O54" s="74" t="s">
        <v>926</v>
      </c>
      <c r="P54" s="496" t="s">
        <v>927</v>
      </c>
      <c r="Q54" s="497"/>
      <c r="R54" s="498" t="s">
        <v>924</v>
      </c>
      <c r="S54" s="498"/>
      <c r="T54" s="498"/>
      <c r="U54" s="498"/>
      <c r="V54" s="494" t="s">
        <v>885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913</v>
      </c>
      <c r="B55" s="493"/>
      <c r="C55" s="320" t="s">
        <v>914</v>
      </c>
      <c r="D55" s="321" t="s">
        <v>915</v>
      </c>
      <c r="E55" s="320" t="s">
        <v>902</v>
      </c>
      <c r="F55" s="494" t="s">
        <v>875</v>
      </c>
      <c r="G55" s="494"/>
      <c r="H55" s="494"/>
      <c r="I55" s="494"/>
      <c r="J55" s="494"/>
      <c r="K55" s="494"/>
      <c r="L55" s="494"/>
      <c r="M55" s="495"/>
      <c r="N55" s="325" t="s">
        <v>133</v>
      </c>
      <c r="O55" s="74" t="s">
        <v>929</v>
      </c>
      <c r="P55" s="496" t="s">
        <v>884</v>
      </c>
      <c r="Q55" s="497"/>
      <c r="R55" s="498" t="s">
        <v>928</v>
      </c>
      <c r="S55" s="498"/>
      <c r="T55" s="498"/>
      <c r="U55" s="498"/>
      <c r="V55" s="494" t="s">
        <v>930</v>
      </c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916</v>
      </c>
      <c r="B56" s="493"/>
      <c r="C56" s="320" t="s">
        <v>917</v>
      </c>
      <c r="D56" s="321" t="s">
        <v>918</v>
      </c>
      <c r="E56" s="320"/>
      <c r="F56" s="494" t="s">
        <v>875</v>
      </c>
      <c r="G56" s="494"/>
      <c r="H56" s="494"/>
      <c r="I56" s="494"/>
      <c r="J56" s="494"/>
      <c r="K56" s="494"/>
      <c r="L56" s="494"/>
      <c r="M56" s="495"/>
      <c r="N56" s="325"/>
      <c r="O56" s="74"/>
      <c r="P56" s="496"/>
      <c r="Q56" s="497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 t="s">
        <v>133</v>
      </c>
      <c r="B57" s="493"/>
      <c r="C57" s="320" t="s">
        <v>919</v>
      </c>
      <c r="D57" s="321" t="s">
        <v>900</v>
      </c>
      <c r="E57" s="320" t="s">
        <v>901</v>
      </c>
      <c r="F57" s="494" t="s">
        <v>920</v>
      </c>
      <c r="G57" s="494"/>
      <c r="H57" s="494"/>
      <c r="I57" s="494"/>
      <c r="J57" s="494"/>
      <c r="K57" s="494"/>
      <c r="L57" s="494"/>
      <c r="M57" s="495"/>
      <c r="N57" s="325"/>
      <c r="O57" s="74"/>
      <c r="P57" s="498"/>
      <c r="Q57" s="498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/>
      <c r="B58" s="493"/>
      <c r="C58" s="320"/>
      <c r="D58" s="321"/>
      <c r="E58" s="320"/>
      <c r="F58" s="494"/>
      <c r="G58" s="494"/>
      <c r="H58" s="494"/>
      <c r="I58" s="494"/>
      <c r="J58" s="494"/>
      <c r="K58" s="494"/>
      <c r="L58" s="494"/>
      <c r="M58" s="495"/>
      <c r="N58" s="325"/>
      <c r="O58" s="74"/>
      <c r="P58" s="496"/>
      <c r="Q58" s="497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492"/>
      <c r="B59" s="493"/>
      <c r="C59" s="320"/>
      <c r="D59" s="321"/>
      <c r="E59" s="320"/>
      <c r="F59" s="494"/>
      <c r="G59" s="494"/>
      <c r="H59" s="494"/>
      <c r="I59" s="494"/>
      <c r="J59" s="494"/>
      <c r="K59" s="494"/>
      <c r="L59" s="494"/>
      <c r="M59" s="495"/>
      <c r="N59" s="325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</row>
    <row r="60" spans="1:32" ht="27" customHeight="1">
      <c r="A60" s="508"/>
      <c r="B60" s="498"/>
      <c r="C60" s="321"/>
      <c r="D60" s="321"/>
      <c r="E60" s="321"/>
      <c r="F60" s="494"/>
      <c r="G60" s="494"/>
      <c r="H60" s="494"/>
      <c r="I60" s="494"/>
      <c r="J60" s="494"/>
      <c r="K60" s="494"/>
      <c r="L60" s="494"/>
      <c r="M60" s="495"/>
      <c r="N60" s="325"/>
      <c r="O60" s="74"/>
      <c r="P60" s="498"/>
      <c r="Q60" s="498"/>
      <c r="R60" s="498"/>
      <c r="S60" s="498"/>
      <c r="T60" s="498"/>
      <c r="U60" s="498"/>
      <c r="V60" s="494"/>
      <c r="W60" s="494"/>
      <c r="X60" s="494"/>
      <c r="Y60" s="494"/>
      <c r="Z60" s="494"/>
      <c r="AA60" s="494"/>
      <c r="AB60" s="494"/>
      <c r="AC60" s="494"/>
      <c r="AD60" s="495"/>
      <c r="AF60" s="94">
        <f>8*3000</f>
        <v>24000</v>
      </c>
    </row>
    <row r="61" spans="1:32" ht="27" customHeight="1" thickBot="1">
      <c r="A61" s="499"/>
      <c r="B61" s="500"/>
      <c r="C61" s="323"/>
      <c r="D61" s="323"/>
      <c r="E61" s="323"/>
      <c r="F61" s="501"/>
      <c r="G61" s="501"/>
      <c r="H61" s="501"/>
      <c r="I61" s="501"/>
      <c r="J61" s="501"/>
      <c r="K61" s="501"/>
      <c r="L61" s="501"/>
      <c r="M61" s="502"/>
      <c r="N61" s="322"/>
      <c r="O61" s="121"/>
      <c r="P61" s="500"/>
      <c r="Q61" s="500"/>
      <c r="R61" s="500"/>
      <c r="S61" s="500"/>
      <c r="T61" s="500"/>
      <c r="U61" s="500"/>
      <c r="V61" s="501"/>
      <c r="W61" s="501"/>
      <c r="X61" s="501"/>
      <c r="Y61" s="501"/>
      <c r="Z61" s="501"/>
      <c r="AA61" s="501"/>
      <c r="AB61" s="501"/>
      <c r="AC61" s="501"/>
      <c r="AD61" s="502"/>
      <c r="AF61" s="94">
        <f>16*3000</f>
        <v>48000</v>
      </c>
    </row>
    <row r="62" spans="1:32" ht="27.75" thickBot="1">
      <c r="A62" s="503" t="s">
        <v>931</v>
      </c>
      <c r="B62" s="503"/>
      <c r="C62" s="503"/>
      <c r="D62" s="503"/>
      <c r="E62" s="503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504" t="s">
        <v>114</v>
      </c>
      <c r="B63" s="505"/>
      <c r="C63" s="324" t="s">
        <v>2</v>
      </c>
      <c r="D63" s="324" t="s">
        <v>37</v>
      </c>
      <c r="E63" s="324" t="s">
        <v>3</v>
      </c>
      <c r="F63" s="505" t="s">
        <v>111</v>
      </c>
      <c r="G63" s="505"/>
      <c r="H63" s="505"/>
      <c r="I63" s="505"/>
      <c r="J63" s="505"/>
      <c r="K63" s="505" t="s">
        <v>39</v>
      </c>
      <c r="L63" s="505"/>
      <c r="M63" s="324" t="s">
        <v>40</v>
      </c>
      <c r="N63" s="505" t="s">
        <v>41</v>
      </c>
      <c r="O63" s="505"/>
      <c r="P63" s="506" t="s">
        <v>42</v>
      </c>
      <c r="Q63" s="507"/>
      <c r="R63" s="506" t="s">
        <v>43</v>
      </c>
      <c r="S63" s="509"/>
      <c r="T63" s="509"/>
      <c r="U63" s="509"/>
      <c r="V63" s="509"/>
      <c r="W63" s="509"/>
      <c r="X63" s="509"/>
      <c r="Y63" s="509"/>
      <c r="Z63" s="509"/>
      <c r="AA63" s="507"/>
      <c r="AB63" s="505" t="s">
        <v>44</v>
      </c>
      <c r="AC63" s="505"/>
      <c r="AD63" s="510"/>
      <c r="AF63" s="94">
        <f>SUM(AF60:AF62)</f>
        <v>96000</v>
      </c>
    </row>
    <row r="64" spans="1:32" ht="25.5" customHeight="1">
      <c r="A64" s="511">
        <v>1</v>
      </c>
      <c r="B64" s="512"/>
      <c r="C64" s="124" t="s">
        <v>932</v>
      </c>
      <c r="D64" s="328"/>
      <c r="E64" s="326" t="s">
        <v>453</v>
      </c>
      <c r="F64" s="513">
        <v>3008002</v>
      </c>
      <c r="G64" s="514"/>
      <c r="H64" s="514"/>
      <c r="I64" s="514"/>
      <c r="J64" s="514"/>
      <c r="K64" s="514" t="s">
        <v>933</v>
      </c>
      <c r="L64" s="514"/>
      <c r="M64" s="54" t="s">
        <v>934</v>
      </c>
      <c r="N64" s="514">
        <v>11</v>
      </c>
      <c r="O64" s="514"/>
      <c r="P64" s="515">
        <v>50</v>
      </c>
      <c r="Q64" s="515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2</v>
      </c>
      <c r="B65" s="512"/>
      <c r="C65" s="124" t="s">
        <v>117</v>
      </c>
      <c r="D65" s="328"/>
      <c r="E65" s="326" t="s">
        <v>935</v>
      </c>
      <c r="F65" s="513" t="s">
        <v>936</v>
      </c>
      <c r="G65" s="514"/>
      <c r="H65" s="514"/>
      <c r="I65" s="514"/>
      <c r="J65" s="514"/>
      <c r="K65" s="514" t="s">
        <v>937</v>
      </c>
      <c r="L65" s="514"/>
      <c r="M65" s="54" t="s">
        <v>938</v>
      </c>
      <c r="N65" s="514">
        <v>8</v>
      </c>
      <c r="O65" s="514"/>
      <c r="P65" s="515">
        <v>50</v>
      </c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3</v>
      </c>
      <c r="B66" s="512"/>
      <c r="C66" s="124"/>
      <c r="D66" s="328"/>
      <c r="E66" s="326"/>
      <c r="F66" s="513"/>
      <c r="G66" s="514"/>
      <c r="H66" s="514"/>
      <c r="I66" s="514"/>
      <c r="J66" s="514"/>
      <c r="K66" s="514"/>
      <c r="L66" s="514"/>
      <c r="M66" s="54"/>
      <c r="N66" s="514"/>
      <c r="O66" s="514"/>
      <c r="P66" s="515"/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4</v>
      </c>
      <c r="B67" s="512"/>
      <c r="C67" s="124"/>
      <c r="D67" s="328"/>
      <c r="E67" s="326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5</v>
      </c>
      <c r="B68" s="512"/>
      <c r="C68" s="124"/>
      <c r="D68" s="328"/>
      <c r="E68" s="326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6</v>
      </c>
      <c r="B69" s="512"/>
      <c r="C69" s="124"/>
      <c r="D69" s="328"/>
      <c r="E69" s="326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7</v>
      </c>
      <c r="B70" s="512"/>
      <c r="C70" s="124"/>
      <c r="D70" s="328"/>
      <c r="E70" s="326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5.5" customHeight="1">
      <c r="A71" s="511">
        <v>8</v>
      </c>
      <c r="B71" s="512"/>
      <c r="C71" s="124"/>
      <c r="D71" s="328"/>
      <c r="E71" s="326"/>
      <c r="F71" s="513"/>
      <c r="G71" s="514"/>
      <c r="H71" s="514"/>
      <c r="I71" s="514"/>
      <c r="J71" s="514"/>
      <c r="K71" s="514"/>
      <c r="L71" s="514"/>
      <c r="M71" s="54"/>
      <c r="N71" s="514"/>
      <c r="O71" s="514"/>
      <c r="P71" s="515"/>
      <c r="Q71" s="515"/>
      <c r="R71" s="494"/>
      <c r="S71" s="494"/>
      <c r="T71" s="494"/>
      <c r="U71" s="494"/>
      <c r="V71" s="494"/>
      <c r="W71" s="494"/>
      <c r="X71" s="494"/>
      <c r="Y71" s="494"/>
      <c r="Z71" s="494"/>
      <c r="AA71" s="494"/>
      <c r="AB71" s="514"/>
      <c r="AC71" s="514"/>
      <c r="AD71" s="516"/>
      <c r="AF71" s="53"/>
    </row>
    <row r="72" spans="1:32" ht="26.25" customHeight="1" thickBot="1">
      <c r="A72" s="517" t="s">
        <v>939</v>
      </c>
      <c r="B72" s="517"/>
      <c r="C72" s="517"/>
      <c r="D72" s="517"/>
      <c r="E72" s="517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518" t="s">
        <v>114</v>
      </c>
      <c r="B73" s="519"/>
      <c r="C73" s="327" t="s">
        <v>2</v>
      </c>
      <c r="D73" s="327" t="s">
        <v>37</v>
      </c>
      <c r="E73" s="327" t="s">
        <v>3</v>
      </c>
      <c r="F73" s="519" t="s">
        <v>38</v>
      </c>
      <c r="G73" s="519"/>
      <c r="H73" s="519"/>
      <c r="I73" s="519"/>
      <c r="J73" s="519"/>
      <c r="K73" s="520" t="s">
        <v>59</v>
      </c>
      <c r="L73" s="521"/>
      <c r="M73" s="521"/>
      <c r="N73" s="521"/>
      <c r="O73" s="521"/>
      <c r="P73" s="521"/>
      <c r="Q73" s="521"/>
      <c r="R73" s="521"/>
      <c r="S73" s="522"/>
      <c r="T73" s="519" t="s">
        <v>49</v>
      </c>
      <c r="U73" s="519"/>
      <c r="V73" s="520" t="s">
        <v>50</v>
      </c>
      <c r="W73" s="522"/>
      <c r="X73" s="521" t="s">
        <v>51</v>
      </c>
      <c r="Y73" s="521"/>
      <c r="Z73" s="521"/>
      <c r="AA73" s="521"/>
      <c r="AB73" s="521"/>
      <c r="AC73" s="521"/>
      <c r="AD73" s="523"/>
      <c r="AF73" s="53"/>
    </row>
    <row r="74" spans="1:32" ht="33.75" customHeight="1">
      <c r="A74" s="532">
        <v>1</v>
      </c>
      <c r="B74" s="533"/>
      <c r="C74" s="329" t="s">
        <v>117</v>
      </c>
      <c r="D74" s="329"/>
      <c r="E74" s="71" t="s">
        <v>123</v>
      </c>
      <c r="F74" s="534" t="s">
        <v>124</v>
      </c>
      <c r="G74" s="535"/>
      <c r="H74" s="535"/>
      <c r="I74" s="535"/>
      <c r="J74" s="536"/>
      <c r="K74" s="537" t="s">
        <v>119</v>
      </c>
      <c r="L74" s="538"/>
      <c r="M74" s="538"/>
      <c r="N74" s="538"/>
      <c r="O74" s="538"/>
      <c r="P74" s="538"/>
      <c r="Q74" s="538"/>
      <c r="R74" s="538"/>
      <c r="S74" s="539"/>
      <c r="T74" s="540">
        <v>42901</v>
      </c>
      <c r="U74" s="541"/>
      <c r="V74" s="542"/>
      <c r="W74" s="542"/>
      <c r="X74" s="543"/>
      <c r="Y74" s="543"/>
      <c r="Z74" s="543"/>
      <c r="AA74" s="543"/>
      <c r="AB74" s="543"/>
      <c r="AC74" s="543"/>
      <c r="AD74" s="544"/>
      <c r="AF74" s="53"/>
    </row>
    <row r="75" spans="1:32" ht="30" customHeight="1">
      <c r="A75" s="524">
        <f>A74+1</f>
        <v>2</v>
      </c>
      <c r="B75" s="525"/>
      <c r="C75" s="328" t="s">
        <v>117</v>
      </c>
      <c r="D75" s="328"/>
      <c r="E75" s="35" t="s">
        <v>120</v>
      </c>
      <c r="F75" s="525" t="s">
        <v>121</v>
      </c>
      <c r="G75" s="525"/>
      <c r="H75" s="525"/>
      <c r="I75" s="525"/>
      <c r="J75" s="525"/>
      <c r="K75" s="526" t="s">
        <v>122</v>
      </c>
      <c r="L75" s="527"/>
      <c r="M75" s="527"/>
      <c r="N75" s="527"/>
      <c r="O75" s="527"/>
      <c r="P75" s="527"/>
      <c r="Q75" s="527"/>
      <c r="R75" s="527"/>
      <c r="S75" s="528"/>
      <c r="T75" s="529">
        <v>42867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ref="A76:A82" si="21">A75+1</f>
        <v>3</v>
      </c>
      <c r="B76" s="525"/>
      <c r="C76" s="328" t="s">
        <v>133</v>
      </c>
      <c r="D76" s="328"/>
      <c r="E76" s="35" t="s">
        <v>131</v>
      </c>
      <c r="F76" s="525" t="s">
        <v>134</v>
      </c>
      <c r="G76" s="525"/>
      <c r="H76" s="525"/>
      <c r="I76" s="525"/>
      <c r="J76" s="525"/>
      <c r="K76" s="526" t="s">
        <v>119</v>
      </c>
      <c r="L76" s="527"/>
      <c r="M76" s="527"/>
      <c r="N76" s="527"/>
      <c r="O76" s="527"/>
      <c r="P76" s="527"/>
      <c r="Q76" s="527"/>
      <c r="R76" s="527"/>
      <c r="S76" s="528"/>
      <c r="T76" s="529">
        <v>42937</v>
      </c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21"/>
        <v>4</v>
      </c>
      <c r="B77" s="525"/>
      <c r="C77" s="328"/>
      <c r="D77" s="328"/>
      <c r="E77" s="35"/>
      <c r="F77" s="525"/>
      <c r="G77" s="525"/>
      <c r="H77" s="525"/>
      <c r="I77" s="525"/>
      <c r="J77" s="525"/>
      <c r="K77" s="526"/>
      <c r="L77" s="527"/>
      <c r="M77" s="527"/>
      <c r="N77" s="527"/>
      <c r="O77" s="527"/>
      <c r="P77" s="527"/>
      <c r="Q77" s="527"/>
      <c r="R77" s="527"/>
      <c r="S77" s="528"/>
      <c r="T77" s="529"/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21"/>
        <v>5</v>
      </c>
      <c r="B78" s="525"/>
      <c r="C78" s="328"/>
      <c r="D78" s="328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21"/>
        <v>6</v>
      </c>
      <c r="B79" s="525"/>
      <c r="C79" s="328"/>
      <c r="D79" s="328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21"/>
        <v>7</v>
      </c>
      <c r="B80" s="525"/>
      <c r="C80" s="328"/>
      <c r="D80" s="328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21"/>
        <v>8</v>
      </c>
      <c r="B81" s="525"/>
      <c r="C81" s="328"/>
      <c r="D81" s="328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0" customHeight="1">
      <c r="A82" s="524">
        <f t="shared" si="21"/>
        <v>9</v>
      </c>
      <c r="B82" s="525"/>
      <c r="C82" s="328"/>
      <c r="D82" s="328"/>
      <c r="E82" s="35"/>
      <c r="F82" s="525"/>
      <c r="G82" s="525"/>
      <c r="H82" s="525"/>
      <c r="I82" s="525"/>
      <c r="J82" s="525"/>
      <c r="K82" s="526"/>
      <c r="L82" s="527"/>
      <c r="M82" s="527"/>
      <c r="N82" s="527"/>
      <c r="O82" s="527"/>
      <c r="P82" s="527"/>
      <c r="Q82" s="527"/>
      <c r="R82" s="527"/>
      <c r="S82" s="528"/>
      <c r="T82" s="529"/>
      <c r="U82" s="529"/>
      <c r="V82" s="529"/>
      <c r="W82" s="529"/>
      <c r="X82" s="530"/>
      <c r="Y82" s="530"/>
      <c r="Z82" s="530"/>
      <c r="AA82" s="530"/>
      <c r="AB82" s="530"/>
      <c r="AC82" s="530"/>
      <c r="AD82" s="531"/>
      <c r="AF82" s="53"/>
    </row>
    <row r="83" spans="1:32" ht="36" thickBot="1">
      <c r="A83" s="517" t="s">
        <v>940</v>
      </c>
      <c r="B83" s="517"/>
      <c r="C83" s="517"/>
      <c r="D83" s="517"/>
      <c r="E83" s="517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518" t="s">
        <v>114</v>
      </c>
      <c r="B84" s="519"/>
      <c r="C84" s="545" t="s">
        <v>52</v>
      </c>
      <c r="D84" s="545"/>
      <c r="E84" s="545" t="s">
        <v>53</v>
      </c>
      <c r="F84" s="545"/>
      <c r="G84" s="545"/>
      <c r="H84" s="545"/>
      <c r="I84" s="545"/>
      <c r="J84" s="545"/>
      <c r="K84" s="545" t="s">
        <v>54</v>
      </c>
      <c r="L84" s="545"/>
      <c r="M84" s="545"/>
      <c r="N84" s="545"/>
      <c r="O84" s="545"/>
      <c r="P84" s="545"/>
      <c r="Q84" s="545"/>
      <c r="R84" s="545"/>
      <c r="S84" s="545"/>
      <c r="T84" s="545" t="s">
        <v>55</v>
      </c>
      <c r="U84" s="545"/>
      <c r="V84" s="545" t="s">
        <v>56</v>
      </c>
      <c r="W84" s="545"/>
      <c r="X84" s="545"/>
      <c r="Y84" s="545" t="s">
        <v>51</v>
      </c>
      <c r="Z84" s="545"/>
      <c r="AA84" s="545"/>
      <c r="AB84" s="545"/>
      <c r="AC84" s="545"/>
      <c r="AD84" s="546"/>
      <c r="AF84" s="53"/>
    </row>
    <row r="85" spans="1:32" ht="30.75" customHeight="1">
      <c r="A85" s="532">
        <v>1</v>
      </c>
      <c r="B85" s="533"/>
      <c r="C85" s="547"/>
      <c r="D85" s="547"/>
      <c r="E85" s="547"/>
      <c r="F85" s="547"/>
      <c r="G85" s="547"/>
      <c r="H85" s="547"/>
      <c r="I85" s="547"/>
      <c r="J85" s="547"/>
      <c r="K85" s="547"/>
      <c r="L85" s="547"/>
      <c r="M85" s="547"/>
      <c r="N85" s="547"/>
      <c r="O85" s="547"/>
      <c r="P85" s="547"/>
      <c r="Q85" s="547"/>
      <c r="R85" s="547"/>
      <c r="S85" s="547"/>
      <c r="T85" s="547"/>
      <c r="U85" s="547"/>
      <c r="V85" s="548"/>
      <c r="W85" s="548"/>
      <c r="X85" s="548"/>
      <c r="Y85" s="549"/>
      <c r="Z85" s="549"/>
      <c r="AA85" s="549"/>
      <c r="AB85" s="549"/>
      <c r="AC85" s="549"/>
      <c r="AD85" s="550"/>
      <c r="AF85" s="53"/>
    </row>
    <row r="86" spans="1:32" ht="30.75" customHeight="1">
      <c r="A86" s="524">
        <v>2</v>
      </c>
      <c r="B86" s="525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9"/>
      <c r="U86" s="559"/>
      <c r="V86" s="560"/>
      <c r="W86" s="560"/>
      <c r="X86" s="560"/>
      <c r="Y86" s="551"/>
      <c r="Z86" s="551"/>
      <c r="AA86" s="551"/>
      <c r="AB86" s="551"/>
      <c r="AC86" s="551"/>
      <c r="AD86" s="552"/>
      <c r="AF86" s="53"/>
    </row>
    <row r="87" spans="1:32" ht="30.75" customHeight="1" thickBot="1">
      <c r="A87" s="553">
        <v>3</v>
      </c>
      <c r="B87" s="554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555"/>
      <c r="Q87" s="555"/>
      <c r="R87" s="555"/>
      <c r="S87" s="555"/>
      <c r="T87" s="555"/>
      <c r="U87" s="555"/>
      <c r="V87" s="555"/>
      <c r="W87" s="555"/>
      <c r="X87" s="555"/>
      <c r="Y87" s="556"/>
      <c r="Z87" s="556"/>
      <c r="AA87" s="556"/>
      <c r="AB87" s="556"/>
      <c r="AC87" s="556"/>
      <c r="AD87" s="557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zoomScale="72" zoomScaleNormal="72" zoomScaleSheetLayoutView="70" workbookViewId="0">
      <selection activeCell="A3" sqref="A3:G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51" t="s">
        <v>1012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6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341" t="s">
        <v>17</v>
      </c>
      <c r="L5" s="341" t="s">
        <v>18</v>
      </c>
      <c r="M5" s="341" t="s">
        <v>19</v>
      </c>
      <c r="N5" s="341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6" ht="27" customHeight="1">
      <c r="A6" s="108">
        <v>1</v>
      </c>
      <c r="B6" s="11" t="s">
        <v>58</v>
      </c>
      <c r="C6" s="37" t="s">
        <v>562</v>
      </c>
      <c r="D6" s="55" t="s">
        <v>708</v>
      </c>
      <c r="E6" s="57" t="s">
        <v>709</v>
      </c>
      <c r="F6" s="33" t="s">
        <v>710</v>
      </c>
      <c r="G6" s="12">
        <v>3</v>
      </c>
      <c r="H6" s="13">
        <v>25</v>
      </c>
      <c r="I6" s="34">
        <v>100000</v>
      </c>
      <c r="J6" s="5">
        <v>340</v>
      </c>
      <c r="K6" s="15">
        <f>L6+7182+15369+15033+14952+15045+15612+336</f>
        <v>83529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/>
      <c r="S6" s="6"/>
      <c r="T6" s="17"/>
      <c r="U6" s="17"/>
      <c r="V6" s="18"/>
      <c r="W6" s="19">
        <v>24</v>
      </c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0.44919299205502006</v>
      </c>
      <c r="AF6" s="94">
        <f t="shared" ref="AF6:AF20" si="8">A6</f>
        <v>1</v>
      </c>
    </row>
    <row r="7" spans="1:36" ht="27" customHeight="1">
      <c r="A7" s="108">
        <v>2</v>
      </c>
      <c r="B7" s="11" t="s">
        <v>58</v>
      </c>
      <c r="C7" s="37" t="s">
        <v>562</v>
      </c>
      <c r="D7" s="55" t="s">
        <v>898</v>
      </c>
      <c r="E7" s="57" t="s">
        <v>899</v>
      </c>
      <c r="F7" s="33" t="s">
        <v>766</v>
      </c>
      <c r="G7" s="12">
        <v>2</v>
      </c>
      <c r="H7" s="13">
        <v>25</v>
      </c>
      <c r="I7" s="34">
        <v>3000</v>
      </c>
      <c r="J7" s="5">
        <v>8340</v>
      </c>
      <c r="K7" s="15">
        <f>L7+8332</f>
        <v>8332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0.44919299205502006</v>
      </c>
      <c r="AF7" s="94">
        <f t="shared" si="8"/>
        <v>2</v>
      </c>
    </row>
    <row r="8" spans="1:36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50000</v>
      </c>
      <c r="J8" s="14">
        <v>1920</v>
      </c>
      <c r="K8" s="15">
        <f>L8+4093+2190+5474+6124</f>
        <v>19792</v>
      </c>
      <c r="L8" s="15">
        <v>1911</v>
      </c>
      <c r="M8" s="16">
        <f t="shared" si="0"/>
        <v>1911</v>
      </c>
      <c r="N8" s="16">
        <v>0</v>
      </c>
      <c r="O8" s="62">
        <f t="shared" si="1"/>
        <v>0</v>
      </c>
      <c r="P8" s="42">
        <f t="shared" si="2"/>
        <v>10</v>
      </c>
      <c r="Q8" s="43">
        <f t="shared" si="3"/>
        <v>14</v>
      </c>
      <c r="R8" s="7"/>
      <c r="S8" s="6">
        <v>14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0.99531250000000004</v>
      </c>
      <c r="AC8" s="9">
        <f t="shared" si="5"/>
        <v>0.41666666666666669</v>
      </c>
      <c r="AD8" s="10">
        <f t="shared" si="6"/>
        <v>0.41471354166666669</v>
      </c>
      <c r="AE8" s="39">
        <f t="shared" si="7"/>
        <v>0.44919299205502006</v>
      </c>
      <c r="AF8" s="94">
        <f>A8</f>
        <v>3</v>
      </c>
    </row>
    <row r="9" spans="1:36" ht="27" customHeight="1">
      <c r="A9" s="110">
        <v>4</v>
      </c>
      <c r="B9" s="11" t="s">
        <v>58</v>
      </c>
      <c r="C9" s="37" t="s">
        <v>118</v>
      </c>
      <c r="D9" s="55" t="s">
        <v>941</v>
      </c>
      <c r="E9" s="57" t="s">
        <v>942</v>
      </c>
      <c r="F9" s="33" t="s">
        <v>943</v>
      </c>
      <c r="G9" s="36">
        <v>1</v>
      </c>
      <c r="H9" s="38">
        <v>25</v>
      </c>
      <c r="I9" s="7">
        <v>21000</v>
      </c>
      <c r="J9" s="5">
        <v>2110</v>
      </c>
      <c r="K9" s="15">
        <f>L9+2178</f>
        <v>4284</v>
      </c>
      <c r="L9" s="15">
        <v>2106</v>
      </c>
      <c r="M9" s="16">
        <f t="shared" si="0"/>
        <v>2106</v>
      </c>
      <c r="N9" s="16">
        <v>0</v>
      </c>
      <c r="O9" s="62">
        <f t="shared" si="1"/>
        <v>0</v>
      </c>
      <c r="P9" s="42">
        <f t="shared" si="2"/>
        <v>11</v>
      </c>
      <c r="Q9" s="43">
        <f t="shared" si="3"/>
        <v>13</v>
      </c>
      <c r="R9" s="7"/>
      <c r="S9" s="6">
        <v>13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0.99810426540284358</v>
      </c>
      <c r="AC9" s="9">
        <f t="shared" si="5"/>
        <v>0.45833333333333331</v>
      </c>
      <c r="AD9" s="10">
        <f t="shared" si="6"/>
        <v>0.45746445497630328</v>
      </c>
      <c r="AE9" s="39">
        <f t="shared" si="7"/>
        <v>0.44919299205502006</v>
      </c>
      <c r="AF9" s="94">
        <f t="shared" ref="AF9:AF10" si="9">A9</f>
        <v>4</v>
      </c>
    </row>
    <row r="10" spans="1:36" ht="27" customHeight="1">
      <c r="A10" s="110">
        <v>5</v>
      </c>
      <c r="B10" s="11" t="s">
        <v>58</v>
      </c>
      <c r="C10" s="11" t="s">
        <v>133</v>
      </c>
      <c r="D10" s="55" t="s">
        <v>964</v>
      </c>
      <c r="E10" s="57" t="s">
        <v>965</v>
      </c>
      <c r="F10" s="12" t="s">
        <v>966</v>
      </c>
      <c r="G10" s="12">
        <v>2</v>
      </c>
      <c r="H10" s="13">
        <v>25</v>
      </c>
      <c r="I10" s="34">
        <v>25000</v>
      </c>
      <c r="J10" s="14">
        <v>8330</v>
      </c>
      <c r="K10" s="15">
        <f>L10</f>
        <v>8328</v>
      </c>
      <c r="L10" s="15">
        <f>2817*2+1347*2</f>
        <v>8328</v>
      </c>
      <c r="M10" s="16">
        <f t="shared" si="0"/>
        <v>8328</v>
      </c>
      <c r="N10" s="16">
        <v>0</v>
      </c>
      <c r="O10" s="62">
        <f t="shared" si="1"/>
        <v>0</v>
      </c>
      <c r="P10" s="42">
        <f t="shared" si="2"/>
        <v>21</v>
      </c>
      <c r="Q10" s="43">
        <f t="shared" si="3"/>
        <v>3</v>
      </c>
      <c r="R10" s="7"/>
      <c r="S10" s="6"/>
      <c r="T10" s="17">
        <v>3</v>
      </c>
      <c r="U10" s="17"/>
      <c r="V10" s="18"/>
      <c r="W10" s="19"/>
      <c r="X10" s="17"/>
      <c r="Y10" s="20"/>
      <c r="Z10" s="20"/>
      <c r="AA10" s="21"/>
      <c r="AB10" s="8">
        <f t="shared" si="4"/>
        <v>0.99975990396158465</v>
      </c>
      <c r="AC10" s="9">
        <f t="shared" si="5"/>
        <v>0.875</v>
      </c>
      <c r="AD10" s="10">
        <f t="shared" si="6"/>
        <v>0.87478991596638656</v>
      </c>
      <c r="AE10" s="39">
        <f t="shared" si="7"/>
        <v>0.44919299205502006</v>
      </c>
      <c r="AF10" s="94">
        <f t="shared" si="9"/>
        <v>5</v>
      </c>
    </row>
    <row r="11" spans="1:36" ht="27" customHeight="1">
      <c r="A11" s="110">
        <v>6</v>
      </c>
      <c r="B11" s="11" t="s">
        <v>58</v>
      </c>
      <c r="C11" s="11" t="s">
        <v>133</v>
      </c>
      <c r="D11" s="55" t="s">
        <v>131</v>
      </c>
      <c r="E11" s="57" t="s">
        <v>700</v>
      </c>
      <c r="F11" s="12" t="s">
        <v>166</v>
      </c>
      <c r="G11" s="12">
        <v>1</v>
      </c>
      <c r="H11" s="13">
        <v>25</v>
      </c>
      <c r="I11" s="34">
        <v>40000</v>
      </c>
      <c r="J11" s="14">
        <v>2830</v>
      </c>
      <c r="K11" s="15">
        <f>L11+2724+6303+6504+3472</f>
        <v>21824</v>
      </c>
      <c r="L11" s="15">
        <v>2821</v>
      </c>
      <c r="M11" s="16">
        <f t="shared" si="0"/>
        <v>2821</v>
      </c>
      <c r="N11" s="16">
        <v>0</v>
      </c>
      <c r="O11" s="62">
        <f t="shared" si="1"/>
        <v>0</v>
      </c>
      <c r="P11" s="42">
        <f t="shared" si="2"/>
        <v>17</v>
      </c>
      <c r="Q11" s="43">
        <f t="shared" si="3"/>
        <v>7</v>
      </c>
      <c r="R11" s="7"/>
      <c r="S11" s="6">
        <v>7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0.99681978798586568</v>
      </c>
      <c r="AC11" s="9">
        <f t="shared" si="5"/>
        <v>0.70833333333333337</v>
      </c>
      <c r="AD11" s="10">
        <f t="shared" si="6"/>
        <v>0.70608068315665484</v>
      </c>
      <c r="AE11" s="39">
        <f t="shared" si="7"/>
        <v>0.44919299205502006</v>
      </c>
      <c r="AF11" s="94">
        <f t="shared" si="8"/>
        <v>6</v>
      </c>
    </row>
    <row r="12" spans="1:36" ht="27" customHeight="1">
      <c r="A12" s="110">
        <v>7</v>
      </c>
      <c r="B12" s="11" t="s">
        <v>58</v>
      </c>
      <c r="C12" s="11" t="s">
        <v>944</v>
      </c>
      <c r="D12" s="55" t="s">
        <v>57</v>
      </c>
      <c r="E12" s="57" t="s">
        <v>945</v>
      </c>
      <c r="F12" s="12" t="s">
        <v>946</v>
      </c>
      <c r="G12" s="12">
        <v>1</v>
      </c>
      <c r="H12" s="13">
        <v>25</v>
      </c>
      <c r="I12" s="7">
        <v>4000</v>
      </c>
      <c r="J12" s="14">
        <v>770</v>
      </c>
      <c r="K12" s="15">
        <f>L12+767</f>
        <v>767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0.44919299205502006</v>
      </c>
      <c r="AF12" s="94">
        <f t="shared" si="8"/>
        <v>7</v>
      </c>
    </row>
    <row r="13" spans="1:36" ht="27" customHeight="1">
      <c r="A13" s="110">
        <v>8</v>
      </c>
      <c r="B13" s="11" t="s">
        <v>58</v>
      </c>
      <c r="C13" s="11" t="s">
        <v>947</v>
      </c>
      <c r="D13" s="55" t="s">
        <v>948</v>
      </c>
      <c r="E13" s="57" t="s">
        <v>949</v>
      </c>
      <c r="F13" s="12" t="s">
        <v>950</v>
      </c>
      <c r="G13" s="12">
        <v>1</v>
      </c>
      <c r="H13" s="13">
        <v>25</v>
      </c>
      <c r="I13" s="7">
        <v>500</v>
      </c>
      <c r="J13" s="14">
        <v>1130</v>
      </c>
      <c r="K13" s="15">
        <f>L13+1127</f>
        <v>1127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0.44919299205502006</v>
      </c>
      <c r="AF13" s="94">
        <f t="shared" si="8"/>
        <v>8</v>
      </c>
    </row>
    <row r="14" spans="1:36" ht="27" customHeight="1">
      <c r="A14" s="109">
        <v>9</v>
      </c>
      <c r="B14" s="11" t="s">
        <v>58</v>
      </c>
      <c r="C14" s="37" t="s">
        <v>163</v>
      </c>
      <c r="D14" s="55" t="s">
        <v>190</v>
      </c>
      <c r="E14" s="57" t="s">
        <v>436</v>
      </c>
      <c r="F14" s="33" t="s">
        <v>437</v>
      </c>
      <c r="G14" s="36">
        <v>1</v>
      </c>
      <c r="H14" s="38">
        <v>25</v>
      </c>
      <c r="I14" s="7">
        <v>11000</v>
      </c>
      <c r="J14" s="5">
        <v>2330</v>
      </c>
      <c r="K14" s="15">
        <f>L14+2030+3617+4261+2322</f>
        <v>12230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0.44919299205502006</v>
      </c>
      <c r="AF14" s="94">
        <f t="shared" si="8"/>
        <v>9</v>
      </c>
    </row>
    <row r="15" spans="1:36" ht="27" customHeight="1">
      <c r="A15" s="109">
        <v>10</v>
      </c>
      <c r="B15" s="11" t="s">
        <v>58</v>
      </c>
      <c r="C15" s="11" t="s">
        <v>195</v>
      </c>
      <c r="D15" s="55" t="s">
        <v>967</v>
      </c>
      <c r="E15" s="57" t="s">
        <v>968</v>
      </c>
      <c r="F15" s="12">
        <v>8301</v>
      </c>
      <c r="G15" s="12">
        <v>1</v>
      </c>
      <c r="H15" s="13">
        <v>20</v>
      </c>
      <c r="I15" s="34">
        <v>500</v>
      </c>
      <c r="J15" s="14">
        <v>1590</v>
      </c>
      <c r="K15" s="15">
        <f>L15</f>
        <v>1585</v>
      </c>
      <c r="L15" s="15">
        <f>1585</f>
        <v>1585</v>
      </c>
      <c r="M15" s="16">
        <f t="shared" si="0"/>
        <v>1585</v>
      </c>
      <c r="N15" s="16">
        <v>0</v>
      </c>
      <c r="O15" s="62">
        <f t="shared" si="1"/>
        <v>0</v>
      </c>
      <c r="P15" s="42">
        <f t="shared" si="2"/>
        <v>9</v>
      </c>
      <c r="Q15" s="43">
        <f t="shared" si="3"/>
        <v>15</v>
      </c>
      <c r="R15" s="7"/>
      <c r="S15" s="6"/>
      <c r="T15" s="17"/>
      <c r="U15" s="17"/>
      <c r="V15" s="18"/>
      <c r="W15" s="19">
        <v>15</v>
      </c>
      <c r="X15" s="17"/>
      <c r="Y15" s="20"/>
      <c r="Z15" s="20"/>
      <c r="AA15" s="21"/>
      <c r="AB15" s="8">
        <f t="shared" si="4"/>
        <v>0.99685534591194969</v>
      </c>
      <c r="AC15" s="9">
        <f t="shared" si="5"/>
        <v>0.375</v>
      </c>
      <c r="AD15" s="10">
        <f t="shared" si="6"/>
        <v>0.37382075471698112</v>
      </c>
      <c r="AE15" s="39">
        <f t="shared" si="7"/>
        <v>0.44919299205502006</v>
      </c>
      <c r="AF15" s="94">
        <f t="shared" si="8"/>
        <v>10</v>
      </c>
    </row>
    <row r="16" spans="1:36" ht="27.75" customHeight="1">
      <c r="A16" s="109">
        <v>11</v>
      </c>
      <c r="B16" s="11" t="s">
        <v>58</v>
      </c>
      <c r="C16" s="11" t="s">
        <v>133</v>
      </c>
      <c r="D16" s="55" t="s">
        <v>900</v>
      </c>
      <c r="E16" s="56" t="s">
        <v>901</v>
      </c>
      <c r="F16" s="12">
        <v>7301</v>
      </c>
      <c r="G16" s="36">
        <v>1</v>
      </c>
      <c r="H16" s="38">
        <v>25</v>
      </c>
      <c r="I16" s="7">
        <v>40000</v>
      </c>
      <c r="J16" s="14">
        <v>1300</v>
      </c>
      <c r="K16" s="15">
        <f>L16</f>
        <v>1291</v>
      </c>
      <c r="L16" s="15">
        <f>726+565</f>
        <v>1291</v>
      </c>
      <c r="M16" s="16">
        <f t="shared" si="0"/>
        <v>1291</v>
      </c>
      <c r="N16" s="16">
        <v>0</v>
      </c>
      <c r="O16" s="62">
        <f t="shared" si="1"/>
        <v>0</v>
      </c>
      <c r="P16" s="42">
        <f t="shared" si="2"/>
        <v>7</v>
      </c>
      <c r="Q16" s="43">
        <f t="shared" si="3"/>
        <v>17</v>
      </c>
      <c r="R16" s="7"/>
      <c r="S16" s="6">
        <v>17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0.99307692307692308</v>
      </c>
      <c r="AC16" s="9">
        <f t="shared" si="5"/>
        <v>0.29166666666666669</v>
      </c>
      <c r="AD16" s="10">
        <f t="shared" si="6"/>
        <v>0.28964743589743591</v>
      </c>
      <c r="AE16" s="39">
        <f t="shared" si="7"/>
        <v>0.44919299205502006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58</v>
      </c>
      <c r="C17" s="37" t="s">
        <v>133</v>
      </c>
      <c r="D17" s="55" t="s">
        <v>190</v>
      </c>
      <c r="E17" s="56" t="s">
        <v>902</v>
      </c>
      <c r="F17" s="12" t="s">
        <v>903</v>
      </c>
      <c r="G17" s="12">
        <v>1</v>
      </c>
      <c r="H17" s="13">
        <v>25</v>
      </c>
      <c r="I17" s="34">
        <v>15000</v>
      </c>
      <c r="J17" s="5">
        <v>6680</v>
      </c>
      <c r="K17" s="15">
        <f>L17+4436+6139</f>
        <v>17248</v>
      </c>
      <c r="L17" s="15">
        <f>3475+3198</f>
        <v>6673</v>
      </c>
      <c r="M17" s="16">
        <f t="shared" si="0"/>
        <v>6673</v>
      </c>
      <c r="N17" s="16">
        <v>0</v>
      </c>
      <c r="O17" s="62">
        <f t="shared" si="1"/>
        <v>0</v>
      </c>
      <c r="P17" s="42">
        <f t="shared" si="2"/>
        <v>24</v>
      </c>
      <c r="Q17" s="43">
        <f t="shared" si="3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0.99895209580838318</v>
      </c>
      <c r="AC17" s="9">
        <f t="shared" si="5"/>
        <v>1</v>
      </c>
      <c r="AD17" s="10">
        <f t="shared" si="6"/>
        <v>0.99895209580838318</v>
      </c>
      <c r="AE17" s="39">
        <f t="shared" si="7"/>
        <v>0.44919299205502006</v>
      </c>
      <c r="AF17" s="94">
        <f t="shared" ref="AF17" si="10">A17</f>
        <v>12</v>
      </c>
    </row>
    <row r="18" spans="1:32" ht="27" customHeight="1">
      <c r="A18" s="110">
        <v>13</v>
      </c>
      <c r="B18" s="11" t="s">
        <v>58</v>
      </c>
      <c r="C18" s="37" t="s">
        <v>137</v>
      </c>
      <c r="D18" s="55" t="s">
        <v>904</v>
      </c>
      <c r="E18" s="57" t="s">
        <v>905</v>
      </c>
      <c r="F18" s="33" t="s">
        <v>833</v>
      </c>
      <c r="G18" s="36">
        <v>1</v>
      </c>
      <c r="H18" s="38">
        <v>25</v>
      </c>
      <c r="I18" s="7">
        <v>50000</v>
      </c>
      <c r="J18" s="5">
        <v>5580</v>
      </c>
      <c r="K18" s="15">
        <f>L18+4454+5087</f>
        <v>15114</v>
      </c>
      <c r="L18" s="15">
        <f>2907+2666</f>
        <v>5573</v>
      </c>
      <c r="M18" s="16">
        <f t="shared" si="0"/>
        <v>5573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0.99874551971326164</v>
      </c>
      <c r="AC18" s="9">
        <f t="shared" si="5"/>
        <v>1</v>
      </c>
      <c r="AD18" s="10">
        <f t="shared" si="6"/>
        <v>0.99874551971326164</v>
      </c>
      <c r="AE18" s="39">
        <f t="shared" si="7"/>
        <v>0.44919299205502006</v>
      </c>
      <c r="AF18" s="94">
        <f t="shared" si="8"/>
        <v>13</v>
      </c>
    </row>
    <row r="19" spans="1:32" ht="27" customHeight="1">
      <c r="A19" s="110">
        <v>14</v>
      </c>
      <c r="B19" s="11" t="s">
        <v>58</v>
      </c>
      <c r="C19" s="11" t="s">
        <v>118</v>
      </c>
      <c r="D19" s="55" t="s">
        <v>57</v>
      </c>
      <c r="E19" s="57" t="s">
        <v>160</v>
      </c>
      <c r="F19" s="12" t="s">
        <v>145</v>
      </c>
      <c r="G19" s="12">
        <v>1</v>
      </c>
      <c r="H19" s="13">
        <v>25</v>
      </c>
      <c r="I19" s="7">
        <v>52000</v>
      </c>
      <c r="J19" s="14">
        <v>3110</v>
      </c>
      <c r="K19" s="15">
        <f>L19+4424+5402+3684</f>
        <v>16614</v>
      </c>
      <c r="L19" s="15">
        <f>2734+370</f>
        <v>3104</v>
      </c>
      <c r="M19" s="16">
        <f t="shared" si="0"/>
        <v>3104</v>
      </c>
      <c r="N19" s="16">
        <v>0</v>
      </c>
      <c r="O19" s="62">
        <f t="shared" si="1"/>
        <v>0</v>
      </c>
      <c r="P19" s="42">
        <f t="shared" si="2"/>
        <v>15</v>
      </c>
      <c r="Q19" s="43">
        <f t="shared" si="3"/>
        <v>9</v>
      </c>
      <c r="R19" s="7"/>
      <c r="S19" s="6">
        <v>9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0.99807073954983927</v>
      </c>
      <c r="AC19" s="9">
        <f t="shared" si="5"/>
        <v>0.625</v>
      </c>
      <c r="AD19" s="10">
        <f t="shared" si="6"/>
        <v>0.6237942122186495</v>
      </c>
      <c r="AE19" s="39">
        <f t="shared" si="7"/>
        <v>0.44919299205502006</v>
      </c>
      <c r="AF19" s="94">
        <f t="shared" si="8"/>
        <v>14</v>
      </c>
    </row>
    <row r="20" spans="1:32" ht="27" customHeight="1" thickBot="1">
      <c r="A20" s="110">
        <v>15</v>
      </c>
      <c r="B20" s="11" t="s">
        <v>58</v>
      </c>
      <c r="C20" s="11" t="s">
        <v>115</v>
      </c>
      <c r="D20" s="55"/>
      <c r="E20" s="56" t="s">
        <v>906</v>
      </c>
      <c r="F20" s="12" t="s">
        <v>116</v>
      </c>
      <c r="G20" s="12">
        <v>4</v>
      </c>
      <c r="H20" s="38">
        <v>15</v>
      </c>
      <c r="I20" s="7">
        <v>100000</v>
      </c>
      <c r="J20" s="14">
        <v>70340</v>
      </c>
      <c r="K20" s="15">
        <f>L20+60468+60904</f>
        <v>191704</v>
      </c>
      <c r="L20" s="15">
        <f>9014*4+8569*4</f>
        <v>70332</v>
      </c>
      <c r="M20" s="16">
        <f t="shared" si="0"/>
        <v>70332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0.99988626670457781</v>
      </c>
      <c r="AC20" s="9">
        <f t="shared" si="5"/>
        <v>1</v>
      </c>
      <c r="AD20" s="10">
        <f t="shared" si="6"/>
        <v>0.99988626670457781</v>
      </c>
      <c r="AE20" s="39">
        <f t="shared" si="7"/>
        <v>0.44919299205502006</v>
      </c>
      <c r="AF20" s="94">
        <f t="shared" si="8"/>
        <v>15</v>
      </c>
    </row>
    <row r="21" spans="1:32" ht="31.5" customHeight="1" thickBot="1">
      <c r="A21" s="465" t="s">
        <v>34</v>
      </c>
      <c r="B21" s="466"/>
      <c r="C21" s="466"/>
      <c r="D21" s="466"/>
      <c r="E21" s="466"/>
      <c r="F21" s="466"/>
      <c r="G21" s="466"/>
      <c r="H21" s="467"/>
      <c r="I21" s="25">
        <f t="shared" ref="I21:N21" si="11">SUM(I6:I20)</f>
        <v>512000</v>
      </c>
      <c r="J21" s="22">
        <f t="shared" si="11"/>
        <v>116700</v>
      </c>
      <c r="K21" s="23">
        <f t="shared" si="11"/>
        <v>403769</v>
      </c>
      <c r="L21" s="24">
        <f t="shared" si="11"/>
        <v>103724</v>
      </c>
      <c r="M21" s="23">
        <f t="shared" si="11"/>
        <v>103724</v>
      </c>
      <c r="N21" s="24">
        <f t="shared" si="11"/>
        <v>0</v>
      </c>
      <c r="O21" s="44">
        <f t="shared" si="1"/>
        <v>0</v>
      </c>
      <c r="P21" s="45">
        <f t="shared" ref="P21:AA21" si="12">SUM(P6:P20)</f>
        <v>162</v>
      </c>
      <c r="Q21" s="46">
        <f t="shared" si="12"/>
        <v>198</v>
      </c>
      <c r="R21" s="26">
        <f t="shared" si="12"/>
        <v>0</v>
      </c>
      <c r="S21" s="27">
        <f t="shared" si="12"/>
        <v>60</v>
      </c>
      <c r="T21" s="27">
        <f t="shared" si="12"/>
        <v>3</v>
      </c>
      <c r="U21" s="27">
        <f t="shared" si="12"/>
        <v>0</v>
      </c>
      <c r="V21" s="28">
        <f t="shared" si="12"/>
        <v>0</v>
      </c>
      <c r="W21" s="29">
        <f t="shared" si="12"/>
        <v>135</v>
      </c>
      <c r="X21" s="30">
        <f t="shared" si="12"/>
        <v>0</v>
      </c>
      <c r="Y21" s="30">
        <f t="shared" si="12"/>
        <v>0</v>
      </c>
      <c r="Z21" s="30">
        <f t="shared" si="12"/>
        <v>0</v>
      </c>
      <c r="AA21" s="30">
        <f t="shared" si="12"/>
        <v>0</v>
      </c>
      <c r="AB21" s="31">
        <f>SUM(AB6:AB20)/15</f>
        <v>0.66503888987434867</v>
      </c>
      <c r="AC21" s="4">
        <f>SUM(AC6:AC20)/15</f>
        <v>0.45</v>
      </c>
      <c r="AD21" s="4">
        <f>SUM(AD6:AD20)/15</f>
        <v>0.44919299205502006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68" t="s">
        <v>45</v>
      </c>
      <c r="B48" s="468"/>
      <c r="C48" s="468"/>
      <c r="D48" s="468"/>
      <c r="E48" s="468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69" t="s">
        <v>969</v>
      </c>
      <c r="B49" s="470"/>
      <c r="C49" s="470"/>
      <c r="D49" s="470"/>
      <c r="E49" s="470"/>
      <c r="F49" s="470"/>
      <c r="G49" s="470"/>
      <c r="H49" s="470"/>
      <c r="I49" s="470"/>
      <c r="J49" s="470"/>
      <c r="K49" s="470"/>
      <c r="L49" s="470"/>
      <c r="M49" s="471"/>
      <c r="N49" s="472" t="s">
        <v>989</v>
      </c>
      <c r="O49" s="473"/>
      <c r="P49" s="473"/>
      <c r="Q49" s="473"/>
      <c r="R49" s="473"/>
      <c r="S49" s="473"/>
      <c r="T49" s="473"/>
      <c r="U49" s="473"/>
      <c r="V49" s="473"/>
      <c r="W49" s="473"/>
      <c r="X49" s="473"/>
      <c r="Y49" s="473"/>
      <c r="Z49" s="473"/>
      <c r="AA49" s="473"/>
      <c r="AB49" s="473"/>
      <c r="AC49" s="473"/>
      <c r="AD49" s="474"/>
    </row>
    <row r="50" spans="1:32" ht="27" customHeight="1">
      <c r="A50" s="475" t="s">
        <v>2</v>
      </c>
      <c r="B50" s="476"/>
      <c r="C50" s="340" t="s">
        <v>46</v>
      </c>
      <c r="D50" s="340" t="s">
        <v>47</v>
      </c>
      <c r="E50" s="340" t="s">
        <v>109</v>
      </c>
      <c r="F50" s="476" t="s">
        <v>108</v>
      </c>
      <c r="G50" s="476"/>
      <c r="H50" s="476"/>
      <c r="I50" s="476"/>
      <c r="J50" s="476"/>
      <c r="K50" s="476"/>
      <c r="L50" s="476"/>
      <c r="M50" s="477"/>
      <c r="N50" s="73" t="s">
        <v>113</v>
      </c>
      <c r="O50" s="340" t="s">
        <v>46</v>
      </c>
      <c r="P50" s="478" t="s">
        <v>47</v>
      </c>
      <c r="Q50" s="479"/>
      <c r="R50" s="478" t="s">
        <v>38</v>
      </c>
      <c r="S50" s="480"/>
      <c r="T50" s="480"/>
      <c r="U50" s="479"/>
      <c r="V50" s="478" t="s">
        <v>48</v>
      </c>
      <c r="W50" s="480"/>
      <c r="X50" s="480"/>
      <c r="Y50" s="480"/>
      <c r="Z50" s="480"/>
      <c r="AA50" s="480"/>
      <c r="AB50" s="480"/>
      <c r="AC50" s="480"/>
      <c r="AD50" s="481"/>
    </row>
    <row r="51" spans="1:32" ht="27" customHeight="1">
      <c r="A51" s="492" t="s">
        <v>137</v>
      </c>
      <c r="B51" s="493"/>
      <c r="C51" s="339" t="s">
        <v>725</v>
      </c>
      <c r="D51" s="336" t="s">
        <v>164</v>
      </c>
      <c r="E51" s="339" t="s">
        <v>165</v>
      </c>
      <c r="F51" s="494" t="s">
        <v>970</v>
      </c>
      <c r="G51" s="494"/>
      <c r="H51" s="494"/>
      <c r="I51" s="494"/>
      <c r="J51" s="494"/>
      <c r="K51" s="494"/>
      <c r="L51" s="494"/>
      <c r="M51" s="495"/>
      <c r="N51" s="335" t="s">
        <v>133</v>
      </c>
      <c r="O51" s="74" t="s">
        <v>990</v>
      </c>
      <c r="P51" s="496" t="s">
        <v>57</v>
      </c>
      <c r="Q51" s="497"/>
      <c r="R51" s="498" t="s">
        <v>991</v>
      </c>
      <c r="S51" s="498"/>
      <c r="T51" s="498"/>
      <c r="U51" s="498"/>
      <c r="V51" s="494" t="s">
        <v>992</v>
      </c>
      <c r="W51" s="494"/>
      <c r="X51" s="494"/>
      <c r="Y51" s="494"/>
      <c r="Z51" s="494"/>
      <c r="AA51" s="494"/>
      <c r="AB51" s="494"/>
      <c r="AC51" s="494"/>
      <c r="AD51" s="495"/>
    </row>
    <row r="52" spans="1:32" ht="27" customHeight="1">
      <c r="A52" s="492" t="s">
        <v>951</v>
      </c>
      <c r="B52" s="493"/>
      <c r="C52" s="339" t="s">
        <v>952</v>
      </c>
      <c r="D52" s="336" t="s">
        <v>953</v>
      </c>
      <c r="E52" s="339" t="s">
        <v>954</v>
      </c>
      <c r="F52" s="494" t="s">
        <v>971</v>
      </c>
      <c r="G52" s="494"/>
      <c r="H52" s="494"/>
      <c r="I52" s="494"/>
      <c r="J52" s="494"/>
      <c r="K52" s="494"/>
      <c r="L52" s="494"/>
      <c r="M52" s="495"/>
      <c r="N52" s="335" t="s">
        <v>839</v>
      </c>
      <c r="O52" s="74" t="s">
        <v>170</v>
      </c>
      <c r="P52" s="496" t="s">
        <v>993</v>
      </c>
      <c r="Q52" s="497"/>
      <c r="R52" s="498" t="s">
        <v>994</v>
      </c>
      <c r="S52" s="498"/>
      <c r="T52" s="498"/>
      <c r="U52" s="498"/>
      <c r="V52" s="494" t="s">
        <v>144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955</v>
      </c>
      <c r="B53" s="493"/>
      <c r="C53" s="339" t="s">
        <v>956</v>
      </c>
      <c r="D53" s="336" t="s">
        <v>957</v>
      </c>
      <c r="E53" s="339" t="s">
        <v>958</v>
      </c>
      <c r="F53" s="494" t="s">
        <v>972</v>
      </c>
      <c r="G53" s="494"/>
      <c r="H53" s="494"/>
      <c r="I53" s="494"/>
      <c r="J53" s="494"/>
      <c r="K53" s="494"/>
      <c r="L53" s="494"/>
      <c r="M53" s="495"/>
      <c r="N53" s="335" t="s">
        <v>133</v>
      </c>
      <c r="O53" s="74" t="s">
        <v>995</v>
      </c>
      <c r="P53" s="496" t="s">
        <v>985</v>
      </c>
      <c r="Q53" s="497"/>
      <c r="R53" s="498" t="s">
        <v>996</v>
      </c>
      <c r="S53" s="498"/>
      <c r="T53" s="498"/>
      <c r="U53" s="498"/>
      <c r="V53" s="494" t="s">
        <v>992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973</v>
      </c>
      <c r="B54" s="493"/>
      <c r="C54" s="339" t="s">
        <v>974</v>
      </c>
      <c r="D54" s="336" t="s">
        <v>975</v>
      </c>
      <c r="E54" s="339" t="s">
        <v>968</v>
      </c>
      <c r="F54" s="494" t="s">
        <v>959</v>
      </c>
      <c r="G54" s="494"/>
      <c r="H54" s="494"/>
      <c r="I54" s="494"/>
      <c r="J54" s="494"/>
      <c r="K54" s="494"/>
      <c r="L54" s="494"/>
      <c r="M54" s="495"/>
      <c r="N54" s="335" t="s">
        <v>997</v>
      </c>
      <c r="O54" s="74" t="s">
        <v>998</v>
      </c>
      <c r="P54" s="496" t="s">
        <v>985</v>
      </c>
      <c r="Q54" s="497"/>
      <c r="R54" s="498" t="s">
        <v>999</v>
      </c>
      <c r="S54" s="498"/>
      <c r="T54" s="498"/>
      <c r="U54" s="498"/>
      <c r="V54" s="494" t="s">
        <v>987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976</v>
      </c>
      <c r="B55" s="493"/>
      <c r="C55" s="339" t="s">
        <v>977</v>
      </c>
      <c r="D55" s="336" t="s">
        <v>964</v>
      </c>
      <c r="E55" s="339" t="s">
        <v>978</v>
      </c>
      <c r="F55" s="494" t="s">
        <v>979</v>
      </c>
      <c r="G55" s="494"/>
      <c r="H55" s="494"/>
      <c r="I55" s="494"/>
      <c r="J55" s="494"/>
      <c r="K55" s="494"/>
      <c r="L55" s="494"/>
      <c r="M55" s="495"/>
      <c r="N55" s="335" t="s">
        <v>133</v>
      </c>
      <c r="O55" s="74" t="s">
        <v>1000</v>
      </c>
      <c r="P55" s="496" t="s">
        <v>1001</v>
      </c>
      <c r="Q55" s="497"/>
      <c r="R55" s="498" t="s">
        <v>1002</v>
      </c>
      <c r="S55" s="498"/>
      <c r="T55" s="498"/>
      <c r="U55" s="498"/>
      <c r="V55" s="494" t="s">
        <v>987</v>
      </c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137</v>
      </c>
      <c r="B56" s="493"/>
      <c r="C56" s="339" t="s">
        <v>980</v>
      </c>
      <c r="D56" s="336" t="s">
        <v>981</v>
      </c>
      <c r="E56" s="339" t="s">
        <v>982</v>
      </c>
      <c r="F56" s="494" t="s">
        <v>983</v>
      </c>
      <c r="G56" s="494"/>
      <c r="H56" s="494"/>
      <c r="I56" s="494"/>
      <c r="J56" s="494"/>
      <c r="K56" s="494"/>
      <c r="L56" s="494"/>
      <c r="M56" s="495"/>
      <c r="N56" s="335"/>
      <c r="O56" s="74"/>
      <c r="P56" s="498"/>
      <c r="Q56" s="498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 t="s">
        <v>133</v>
      </c>
      <c r="B57" s="493"/>
      <c r="C57" s="339" t="s">
        <v>984</v>
      </c>
      <c r="D57" s="336" t="s">
        <v>985</v>
      </c>
      <c r="E57" s="339" t="s">
        <v>986</v>
      </c>
      <c r="F57" s="494" t="s">
        <v>988</v>
      </c>
      <c r="G57" s="494"/>
      <c r="H57" s="494"/>
      <c r="I57" s="494"/>
      <c r="J57" s="494"/>
      <c r="K57" s="494"/>
      <c r="L57" s="494"/>
      <c r="M57" s="495"/>
      <c r="N57" s="335"/>
      <c r="O57" s="74"/>
      <c r="P57" s="496"/>
      <c r="Q57" s="497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/>
      <c r="B58" s="493"/>
      <c r="C58" s="339"/>
      <c r="D58" s="336"/>
      <c r="E58" s="339"/>
      <c r="F58" s="494"/>
      <c r="G58" s="494"/>
      <c r="H58" s="494"/>
      <c r="I58" s="494"/>
      <c r="J58" s="494"/>
      <c r="K58" s="494"/>
      <c r="L58" s="494"/>
      <c r="M58" s="495"/>
      <c r="N58" s="335"/>
      <c r="O58" s="74"/>
      <c r="P58" s="498"/>
      <c r="Q58" s="498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508"/>
      <c r="B59" s="498"/>
      <c r="C59" s="336"/>
      <c r="D59" s="336"/>
      <c r="E59" s="336"/>
      <c r="F59" s="494"/>
      <c r="G59" s="494"/>
      <c r="H59" s="494"/>
      <c r="I59" s="494"/>
      <c r="J59" s="494"/>
      <c r="K59" s="494"/>
      <c r="L59" s="494"/>
      <c r="M59" s="495"/>
      <c r="N59" s="335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  <c r="AF59" s="94">
        <f>8*3000</f>
        <v>24000</v>
      </c>
    </row>
    <row r="60" spans="1:32" ht="27" customHeight="1" thickBot="1">
      <c r="A60" s="499"/>
      <c r="B60" s="500"/>
      <c r="C60" s="338"/>
      <c r="D60" s="338"/>
      <c r="E60" s="338"/>
      <c r="F60" s="501"/>
      <c r="G60" s="501"/>
      <c r="H60" s="501"/>
      <c r="I60" s="501"/>
      <c r="J60" s="501"/>
      <c r="K60" s="501"/>
      <c r="L60" s="501"/>
      <c r="M60" s="502"/>
      <c r="N60" s="337"/>
      <c r="O60" s="121"/>
      <c r="P60" s="500"/>
      <c r="Q60" s="500"/>
      <c r="R60" s="500"/>
      <c r="S60" s="500"/>
      <c r="T60" s="500"/>
      <c r="U60" s="500"/>
      <c r="V60" s="501"/>
      <c r="W60" s="501"/>
      <c r="X60" s="501"/>
      <c r="Y60" s="501"/>
      <c r="Z60" s="501"/>
      <c r="AA60" s="501"/>
      <c r="AB60" s="501"/>
      <c r="AC60" s="501"/>
      <c r="AD60" s="502"/>
      <c r="AF60" s="94">
        <f>16*3000</f>
        <v>48000</v>
      </c>
    </row>
    <row r="61" spans="1:32" ht="27.75" thickBot="1">
      <c r="A61" s="503" t="s">
        <v>1003</v>
      </c>
      <c r="B61" s="503"/>
      <c r="C61" s="503"/>
      <c r="D61" s="503"/>
      <c r="E61" s="503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504" t="s">
        <v>114</v>
      </c>
      <c r="B62" s="505"/>
      <c r="C62" s="334" t="s">
        <v>2</v>
      </c>
      <c r="D62" s="334" t="s">
        <v>37</v>
      </c>
      <c r="E62" s="334" t="s">
        <v>3</v>
      </c>
      <c r="F62" s="505" t="s">
        <v>111</v>
      </c>
      <c r="G62" s="505"/>
      <c r="H62" s="505"/>
      <c r="I62" s="505"/>
      <c r="J62" s="505"/>
      <c r="K62" s="505" t="s">
        <v>39</v>
      </c>
      <c r="L62" s="505"/>
      <c r="M62" s="334" t="s">
        <v>40</v>
      </c>
      <c r="N62" s="505" t="s">
        <v>41</v>
      </c>
      <c r="O62" s="505"/>
      <c r="P62" s="506" t="s">
        <v>42</v>
      </c>
      <c r="Q62" s="507"/>
      <c r="R62" s="506" t="s">
        <v>43</v>
      </c>
      <c r="S62" s="509"/>
      <c r="T62" s="509"/>
      <c r="U62" s="509"/>
      <c r="V62" s="509"/>
      <c r="W62" s="509"/>
      <c r="X62" s="509"/>
      <c r="Y62" s="509"/>
      <c r="Z62" s="509"/>
      <c r="AA62" s="507"/>
      <c r="AB62" s="505" t="s">
        <v>44</v>
      </c>
      <c r="AC62" s="505"/>
      <c r="AD62" s="510"/>
      <c r="AF62" s="94">
        <f>SUM(AF59:AF61)</f>
        <v>96000</v>
      </c>
    </row>
    <row r="63" spans="1:32" ht="25.5" customHeight="1">
      <c r="A63" s="511">
        <v>1</v>
      </c>
      <c r="B63" s="512"/>
      <c r="C63" s="124" t="s">
        <v>960</v>
      </c>
      <c r="D63" s="330"/>
      <c r="E63" s="333"/>
      <c r="F63" s="513" t="s">
        <v>961</v>
      </c>
      <c r="G63" s="514"/>
      <c r="H63" s="514"/>
      <c r="I63" s="514"/>
      <c r="J63" s="514"/>
      <c r="K63" s="514" t="s">
        <v>962</v>
      </c>
      <c r="L63" s="514"/>
      <c r="M63" s="54" t="s">
        <v>963</v>
      </c>
      <c r="N63" s="514">
        <v>9</v>
      </c>
      <c r="O63" s="514"/>
      <c r="P63" s="515">
        <v>50</v>
      </c>
      <c r="Q63" s="515"/>
      <c r="R63" s="494"/>
      <c r="S63" s="494"/>
      <c r="T63" s="494"/>
      <c r="U63" s="494"/>
      <c r="V63" s="494"/>
      <c r="W63" s="494"/>
      <c r="X63" s="494"/>
      <c r="Y63" s="494"/>
      <c r="Z63" s="494"/>
      <c r="AA63" s="494"/>
      <c r="AB63" s="514"/>
      <c r="AC63" s="514"/>
      <c r="AD63" s="516"/>
      <c r="AF63" s="53"/>
    </row>
    <row r="64" spans="1:32" ht="25.5" customHeight="1">
      <c r="A64" s="511">
        <v>2</v>
      </c>
      <c r="B64" s="512"/>
      <c r="C64" s="124" t="s">
        <v>1004</v>
      </c>
      <c r="D64" s="330"/>
      <c r="E64" s="333" t="s">
        <v>1005</v>
      </c>
      <c r="F64" s="513" t="s">
        <v>1006</v>
      </c>
      <c r="G64" s="514"/>
      <c r="H64" s="514"/>
      <c r="I64" s="514"/>
      <c r="J64" s="514"/>
      <c r="K64" s="514" t="s">
        <v>1007</v>
      </c>
      <c r="L64" s="514"/>
      <c r="M64" s="54" t="s">
        <v>1008</v>
      </c>
      <c r="N64" s="514">
        <v>11</v>
      </c>
      <c r="O64" s="514"/>
      <c r="P64" s="515">
        <v>50</v>
      </c>
      <c r="Q64" s="515"/>
      <c r="R64" s="494" t="s">
        <v>1009</v>
      </c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3</v>
      </c>
      <c r="B65" s="512"/>
      <c r="C65" s="124"/>
      <c r="D65" s="330"/>
      <c r="E65" s="333"/>
      <c r="F65" s="513"/>
      <c r="G65" s="514"/>
      <c r="H65" s="514"/>
      <c r="I65" s="514"/>
      <c r="J65" s="514"/>
      <c r="K65" s="514"/>
      <c r="L65" s="514"/>
      <c r="M65" s="54"/>
      <c r="N65" s="514"/>
      <c r="O65" s="514"/>
      <c r="P65" s="515"/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4</v>
      </c>
      <c r="B66" s="512"/>
      <c r="C66" s="124"/>
      <c r="D66" s="330"/>
      <c r="E66" s="333"/>
      <c r="F66" s="513"/>
      <c r="G66" s="514"/>
      <c r="H66" s="514"/>
      <c r="I66" s="514"/>
      <c r="J66" s="514"/>
      <c r="K66" s="514"/>
      <c r="L66" s="514"/>
      <c r="M66" s="54"/>
      <c r="N66" s="514"/>
      <c r="O66" s="514"/>
      <c r="P66" s="515"/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5</v>
      </c>
      <c r="B67" s="512"/>
      <c r="C67" s="124"/>
      <c r="D67" s="330"/>
      <c r="E67" s="333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6</v>
      </c>
      <c r="B68" s="512"/>
      <c r="C68" s="124"/>
      <c r="D68" s="330"/>
      <c r="E68" s="333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7</v>
      </c>
      <c r="B69" s="512"/>
      <c r="C69" s="124"/>
      <c r="D69" s="330"/>
      <c r="E69" s="333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8</v>
      </c>
      <c r="B70" s="512"/>
      <c r="C70" s="124"/>
      <c r="D70" s="330"/>
      <c r="E70" s="333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6.25" customHeight="1" thickBot="1">
      <c r="A71" s="517" t="s">
        <v>1010</v>
      </c>
      <c r="B71" s="517"/>
      <c r="C71" s="517"/>
      <c r="D71" s="517"/>
      <c r="E71" s="51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518" t="s">
        <v>114</v>
      </c>
      <c r="B72" s="519"/>
      <c r="C72" s="332" t="s">
        <v>2</v>
      </c>
      <c r="D72" s="332" t="s">
        <v>37</v>
      </c>
      <c r="E72" s="332" t="s">
        <v>3</v>
      </c>
      <c r="F72" s="519" t="s">
        <v>38</v>
      </c>
      <c r="G72" s="519"/>
      <c r="H72" s="519"/>
      <c r="I72" s="519"/>
      <c r="J72" s="519"/>
      <c r="K72" s="520" t="s">
        <v>59</v>
      </c>
      <c r="L72" s="521"/>
      <c r="M72" s="521"/>
      <c r="N72" s="521"/>
      <c r="O72" s="521"/>
      <c r="P72" s="521"/>
      <c r="Q72" s="521"/>
      <c r="R72" s="521"/>
      <c r="S72" s="522"/>
      <c r="T72" s="519" t="s">
        <v>49</v>
      </c>
      <c r="U72" s="519"/>
      <c r="V72" s="520" t="s">
        <v>50</v>
      </c>
      <c r="W72" s="522"/>
      <c r="X72" s="521" t="s">
        <v>51</v>
      </c>
      <c r="Y72" s="521"/>
      <c r="Z72" s="521"/>
      <c r="AA72" s="521"/>
      <c r="AB72" s="521"/>
      <c r="AC72" s="521"/>
      <c r="AD72" s="523"/>
      <c r="AF72" s="53"/>
    </row>
    <row r="73" spans="1:32" ht="33.75" customHeight="1">
      <c r="A73" s="532">
        <v>1</v>
      </c>
      <c r="B73" s="533"/>
      <c r="C73" s="331" t="s">
        <v>117</v>
      </c>
      <c r="D73" s="331"/>
      <c r="E73" s="71" t="s">
        <v>123</v>
      </c>
      <c r="F73" s="534" t="s">
        <v>124</v>
      </c>
      <c r="G73" s="535"/>
      <c r="H73" s="535"/>
      <c r="I73" s="535"/>
      <c r="J73" s="536"/>
      <c r="K73" s="537" t="s">
        <v>119</v>
      </c>
      <c r="L73" s="538"/>
      <c r="M73" s="538"/>
      <c r="N73" s="538"/>
      <c r="O73" s="538"/>
      <c r="P73" s="538"/>
      <c r="Q73" s="538"/>
      <c r="R73" s="538"/>
      <c r="S73" s="539"/>
      <c r="T73" s="540">
        <v>42901</v>
      </c>
      <c r="U73" s="541"/>
      <c r="V73" s="542"/>
      <c r="W73" s="542"/>
      <c r="X73" s="543"/>
      <c r="Y73" s="543"/>
      <c r="Z73" s="543"/>
      <c r="AA73" s="543"/>
      <c r="AB73" s="543"/>
      <c r="AC73" s="543"/>
      <c r="AD73" s="544"/>
      <c r="AF73" s="53"/>
    </row>
    <row r="74" spans="1:32" ht="30" customHeight="1">
      <c r="A74" s="524">
        <f>A73+1</f>
        <v>2</v>
      </c>
      <c r="B74" s="525"/>
      <c r="C74" s="330" t="s">
        <v>117</v>
      </c>
      <c r="D74" s="330"/>
      <c r="E74" s="35" t="s">
        <v>120</v>
      </c>
      <c r="F74" s="525" t="s">
        <v>121</v>
      </c>
      <c r="G74" s="525"/>
      <c r="H74" s="525"/>
      <c r="I74" s="525"/>
      <c r="J74" s="525"/>
      <c r="K74" s="526" t="s">
        <v>122</v>
      </c>
      <c r="L74" s="527"/>
      <c r="M74" s="527"/>
      <c r="N74" s="527"/>
      <c r="O74" s="527"/>
      <c r="P74" s="527"/>
      <c r="Q74" s="527"/>
      <c r="R74" s="527"/>
      <c r="S74" s="528"/>
      <c r="T74" s="529">
        <v>42867</v>
      </c>
      <c r="U74" s="529"/>
      <c r="V74" s="529"/>
      <c r="W74" s="529"/>
      <c r="X74" s="530"/>
      <c r="Y74" s="530"/>
      <c r="Z74" s="530"/>
      <c r="AA74" s="530"/>
      <c r="AB74" s="530"/>
      <c r="AC74" s="530"/>
      <c r="AD74" s="531"/>
      <c r="AF74" s="53"/>
    </row>
    <row r="75" spans="1:32" ht="30" customHeight="1">
      <c r="A75" s="524">
        <f t="shared" ref="A75:A81" si="13">A74+1</f>
        <v>3</v>
      </c>
      <c r="B75" s="525"/>
      <c r="C75" s="330" t="s">
        <v>133</v>
      </c>
      <c r="D75" s="330"/>
      <c r="E75" s="35" t="s">
        <v>131</v>
      </c>
      <c r="F75" s="525" t="s">
        <v>134</v>
      </c>
      <c r="G75" s="525"/>
      <c r="H75" s="525"/>
      <c r="I75" s="525"/>
      <c r="J75" s="525"/>
      <c r="K75" s="526" t="s">
        <v>119</v>
      </c>
      <c r="L75" s="527"/>
      <c r="M75" s="527"/>
      <c r="N75" s="527"/>
      <c r="O75" s="527"/>
      <c r="P75" s="527"/>
      <c r="Q75" s="527"/>
      <c r="R75" s="527"/>
      <c r="S75" s="528"/>
      <c r="T75" s="529">
        <v>42937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si="13"/>
        <v>4</v>
      </c>
      <c r="B76" s="525"/>
      <c r="C76" s="330"/>
      <c r="D76" s="330"/>
      <c r="E76" s="35"/>
      <c r="F76" s="525"/>
      <c r="G76" s="525"/>
      <c r="H76" s="525"/>
      <c r="I76" s="525"/>
      <c r="J76" s="525"/>
      <c r="K76" s="526"/>
      <c r="L76" s="527"/>
      <c r="M76" s="527"/>
      <c r="N76" s="527"/>
      <c r="O76" s="527"/>
      <c r="P76" s="527"/>
      <c r="Q76" s="527"/>
      <c r="R76" s="527"/>
      <c r="S76" s="528"/>
      <c r="T76" s="529"/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13"/>
        <v>5</v>
      </c>
      <c r="B77" s="525"/>
      <c r="C77" s="330"/>
      <c r="D77" s="330"/>
      <c r="E77" s="35"/>
      <c r="F77" s="525"/>
      <c r="G77" s="525"/>
      <c r="H77" s="525"/>
      <c r="I77" s="525"/>
      <c r="J77" s="525"/>
      <c r="K77" s="526"/>
      <c r="L77" s="527"/>
      <c r="M77" s="527"/>
      <c r="N77" s="527"/>
      <c r="O77" s="527"/>
      <c r="P77" s="527"/>
      <c r="Q77" s="527"/>
      <c r="R77" s="527"/>
      <c r="S77" s="528"/>
      <c r="T77" s="529"/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13"/>
        <v>6</v>
      </c>
      <c r="B78" s="525"/>
      <c r="C78" s="330"/>
      <c r="D78" s="330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13"/>
        <v>7</v>
      </c>
      <c r="B79" s="525"/>
      <c r="C79" s="330"/>
      <c r="D79" s="330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13"/>
        <v>8</v>
      </c>
      <c r="B80" s="525"/>
      <c r="C80" s="330"/>
      <c r="D80" s="330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13"/>
        <v>9</v>
      </c>
      <c r="B81" s="525"/>
      <c r="C81" s="330"/>
      <c r="D81" s="330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6" thickBot="1">
      <c r="A82" s="517" t="s">
        <v>1011</v>
      </c>
      <c r="B82" s="517"/>
      <c r="C82" s="517"/>
      <c r="D82" s="517"/>
      <c r="E82" s="51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518" t="s">
        <v>114</v>
      </c>
      <c r="B83" s="519"/>
      <c r="C83" s="545" t="s">
        <v>52</v>
      </c>
      <c r="D83" s="545"/>
      <c r="E83" s="545" t="s">
        <v>53</v>
      </c>
      <c r="F83" s="545"/>
      <c r="G83" s="545"/>
      <c r="H83" s="545"/>
      <c r="I83" s="545"/>
      <c r="J83" s="545"/>
      <c r="K83" s="545" t="s">
        <v>54</v>
      </c>
      <c r="L83" s="545"/>
      <c r="M83" s="545"/>
      <c r="N83" s="545"/>
      <c r="O83" s="545"/>
      <c r="P83" s="545"/>
      <c r="Q83" s="545"/>
      <c r="R83" s="545"/>
      <c r="S83" s="545"/>
      <c r="T83" s="545" t="s">
        <v>55</v>
      </c>
      <c r="U83" s="545"/>
      <c r="V83" s="545" t="s">
        <v>56</v>
      </c>
      <c r="W83" s="545"/>
      <c r="X83" s="545"/>
      <c r="Y83" s="545" t="s">
        <v>51</v>
      </c>
      <c r="Z83" s="545"/>
      <c r="AA83" s="545"/>
      <c r="AB83" s="545"/>
      <c r="AC83" s="545"/>
      <c r="AD83" s="546"/>
      <c r="AF83" s="53"/>
    </row>
    <row r="84" spans="1:32" ht="30.75" customHeight="1">
      <c r="A84" s="532">
        <v>1</v>
      </c>
      <c r="B84" s="533"/>
      <c r="C84" s="547"/>
      <c r="D84" s="547"/>
      <c r="E84" s="547"/>
      <c r="F84" s="547"/>
      <c r="G84" s="547"/>
      <c r="H84" s="547"/>
      <c r="I84" s="547"/>
      <c r="J84" s="547"/>
      <c r="K84" s="547"/>
      <c r="L84" s="547"/>
      <c r="M84" s="547"/>
      <c r="N84" s="547"/>
      <c r="O84" s="547"/>
      <c r="P84" s="547"/>
      <c r="Q84" s="547"/>
      <c r="R84" s="547"/>
      <c r="S84" s="547"/>
      <c r="T84" s="547"/>
      <c r="U84" s="547"/>
      <c r="V84" s="548"/>
      <c r="W84" s="548"/>
      <c r="X84" s="548"/>
      <c r="Y84" s="549"/>
      <c r="Z84" s="549"/>
      <c r="AA84" s="549"/>
      <c r="AB84" s="549"/>
      <c r="AC84" s="549"/>
      <c r="AD84" s="550"/>
      <c r="AF84" s="53"/>
    </row>
    <row r="85" spans="1:32" ht="30.75" customHeight="1">
      <c r="A85" s="524">
        <v>2</v>
      </c>
      <c r="B85" s="525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9"/>
      <c r="U85" s="559"/>
      <c r="V85" s="560"/>
      <c r="W85" s="560"/>
      <c r="X85" s="560"/>
      <c r="Y85" s="551"/>
      <c r="Z85" s="551"/>
      <c r="AA85" s="551"/>
      <c r="AB85" s="551"/>
      <c r="AC85" s="551"/>
      <c r="AD85" s="552"/>
      <c r="AF85" s="53"/>
    </row>
    <row r="86" spans="1:32" ht="30.75" customHeight="1" thickBot="1">
      <c r="A86" s="553">
        <v>3</v>
      </c>
      <c r="B86" s="554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6"/>
      <c r="Z86" s="556"/>
      <c r="AA86" s="556"/>
      <c r="AB86" s="556"/>
      <c r="AC86" s="556"/>
      <c r="AD86" s="55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7"/>
  <sheetViews>
    <sheetView zoomScale="72" zoomScaleNormal="72" zoomScaleSheetLayoutView="70" workbookViewId="0">
      <selection activeCell="A9" sqref="A9:XFD9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51" t="s">
        <v>187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2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125" t="s">
        <v>17</v>
      </c>
      <c r="L5" s="125" t="s">
        <v>18</v>
      </c>
      <c r="M5" s="125" t="s">
        <v>19</v>
      </c>
      <c r="N5" s="12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2" ht="27" customHeight="1">
      <c r="A6" s="108">
        <v>1</v>
      </c>
      <c r="B6" s="11"/>
      <c r="C6" s="11"/>
      <c r="D6" s="55"/>
      <c r="E6" s="56"/>
      <c r="F6" s="12"/>
      <c r="G6" s="36"/>
      <c r="H6" s="38"/>
      <c r="I6" s="7"/>
      <c r="J6" s="14"/>
      <c r="K6" s="15">
        <f>L6</f>
        <v>0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0.51887285312916853</v>
      </c>
      <c r="AF6" s="94">
        <f t="shared" ref="AF6:AF21" si="8">A6</f>
        <v>1</v>
      </c>
    </row>
    <row r="7" spans="1:32" ht="27" customHeight="1">
      <c r="A7" s="108">
        <v>2</v>
      </c>
      <c r="B7" s="11" t="s">
        <v>149</v>
      </c>
      <c r="C7" s="37" t="s">
        <v>189</v>
      </c>
      <c r="D7" s="55" t="s">
        <v>190</v>
      </c>
      <c r="E7" s="57" t="s">
        <v>191</v>
      </c>
      <c r="F7" s="33" t="s">
        <v>192</v>
      </c>
      <c r="G7" s="12">
        <v>1</v>
      </c>
      <c r="H7" s="13">
        <v>25</v>
      </c>
      <c r="I7" s="34">
        <v>3000</v>
      </c>
      <c r="J7" s="5">
        <v>1320</v>
      </c>
      <c r="K7" s="15">
        <f>L7</f>
        <v>1319</v>
      </c>
      <c r="L7" s="15">
        <v>1319</v>
      </c>
      <c r="M7" s="16">
        <f t="shared" si="0"/>
        <v>1319</v>
      </c>
      <c r="N7" s="16">
        <v>0</v>
      </c>
      <c r="O7" s="62">
        <f t="shared" si="1"/>
        <v>0</v>
      </c>
      <c r="P7" s="42">
        <f t="shared" si="2"/>
        <v>8</v>
      </c>
      <c r="Q7" s="43">
        <f t="shared" si="3"/>
        <v>16</v>
      </c>
      <c r="R7" s="7">
        <v>14</v>
      </c>
      <c r="S7" s="6"/>
      <c r="T7" s="17">
        <v>2</v>
      </c>
      <c r="U7" s="17"/>
      <c r="V7" s="18"/>
      <c r="W7" s="19"/>
      <c r="X7" s="17"/>
      <c r="Y7" s="20"/>
      <c r="Z7" s="20"/>
      <c r="AA7" s="21"/>
      <c r="AB7" s="8">
        <f t="shared" si="4"/>
        <v>0.99924242424242427</v>
      </c>
      <c r="AC7" s="9">
        <f t="shared" si="5"/>
        <v>0.33333333333333331</v>
      </c>
      <c r="AD7" s="10">
        <f t="shared" si="6"/>
        <v>0.33308080808080809</v>
      </c>
      <c r="AE7" s="39">
        <f t="shared" si="7"/>
        <v>0.51887285312916853</v>
      </c>
      <c r="AF7" s="94">
        <f t="shared" si="8"/>
        <v>2</v>
      </c>
    </row>
    <row r="8" spans="1:32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65000</v>
      </c>
      <c r="J8" s="14">
        <v>3960</v>
      </c>
      <c r="K8" s="15">
        <f>L8+452+3795</f>
        <v>8202</v>
      </c>
      <c r="L8" s="15">
        <f>1205+2750</f>
        <v>3955</v>
      </c>
      <c r="M8" s="16">
        <f t="shared" si="0"/>
        <v>3955</v>
      </c>
      <c r="N8" s="16">
        <v>0</v>
      </c>
      <c r="O8" s="62">
        <f t="shared" si="1"/>
        <v>0</v>
      </c>
      <c r="P8" s="42">
        <f t="shared" si="2"/>
        <v>21</v>
      </c>
      <c r="Q8" s="43">
        <f t="shared" si="3"/>
        <v>3</v>
      </c>
      <c r="R8" s="7"/>
      <c r="S8" s="6">
        <v>3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0.9987373737373737</v>
      </c>
      <c r="AC8" s="9">
        <f t="shared" si="5"/>
        <v>0.875</v>
      </c>
      <c r="AD8" s="10">
        <f t="shared" si="6"/>
        <v>0.87389520202020199</v>
      </c>
      <c r="AE8" s="39">
        <f t="shared" si="7"/>
        <v>0.51887285312916853</v>
      </c>
      <c r="AF8" s="94">
        <f>A8</f>
        <v>3</v>
      </c>
    </row>
    <row r="9" spans="1:32" ht="27" customHeight="1">
      <c r="A9" s="110">
        <v>4</v>
      </c>
      <c r="B9" s="11" t="s">
        <v>58</v>
      </c>
      <c r="C9" s="37" t="s">
        <v>137</v>
      </c>
      <c r="D9" s="55" t="s">
        <v>138</v>
      </c>
      <c r="E9" s="57" t="s">
        <v>139</v>
      </c>
      <c r="F9" s="33" t="s">
        <v>146</v>
      </c>
      <c r="G9" s="36">
        <v>1</v>
      </c>
      <c r="H9" s="38">
        <v>25</v>
      </c>
      <c r="I9" s="7">
        <v>45000</v>
      </c>
      <c r="J9" s="5">
        <v>4690</v>
      </c>
      <c r="K9" s="15">
        <f>L9+2660+5083</f>
        <v>12433</v>
      </c>
      <c r="L9" s="15">
        <f>2415+2275</f>
        <v>4690</v>
      </c>
      <c r="M9" s="16">
        <f t="shared" si="0"/>
        <v>4690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1</v>
      </c>
      <c r="AD9" s="10">
        <f t="shared" si="6"/>
        <v>1</v>
      </c>
      <c r="AE9" s="39">
        <f t="shared" si="7"/>
        <v>0.51887285312916853</v>
      </c>
      <c r="AF9" s="94">
        <f t="shared" ref="AF9" si="9">A9</f>
        <v>4</v>
      </c>
    </row>
    <row r="10" spans="1:32" ht="27" customHeight="1">
      <c r="A10" s="110">
        <v>5</v>
      </c>
      <c r="B10" s="11" t="s">
        <v>58</v>
      </c>
      <c r="C10" s="11" t="s">
        <v>133</v>
      </c>
      <c r="D10" s="55" t="s">
        <v>131</v>
      </c>
      <c r="E10" s="56" t="s">
        <v>154</v>
      </c>
      <c r="F10" s="12" t="s">
        <v>148</v>
      </c>
      <c r="G10" s="12">
        <v>1</v>
      </c>
      <c r="H10" s="13">
        <v>25</v>
      </c>
      <c r="I10" s="34">
        <v>55000</v>
      </c>
      <c r="J10" s="14">
        <v>3630</v>
      </c>
      <c r="K10" s="15">
        <f>L10+2928+5697+2831+3697+5889+4241+5564+2325+1191+1007+5147+3591</f>
        <v>47731</v>
      </c>
      <c r="L10" s="15">
        <f>2347+1276</f>
        <v>3623</v>
      </c>
      <c r="M10" s="16">
        <f t="shared" si="0"/>
        <v>3623</v>
      </c>
      <c r="N10" s="16">
        <v>0</v>
      </c>
      <c r="O10" s="62">
        <f t="shared" si="1"/>
        <v>0</v>
      </c>
      <c r="P10" s="42">
        <f t="shared" si="2"/>
        <v>19</v>
      </c>
      <c r="Q10" s="43">
        <f t="shared" si="3"/>
        <v>5</v>
      </c>
      <c r="R10" s="7"/>
      <c r="S10" s="6">
        <v>5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0.99807162534435256</v>
      </c>
      <c r="AC10" s="9">
        <f t="shared" si="5"/>
        <v>0.79166666666666663</v>
      </c>
      <c r="AD10" s="10">
        <f t="shared" si="6"/>
        <v>0.79014003673094579</v>
      </c>
      <c r="AE10" s="39">
        <f t="shared" si="7"/>
        <v>0.51887285312916853</v>
      </c>
      <c r="AF10" s="94">
        <f t="shared" si="8"/>
        <v>5</v>
      </c>
    </row>
    <row r="11" spans="1:32" ht="27" customHeight="1">
      <c r="A11" s="110">
        <v>6</v>
      </c>
      <c r="B11" s="11" t="s">
        <v>58</v>
      </c>
      <c r="C11" s="11" t="s">
        <v>163</v>
      </c>
      <c r="D11" s="55" t="s">
        <v>193</v>
      </c>
      <c r="E11" s="57" t="s">
        <v>194</v>
      </c>
      <c r="F11" s="12" t="s">
        <v>147</v>
      </c>
      <c r="G11" s="12">
        <v>1</v>
      </c>
      <c r="H11" s="13">
        <v>25</v>
      </c>
      <c r="I11" s="34">
        <v>11000</v>
      </c>
      <c r="J11" s="14">
        <v>330</v>
      </c>
      <c r="K11" s="15">
        <f>L11</f>
        <v>326</v>
      </c>
      <c r="L11" s="15">
        <v>326</v>
      </c>
      <c r="M11" s="16">
        <f t="shared" ref="M11" si="10">L11-N11</f>
        <v>326</v>
      </c>
      <c r="N11" s="16">
        <v>0</v>
      </c>
      <c r="O11" s="62">
        <f t="shared" ref="O11" si="11">IF(L11=0,"0",N11/L11)</f>
        <v>0</v>
      </c>
      <c r="P11" s="42">
        <f t="shared" ref="P11" si="12">IF(L11=0,"0",(24-Q11))</f>
        <v>4</v>
      </c>
      <c r="Q11" s="43">
        <f t="shared" ref="Q11" si="13">SUM(R11:AA11)</f>
        <v>20</v>
      </c>
      <c r="R11" s="7"/>
      <c r="S11" s="6">
        <v>20</v>
      </c>
      <c r="T11" s="17"/>
      <c r="U11" s="17"/>
      <c r="V11" s="18"/>
      <c r="W11" s="19"/>
      <c r="X11" s="17"/>
      <c r="Y11" s="20"/>
      <c r="Z11" s="20"/>
      <c r="AA11" s="21"/>
      <c r="AB11" s="8">
        <f t="shared" ref="AB11" si="14">IF(J11=0,"0",(L11/J11))</f>
        <v>0.98787878787878791</v>
      </c>
      <c r="AC11" s="9">
        <f t="shared" ref="AC11" si="15">IF(P11=0,"0",(P11/24))</f>
        <v>0.16666666666666666</v>
      </c>
      <c r="AD11" s="10">
        <f t="shared" ref="AD11" si="16">AC11*AB11*(1-O11)</f>
        <v>0.16464646464646465</v>
      </c>
      <c r="AE11" s="39">
        <f t="shared" si="7"/>
        <v>0.51887285312916853</v>
      </c>
      <c r="AF11" s="94">
        <f t="shared" ref="AF11" si="17">A11</f>
        <v>6</v>
      </c>
    </row>
    <row r="12" spans="1:32" ht="27" customHeight="1">
      <c r="A12" s="110">
        <v>6</v>
      </c>
      <c r="B12" s="11" t="s">
        <v>58</v>
      </c>
      <c r="C12" s="11" t="s">
        <v>163</v>
      </c>
      <c r="D12" s="55" t="s">
        <v>167</v>
      </c>
      <c r="E12" s="57" t="s">
        <v>168</v>
      </c>
      <c r="F12" s="12" t="s">
        <v>147</v>
      </c>
      <c r="G12" s="12">
        <v>1</v>
      </c>
      <c r="H12" s="13">
        <v>25</v>
      </c>
      <c r="I12" s="34">
        <v>11000</v>
      </c>
      <c r="J12" s="14">
        <v>2880</v>
      </c>
      <c r="K12" s="15">
        <f>L12</f>
        <v>2872</v>
      </c>
      <c r="L12" s="15">
        <v>2872</v>
      </c>
      <c r="M12" s="16">
        <f t="shared" si="0"/>
        <v>2872</v>
      </c>
      <c r="N12" s="16">
        <v>0</v>
      </c>
      <c r="O12" s="62">
        <f t="shared" si="1"/>
        <v>0</v>
      </c>
      <c r="P12" s="42">
        <f t="shared" si="2"/>
        <v>11</v>
      </c>
      <c r="Q12" s="43">
        <f t="shared" si="3"/>
        <v>13</v>
      </c>
      <c r="R12" s="7"/>
      <c r="S12" s="6"/>
      <c r="T12" s="17">
        <v>13</v>
      </c>
      <c r="U12" s="17"/>
      <c r="V12" s="18"/>
      <c r="W12" s="19"/>
      <c r="X12" s="17"/>
      <c r="Y12" s="20"/>
      <c r="Z12" s="20"/>
      <c r="AA12" s="21"/>
      <c r="AB12" s="8">
        <f t="shared" si="4"/>
        <v>0.99722222222222223</v>
      </c>
      <c r="AC12" s="9">
        <f t="shared" si="5"/>
        <v>0.45833333333333331</v>
      </c>
      <c r="AD12" s="10">
        <f t="shared" si="6"/>
        <v>0.45706018518518515</v>
      </c>
      <c r="AE12" s="39">
        <f t="shared" si="7"/>
        <v>0.51887285312916853</v>
      </c>
      <c r="AF12" s="94">
        <f t="shared" si="8"/>
        <v>6</v>
      </c>
    </row>
    <row r="13" spans="1:32" ht="27" customHeight="1">
      <c r="A13" s="110">
        <v>7</v>
      </c>
      <c r="B13" s="11" t="s">
        <v>58</v>
      </c>
      <c r="C13" s="11" t="s">
        <v>137</v>
      </c>
      <c r="D13" s="55" t="s">
        <v>57</v>
      </c>
      <c r="E13" s="57" t="s">
        <v>160</v>
      </c>
      <c r="F13" s="12" t="s">
        <v>145</v>
      </c>
      <c r="G13" s="12">
        <v>1</v>
      </c>
      <c r="H13" s="13">
        <v>25</v>
      </c>
      <c r="I13" s="7">
        <v>62000</v>
      </c>
      <c r="J13" s="14">
        <v>4210</v>
      </c>
      <c r="K13" s="15">
        <f>L13+3062+3955+2262+4171+4492</f>
        <v>22143</v>
      </c>
      <c r="L13" s="15">
        <f>2187+2014</f>
        <v>4201</v>
      </c>
      <c r="M13" s="16">
        <f t="shared" si="0"/>
        <v>4201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0.99786223277909736</v>
      </c>
      <c r="AC13" s="9">
        <f t="shared" si="5"/>
        <v>1</v>
      </c>
      <c r="AD13" s="10">
        <f t="shared" si="6"/>
        <v>0.99786223277909736</v>
      </c>
      <c r="AE13" s="39">
        <f t="shared" si="7"/>
        <v>0.51887285312916853</v>
      </c>
      <c r="AF13" s="94">
        <f t="shared" si="8"/>
        <v>7</v>
      </c>
    </row>
    <row r="14" spans="1:32" ht="27" customHeight="1">
      <c r="A14" s="110">
        <v>8</v>
      </c>
      <c r="B14" s="11" t="s">
        <v>58</v>
      </c>
      <c r="C14" s="11" t="s">
        <v>117</v>
      </c>
      <c r="D14" s="55" t="s">
        <v>140</v>
      </c>
      <c r="E14" s="57" t="s">
        <v>141</v>
      </c>
      <c r="F14" s="12" t="s">
        <v>142</v>
      </c>
      <c r="G14" s="12">
        <v>1</v>
      </c>
      <c r="H14" s="13">
        <v>25</v>
      </c>
      <c r="I14" s="7">
        <v>4000</v>
      </c>
      <c r="J14" s="14">
        <v>1750</v>
      </c>
      <c r="K14" s="15">
        <f>L14+1579+2946+2628+1746</f>
        <v>8899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0.51887285312916853</v>
      </c>
      <c r="AF14" s="94">
        <f t="shared" si="8"/>
        <v>8</v>
      </c>
    </row>
    <row r="15" spans="1:32" ht="27" customHeight="1">
      <c r="A15" s="109">
        <v>9</v>
      </c>
      <c r="B15" s="11" t="s">
        <v>149</v>
      </c>
      <c r="C15" s="37" t="s">
        <v>195</v>
      </c>
      <c r="D15" s="55" t="s">
        <v>196</v>
      </c>
      <c r="E15" s="57" t="s">
        <v>197</v>
      </c>
      <c r="F15" s="33" t="s">
        <v>198</v>
      </c>
      <c r="G15" s="36">
        <v>1</v>
      </c>
      <c r="H15" s="38">
        <v>25</v>
      </c>
      <c r="I15" s="7">
        <v>500</v>
      </c>
      <c r="J15" s="5">
        <v>240</v>
      </c>
      <c r="K15" s="15">
        <f>L15</f>
        <v>240</v>
      </c>
      <c r="L15" s="15">
        <v>240</v>
      </c>
      <c r="M15" s="16">
        <f t="shared" si="0"/>
        <v>240</v>
      </c>
      <c r="N15" s="16">
        <v>0</v>
      </c>
      <c r="O15" s="62">
        <f t="shared" si="1"/>
        <v>0</v>
      </c>
      <c r="P15" s="42">
        <f t="shared" si="2"/>
        <v>5</v>
      </c>
      <c r="Q15" s="43">
        <f t="shared" si="3"/>
        <v>19</v>
      </c>
      <c r="R15" s="7"/>
      <c r="S15" s="6">
        <v>19</v>
      </c>
      <c r="T15" s="17"/>
      <c r="U15" s="17"/>
      <c r="V15" s="18"/>
      <c r="W15" s="19"/>
      <c r="X15" s="17"/>
      <c r="Y15" s="20"/>
      <c r="Z15" s="20"/>
      <c r="AA15" s="21"/>
      <c r="AB15" s="8">
        <f t="shared" si="4"/>
        <v>1</v>
      </c>
      <c r="AC15" s="9">
        <f t="shared" si="5"/>
        <v>0.20833333333333334</v>
      </c>
      <c r="AD15" s="10">
        <f t="shared" si="6"/>
        <v>0.20833333333333334</v>
      </c>
      <c r="AE15" s="39">
        <f t="shared" si="7"/>
        <v>0.51887285312916853</v>
      </c>
      <c r="AF15" s="94">
        <f t="shared" si="8"/>
        <v>9</v>
      </c>
    </row>
    <row r="16" spans="1:32" ht="27" customHeight="1">
      <c r="A16" s="109">
        <v>10</v>
      </c>
      <c r="B16" s="11" t="s">
        <v>149</v>
      </c>
      <c r="C16" s="11" t="s">
        <v>163</v>
      </c>
      <c r="D16" s="55" t="s">
        <v>167</v>
      </c>
      <c r="E16" s="57" t="s">
        <v>168</v>
      </c>
      <c r="F16" s="12" t="s">
        <v>166</v>
      </c>
      <c r="G16" s="12">
        <v>1</v>
      </c>
      <c r="H16" s="13">
        <v>20</v>
      </c>
      <c r="I16" s="34">
        <v>3000</v>
      </c>
      <c r="J16" s="14">
        <v>15880</v>
      </c>
      <c r="K16" s="15">
        <f>L16</f>
        <v>0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>
        <v>24</v>
      </c>
      <c r="W16" s="19"/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0.51887285312916853</v>
      </c>
      <c r="AF16" s="94">
        <f t="shared" si="8"/>
        <v>10</v>
      </c>
    </row>
    <row r="17" spans="1:36" ht="27.75" customHeight="1">
      <c r="A17" s="109">
        <v>11</v>
      </c>
      <c r="B17" s="11" t="s">
        <v>149</v>
      </c>
      <c r="C17" s="11" t="s">
        <v>199</v>
      </c>
      <c r="D17" s="55" t="s">
        <v>178</v>
      </c>
      <c r="E17" s="56" t="s">
        <v>200</v>
      </c>
      <c r="F17" s="12" t="s">
        <v>201</v>
      </c>
      <c r="G17" s="36">
        <v>2</v>
      </c>
      <c r="H17" s="38">
        <v>25</v>
      </c>
      <c r="I17" s="7">
        <v>5000</v>
      </c>
      <c r="J17" s="14">
        <v>6710</v>
      </c>
      <c r="K17" s="15">
        <f>L17</f>
        <v>6710</v>
      </c>
      <c r="L17" s="15">
        <f>500*2+2855*2</f>
        <v>6710</v>
      </c>
      <c r="M17" s="16">
        <f t="shared" si="0"/>
        <v>6710</v>
      </c>
      <c r="N17" s="16">
        <v>0</v>
      </c>
      <c r="O17" s="62">
        <f t="shared" si="1"/>
        <v>0</v>
      </c>
      <c r="P17" s="42">
        <f t="shared" si="2"/>
        <v>19</v>
      </c>
      <c r="Q17" s="43">
        <f t="shared" si="3"/>
        <v>5</v>
      </c>
      <c r="R17" s="7"/>
      <c r="S17" s="6"/>
      <c r="T17" s="17">
        <v>5</v>
      </c>
      <c r="U17" s="17"/>
      <c r="V17" s="18"/>
      <c r="W17" s="19"/>
      <c r="X17" s="17"/>
      <c r="Y17" s="20"/>
      <c r="Z17" s="20"/>
      <c r="AA17" s="21"/>
      <c r="AB17" s="8">
        <f t="shared" si="4"/>
        <v>1</v>
      </c>
      <c r="AC17" s="9">
        <f t="shared" si="5"/>
        <v>0.79166666666666663</v>
      </c>
      <c r="AD17" s="10">
        <f t="shared" si="6"/>
        <v>0.79166666666666663</v>
      </c>
      <c r="AE17" s="39">
        <f t="shared" si="7"/>
        <v>0.51887285312916853</v>
      </c>
      <c r="AF17" s="94">
        <f>A17</f>
        <v>11</v>
      </c>
      <c r="AJ17" s="15"/>
    </row>
    <row r="18" spans="1:36" ht="27" customHeight="1">
      <c r="A18" s="109">
        <v>12</v>
      </c>
      <c r="B18" s="11" t="s">
        <v>149</v>
      </c>
      <c r="C18" s="37" t="s">
        <v>151</v>
      </c>
      <c r="D18" s="55" t="s">
        <v>202</v>
      </c>
      <c r="E18" s="56" t="s">
        <v>203</v>
      </c>
      <c r="F18" s="12">
        <v>8301</v>
      </c>
      <c r="G18" s="12">
        <v>1</v>
      </c>
      <c r="H18" s="13">
        <v>25</v>
      </c>
      <c r="I18" s="34">
        <v>2000</v>
      </c>
      <c r="J18" s="5">
        <v>2150</v>
      </c>
      <c r="K18" s="15">
        <f>L18</f>
        <v>2150</v>
      </c>
      <c r="L18" s="15">
        <f>861+1289</f>
        <v>2150</v>
      </c>
      <c r="M18" s="16">
        <f t="shared" si="0"/>
        <v>2150</v>
      </c>
      <c r="N18" s="16">
        <v>0</v>
      </c>
      <c r="O18" s="62">
        <f t="shared" si="1"/>
        <v>0</v>
      </c>
      <c r="P18" s="42">
        <f t="shared" si="2"/>
        <v>18</v>
      </c>
      <c r="Q18" s="43">
        <f t="shared" si="3"/>
        <v>6</v>
      </c>
      <c r="R18" s="7"/>
      <c r="S18" s="6"/>
      <c r="T18" s="17">
        <v>6</v>
      </c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0.75</v>
      </c>
      <c r="AD18" s="10">
        <f t="shared" si="6"/>
        <v>0.75</v>
      </c>
      <c r="AE18" s="39">
        <f t="shared" si="7"/>
        <v>0.51887285312916853</v>
      </c>
      <c r="AF18" s="94">
        <f t="shared" si="8"/>
        <v>12</v>
      </c>
    </row>
    <row r="19" spans="1:36" ht="27" customHeight="1">
      <c r="A19" s="110">
        <v>13</v>
      </c>
      <c r="B19" s="11" t="s">
        <v>58</v>
      </c>
      <c r="C19" s="37" t="s">
        <v>118</v>
      </c>
      <c r="D19" s="55" t="s">
        <v>138</v>
      </c>
      <c r="E19" s="57" t="s">
        <v>158</v>
      </c>
      <c r="F19" s="33" t="s">
        <v>142</v>
      </c>
      <c r="G19" s="36">
        <v>1</v>
      </c>
      <c r="H19" s="38">
        <v>25</v>
      </c>
      <c r="I19" s="7">
        <v>62000</v>
      </c>
      <c r="J19" s="5">
        <v>1610</v>
      </c>
      <c r="K19" s="15">
        <f>L19+2232+4609+1982+1137+3270+2188</f>
        <v>17027</v>
      </c>
      <c r="L19" s="15">
        <f>1609</f>
        <v>1609</v>
      </c>
      <c r="M19" s="16">
        <f t="shared" si="0"/>
        <v>1609</v>
      </c>
      <c r="N19" s="16">
        <v>0</v>
      </c>
      <c r="O19" s="62">
        <f t="shared" si="1"/>
        <v>0</v>
      </c>
      <c r="P19" s="42">
        <f t="shared" si="2"/>
        <v>10</v>
      </c>
      <c r="Q19" s="43">
        <f t="shared" si="3"/>
        <v>14</v>
      </c>
      <c r="R19" s="7"/>
      <c r="S19" s="6">
        <v>14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0.99937888198757763</v>
      </c>
      <c r="AC19" s="9">
        <f t="shared" si="5"/>
        <v>0.41666666666666669</v>
      </c>
      <c r="AD19" s="10">
        <f t="shared" si="6"/>
        <v>0.41640786749482406</v>
      </c>
      <c r="AE19" s="39">
        <f t="shared" si="7"/>
        <v>0.51887285312916853</v>
      </c>
      <c r="AF19" s="94">
        <f t="shared" si="8"/>
        <v>13</v>
      </c>
    </row>
    <row r="20" spans="1:36" ht="27" customHeight="1">
      <c r="A20" s="110">
        <v>14</v>
      </c>
      <c r="B20" s="11" t="s">
        <v>58</v>
      </c>
      <c r="C20" s="11" t="s">
        <v>137</v>
      </c>
      <c r="D20" s="55" t="s">
        <v>57</v>
      </c>
      <c r="E20" s="56" t="s">
        <v>159</v>
      </c>
      <c r="F20" s="12" t="s">
        <v>145</v>
      </c>
      <c r="G20" s="12">
        <v>1</v>
      </c>
      <c r="H20" s="38">
        <v>25</v>
      </c>
      <c r="I20" s="34">
        <v>45000</v>
      </c>
      <c r="J20" s="5">
        <v>5390</v>
      </c>
      <c r="K20" s="15">
        <f>L20+4457+5150+5194+2223+4847+5149</f>
        <v>32410</v>
      </c>
      <c r="L20" s="15">
        <f>2572+2818</f>
        <v>5390</v>
      </c>
      <c r="M20" s="16">
        <f t="shared" si="0"/>
        <v>5390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1</v>
      </c>
      <c r="AD20" s="10">
        <f t="shared" si="6"/>
        <v>1</v>
      </c>
      <c r="AE20" s="39">
        <f t="shared" si="7"/>
        <v>0.51887285312916853</v>
      </c>
      <c r="AF20" s="94">
        <f t="shared" si="8"/>
        <v>14</v>
      </c>
    </row>
    <row r="21" spans="1:36" ht="27" customHeight="1" thickBot="1">
      <c r="A21" s="110">
        <v>15</v>
      </c>
      <c r="B21" s="11" t="s">
        <v>58</v>
      </c>
      <c r="C21" s="11" t="s">
        <v>115</v>
      </c>
      <c r="D21" s="55"/>
      <c r="E21" s="56" t="s">
        <v>155</v>
      </c>
      <c r="F21" s="12" t="s">
        <v>116</v>
      </c>
      <c r="G21" s="12">
        <v>4</v>
      </c>
      <c r="H21" s="38">
        <v>15</v>
      </c>
      <c r="I21" s="7">
        <v>300000</v>
      </c>
      <c r="J21" s="14">
        <v>32870</v>
      </c>
      <c r="K21" s="15">
        <f>L21+28820+65228+31484+54604+68244+65068+68920+32864</f>
        <v>415232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0.51887285312916853</v>
      </c>
      <c r="AF21" s="94">
        <f t="shared" si="8"/>
        <v>15</v>
      </c>
    </row>
    <row r="22" spans="1:36" ht="31.5" customHeight="1" thickBot="1">
      <c r="A22" s="465" t="s">
        <v>34</v>
      </c>
      <c r="B22" s="466"/>
      <c r="C22" s="466"/>
      <c r="D22" s="466"/>
      <c r="E22" s="466"/>
      <c r="F22" s="466"/>
      <c r="G22" s="466"/>
      <c r="H22" s="467"/>
      <c r="I22" s="25">
        <f t="shared" ref="I22:N22" si="18">SUM(I6:I21)</f>
        <v>673500</v>
      </c>
      <c r="J22" s="22">
        <f t="shared" si="18"/>
        <v>87620</v>
      </c>
      <c r="K22" s="23">
        <f t="shared" si="18"/>
        <v>577694</v>
      </c>
      <c r="L22" s="24">
        <f t="shared" si="18"/>
        <v>37085</v>
      </c>
      <c r="M22" s="23">
        <f t="shared" si="18"/>
        <v>37085</v>
      </c>
      <c r="N22" s="24">
        <f t="shared" si="18"/>
        <v>0</v>
      </c>
      <c r="O22" s="44">
        <f t="shared" si="1"/>
        <v>0</v>
      </c>
      <c r="P22" s="45">
        <f t="shared" ref="P22:AA22" si="19">SUM(P6:P21)</f>
        <v>187</v>
      </c>
      <c r="Q22" s="46">
        <f t="shared" si="19"/>
        <v>197</v>
      </c>
      <c r="R22" s="26">
        <f t="shared" si="19"/>
        <v>38</v>
      </c>
      <c r="S22" s="27">
        <f t="shared" si="19"/>
        <v>61</v>
      </c>
      <c r="T22" s="27">
        <f t="shared" si="19"/>
        <v>26</v>
      </c>
      <c r="U22" s="27">
        <f t="shared" si="19"/>
        <v>0</v>
      </c>
      <c r="V22" s="28">
        <f t="shared" si="19"/>
        <v>24</v>
      </c>
      <c r="W22" s="29">
        <f t="shared" si="19"/>
        <v>48</v>
      </c>
      <c r="X22" s="30">
        <f t="shared" si="19"/>
        <v>0</v>
      </c>
      <c r="Y22" s="30">
        <f t="shared" si="19"/>
        <v>0</v>
      </c>
      <c r="Z22" s="30">
        <f t="shared" si="19"/>
        <v>0</v>
      </c>
      <c r="AA22" s="30">
        <f t="shared" si="19"/>
        <v>0</v>
      </c>
      <c r="AB22" s="31">
        <f>SUM(AB6:AB21)/15</f>
        <v>0.79855956987945576</v>
      </c>
      <c r="AC22" s="4">
        <f>SUM(AC6:AC21)/15</f>
        <v>0.51944444444444449</v>
      </c>
      <c r="AD22" s="4">
        <f>SUM(AD6:AD21)/15</f>
        <v>0.51887285312916853</v>
      </c>
      <c r="AE22" s="32"/>
    </row>
    <row r="24" spans="1:36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6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6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6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6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6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6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68" t="s">
        <v>45</v>
      </c>
      <c r="B49" s="468"/>
      <c r="C49" s="468"/>
      <c r="D49" s="468"/>
      <c r="E49" s="468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69" t="s">
        <v>204</v>
      </c>
      <c r="B50" s="470"/>
      <c r="C50" s="470"/>
      <c r="D50" s="470"/>
      <c r="E50" s="470"/>
      <c r="F50" s="470"/>
      <c r="G50" s="470"/>
      <c r="H50" s="470"/>
      <c r="I50" s="470"/>
      <c r="J50" s="470"/>
      <c r="K50" s="470"/>
      <c r="L50" s="470"/>
      <c r="M50" s="471"/>
      <c r="N50" s="472" t="s">
        <v>217</v>
      </c>
      <c r="O50" s="473"/>
      <c r="P50" s="473"/>
      <c r="Q50" s="473"/>
      <c r="R50" s="473"/>
      <c r="S50" s="473"/>
      <c r="T50" s="473"/>
      <c r="U50" s="473"/>
      <c r="V50" s="473"/>
      <c r="W50" s="473"/>
      <c r="X50" s="473"/>
      <c r="Y50" s="473"/>
      <c r="Z50" s="473"/>
      <c r="AA50" s="473"/>
      <c r="AB50" s="473"/>
      <c r="AC50" s="473"/>
      <c r="AD50" s="474"/>
    </row>
    <row r="51" spans="1:32" ht="27" customHeight="1">
      <c r="A51" s="475" t="s">
        <v>2</v>
      </c>
      <c r="B51" s="476"/>
      <c r="C51" s="126" t="s">
        <v>46</v>
      </c>
      <c r="D51" s="126" t="s">
        <v>47</v>
      </c>
      <c r="E51" s="126" t="s">
        <v>109</v>
      </c>
      <c r="F51" s="476" t="s">
        <v>108</v>
      </c>
      <c r="G51" s="476"/>
      <c r="H51" s="476"/>
      <c r="I51" s="476"/>
      <c r="J51" s="476"/>
      <c r="K51" s="476"/>
      <c r="L51" s="476"/>
      <c r="M51" s="477"/>
      <c r="N51" s="73" t="s">
        <v>113</v>
      </c>
      <c r="O51" s="126" t="s">
        <v>46</v>
      </c>
      <c r="P51" s="478" t="s">
        <v>47</v>
      </c>
      <c r="Q51" s="479"/>
      <c r="R51" s="478" t="s">
        <v>38</v>
      </c>
      <c r="S51" s="480"/>
      <c r="T51" s="480"/>
      <c r="U51" s="479"/>
      <c r="V51" s="478" t="s">
        <v>48</v>
      </c>
      <c r="W51" s="480"/>
      <c r="X51" s="480"/>
      <c r="Y51" s="480"/>
      <c r="Z51" s="480"/>
      <c r="AA51" s="480"/>
      <c r="AB51" s="480"/>
      <c r="AC51" s="480"/>
      <c r="AD51" s="481"/>
    </row>
    <row r="52" spans="1:32" ht="27" customHeight="1">
      <c r="A52" s="492" t="s">
        <v>205</v>
      </c>
      <c r="B52" s="493"/>
      <c r="C52" s="127" t="s">
        <v>206</v>
      </c>
      <c r="D52" s="128" t="s">
        <v>207</v>
      </c>
      <c r="E52" s="127" t="s">
        <v>208</v>
      </c>
      <c r="F52" s="494" t="s">
        <v>209</v>
      </c>
      <c r="G52" s="494"/>
      <c r="H52" s="494"/>
      <c r="I52" s="494"/>
      <c r="J52" s="494"/>
      <c r="K52" s="494"/>
      <c r="L52" s="494"/>
      <c r="M52" s="495"/>
      <c r="N52" s="137" t="s">
        <v>177</v>
      </c>
      <c r="O52" s="74" t="s">
        <v>222</v>
      </c>
      <c r="P52" s="496" t="s">
        <v>196</v>
      </c>
      <c r="Q52" s="497"/>
      <c r="R52" s="498" t="s">
        <v>223</v>
      </c>
      <c r="S52" s="498"/>
      <c r="T52" s="498"/>
      <c r="U52" s="498"/>
      <c r="V52" s="494" t="s">
        <v>171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205</v>
      </c>
      <c r="B53" s="493"/>
      <c r="C53" s="127" t="s">
        <v>170</v>
      </c>
      <c r="D53" s="128" t="s">
        <v>178</v>
      </c>
      <c r="E53" s="127" t="s">
        <v>200</v>
      </c>
      <c r="F53" s="494" t="s">
        <v>171</v>
      </c>
      <c r="G53" s="494"/>
      <c r="H53" s="494"/>
      <c r="I53" s="494"/>
      <c r="J53" s="494"/>
      <c r="K53" s="494"/>
      <c r="L53" s="494"/>
      <c r="M53" s="495"/>
      <c r="N53" s="132" t="s">
        <v>117</v>
      </c>
      <c r="O53" s="74" t="s">
        <v>143</v>
      </c>
      <c r="P53" s="496" t="s">
        <v>57</v>
      </c>
      <c r="Q53" s="497"/>
      <c r="R53" s="498" t="s">
        <v>162</v>
      </c>
      <c r="S53" s="498"/>
      <c r="T53" s="498"/>
      <c r="U53" s="498"/>
      <c r="V53" s="494" t="s">
        <v>144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117</v>
      </c>
      <c r="B54" s="493"/>
      <c r="C54" s="127" t="s">
        <v>143</v>
      </c>
      <c r="D54" s="128" t="s">
        <v>57</v>
      </c>
      <c r="E54" s="127" t="s">
        <v>172</v>
      </c>
      <c r="F54" s="494" t="s">
        <v>210</v>
      </c>
      <c r="G54" s="494"/>
      <c r="H54" s="494"/>
      <c r="I54" s="494"/>
      <c r="J54" s="494"/>
      <c r="K54" s="494"/>
      <c r="L54" s="494"/>
      <c r="M54" s="495"/>
      <c r="N54" s="132" t="s">
        <v>151</v>
      </c>
      <c r="O54" s="74" t="s">
        <v>224</v>
      </c>
      <c r="P54" s="496" t="s">
        <v>153</v>
      </c>
      <c r="Q54" s="497"/>
      <c r="R54" s="498" t="s">
        <v>225</v>
      </c>
      <c r="S54" s="498"/>
      <c r="T54" s="498"/>
      <c r="U54" s="498"/>
      <c r="V54" s="494" t="s">
        <v>226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173</v>
      </c>
      <c r="B55" s="493"/>
      <c r="C55" s="127" t="s">
        <v>174</v>
      </c>
      <c r="D55" s="128" t="s">
        <v>175</v>
      </c>
      <c r="E55" s="127" t="s">
        <v>176</v>
      </c>
      <c r="F55" s="494" t="s">
        <v>211</v>
      </c>
      <c r="G55" s="494"/>
      <c r="H55" s="494"/>
      <c r="I55" s="494"/>
      <c r="J55" s="494"/>
      <c r="K55" s="494"/>
      <c r="L55" s="494"/>
      <c r="M55" s="495"/>
      <c r="N55" s="132" t="s">
        <v>228</v>
      </c>
      <c r="O55" s="74" t="s">
        <v>229</v>
      </c>
      <c r="P55" s="496" t="s">
        <v>196</v>
      </c>
      <c r="Q55" s="497"/>
      <c r="R55" s="498" t="s">
        <v>227</v>
      </c>
      <c r="S55" s="498"/>
      <c r="T55" s="498"/>
      <c r="U55" s="498"/>
      <c r="V55" s="494" t="s">
        <v>150</v>
      </c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212</v>
      </c>
      <c r="B56" s="493"/>
      <c r="C56" s="127" t="s">
        <v>213</v>
      </c>
      <c r="D56" s="128" t="s">
        <v>214</v>
      </c>
      <c r="E56" s="127" t="s">
        <v>215</v>
      </c>
      <c r="F56" s="494" t="s">
        <v>216</v>
      </c>
      <c r="G56" s="494"/>
      <c r="H56" s="494"/>
      <c r="I56" s="494"/>
      <c r="J56" s="494"/>
      <c r="K56" s="494"/>
      <c r="L56" s="494"/>
      <c r="M56" s="495"/>
      <c r="N56" s="132" t="s">
        <v>230</v>
      </c>
      <c r="O56" s="74" t="s">
        <v>231</v>
      </c>
      <c r="P56" s="496" t="s">
        <v>232</v>
      </c>
      <c r="Q56" s="497"/>
      <c r="R56" s="498" t="s">
        <v>233</v>
      </c>
      <c r="S56" s="498"/>
      <c r="T56" s="498"/>
      <c r="U56" s="498"/>
      <c r="V56" s="494" t="s">
        <v>152</v>
      </c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 t="s">
        <v>118</v>
      </c>
      <c r="B57" s="493"/>
      <c r="C57" s="127" t="s">
        <v>218</v>
      </c>
      <c r="D57" s="128" t="s">
        <v>219</v>
      </c>
      <c r="E57" s="127" t="s">
        <v>220</v>
      </c>
      <c r="F57" s="494" t="s">
        <v>221</v>
      </c>
      <c r="G57" s="494"/>
      <c r="H57" s="494"/>
      <c r="I57" s="494"/>
      <c r="J57" s="494"/>
      <c r="K57" s="494"/>
      <c r="L57" s="494"/>
      <c r="M57" s="495"/>
      <c r="N57" s="132" t="s">
        <v>234</v>
      </c>
      <c r="O57" s="74" t="s">
        <v>235</v>
      </c>
      <c r="P57" s="498" t="s">
        <v>196</v>
      </c>
      <c r="Q57" s="498"/>
      <c r="R57" s="498" t="s">
        <v>236</v>
      </c>
      <c r="S57" s="498"/>
      <c r="T57" s="498"/>
      <c r="U57" s="498"/>
      <c r="V57" s="494" t="s">
        <v>237</v>
      </c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/>
      <c r="B58" s="493"/>
      <c r="C58" s="127"/>
      <c r="D58" s="128"/>
      <c r="E58" s="127"/>
      <c r="F58" s="494"/>
      <c r="G58" s="494"/>
      <c r="H58" s="494"/>
      <c r="I58" s="494"/>
      <c r="J58" s="494"/>
      <c r="K58" s="494"/>
      <c r="L58" s="494"/>
      <c r="M58" s="495"/>
      <c r="N58" s="132"/>
      <c r="O58" s="74"/>
      <c r="P58" s="496"/>
      <c r="Q58" s="497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492"/>
      <c r="B59" s="493"/>
      <c r="C59" s="127"/>
      <c r="D59" s="128"/>
      <c r="E59" s="127"/>
      <c r="F59" s="494"/>
      <c r="G59" s="494"/>
      <c r="H59" s="494"/>
      <c r="I59" s="494"/>
      <c r="J59" s="494"/>
      <c r="K59" s="494"/>
      <c r="L59" s="494"/>
      <c r="M59" s="495"/>
      <c r="N59" s="132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</row>
    <row r="60" spans="1:32" ht="27" customHeight="1">
      <c r="A60" s="508"/>
      <c r="B60" s="498"/>
      <c r="C60" s="128"/>
      <c r="D60" s="128"/>
      <c r="E60" s="128"/>
      <c r="F60" s="494"/>
      <c r="G60" s="494"/>
      <c r="H60" s="494"/>
      <c r="I60" s="494"/>
      <c r="J60" s="494"/>
      <c r="K60" s="494"/>
      <c r="L60" s="494"/>
      <c r="M60" s="495"/>
      <c r="N60" s="132"/>
      <c r="O60" s="74"/>
      <c r="P60" s="498"/>
      <c r="Q60" s="498"/>
      <c r="R60" s="498"/>
      <c r="S60" s="498"/>
      <c r="T60" s="498"/>
      <c r="U60" s="498"/>
      <c r="V60" s="494"/>
      <c r="W60" s="494"/>
      <c r="X60" s="494"/>
      <c r="Y60" s="494"/>
      <c r="Z60" s="494"/>
      <c r="AA60" s="494"/>
      <c r="AB60" s="494"/>
      <c r="AC60" s="494"/>
      <c r="AD60" s="495"/>
      <c r="AF60" s="94">
        <f>8*3000</f>
        <v>24000</v>
      </c>
    </row>
    <row r="61" spans="1:32" ht="27" customHeight="1" thickBot="1">
      <c r="A61" s="499"/>
      <c r="B61" s="500"/>
      <c r="C61" s="130"/>
      <c r="D61" s="130"/>
      <c r="E61" s="130"/>
      <c r="F61" s="501"/>
      <c r="G61" s="501"/>
      <c r="H61" s="501"/>
      <c r="I61" s="501"/>
      <c r="J61" s="501"/>
      <c r="K61" s="501"/>
      <c r="L61" s="501"/>
      <c r="M61" s="502"/>
      <c r="N61" s="129"/>
      <c r="O61" s="121"/>
      <c r="P61" s="500"/>
      <c r="Q61" s="500"/>
      <c r="R61" s="500"/>
      <c r="S61" s="500"/>
      <c r="T61" s="500"/>
      <c r="U61" s="500"/>
      <c r="V61" s="501"/>
      <c r="W61" s="501"/>
      <c r="X61" s="501"/>
      <c r="Y61" s="501"/>
      <c r="Z61" s="501"/>
      <c r="AA61" s="501"/>
      <c r="AB61" s="501"/>
      <c r="AC61" s="501"/>
      <c r="AD61" s="502"/>
      <c r="AF61" s="94">
        <f>16*3000</f>
        <v>48000</v>
      </c>
    </row>
    <row r="62" spans="1:32" ht="27.75" thickBot="1">
      <c r="A62" s="503" t="s">
        <v>179</v>
      </c>
      <c r="B62" s="503"/>
      <c r="C62" s="503"/>
      <c r="D62" s="503"/>
      <c r="E62" s="503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504" t="s">
        <v>114</v>
      </c>
      <c r="B63" s="505"/>
      <c r="C63" s="131" t="s">
        <v>2</v>
      </c>
      <c r="D63" s="131" t="s">
        <v>37</v>
      </c>
      <c r="E63" s="131" t="s">
        <v>3</v>
      </c>
      <c r="F63" s="505" t="s">
        <v>111</v>
      </c>
      <c r="G63" s="505"/>
      <c r="H63" s="505"/>
      <c r="I63" s="505"/>
      <c r="J63" s="505"/>
      <c r="K63" s="505" t="s">
        <v>39</v>
      </c>
      <c r="L63" s="505"/>
      <c r="M63" s="131" t="s">
        <v>40</v>
      </c>
      <c r="N63" s="505" t="s">
        <v>41</v>
      </c>
      <c r="O63" s="505"/>
      <c r="P63" s="506" t="s">
        <v>42</v>
      </c>
      <c r="Q63" s="507"/>
      <c r="R63" s="506" t="s">
        <v>43</v>
      </c>
      <c r="S63" s="509"/>
      <c r="T63" s="509"/>
      <c r="U63" s="509"/>
      <c r="V63" s="509"/>
      <c r="W63" s="509"/>
      <c r="X63" s="509"/>
      <c r="Y63" s="509"/>
      <c r="Z63" s="509"/>
      <c r="AA63" s="507"/>
      <c r="AB63" s="505" t="s">
        <v>44</v>
      </c>
      <c r="AC63" s="505"/>
      <c r="AD63" s="510"/>
      <c r="AF63" s="94">
        <f>SUM(AF60:AF62)</f>
        <v>96000</v>
      </c>
    </row>
    <row r="64" spans="1:32" ht="25.5" customHeight="1">
      <c r="A64" s="511">
        <v>1</v>
      </c>
      <c r="B64" s="512"/>
      <c r="C64" s="124" t="s">
        <v>151</v>
      </c>
      <c r="D64" s="135"/>
      <c r="E64" s="133" t="s">
        <v>238</v>
      </c>
      <c r="F64" s="513" t="s">
        <v>239</v>
      </c>
      <c r="G64" s="514"/>
      <c r="H64" s="514"/>
      <c r="I64" s="514"/>
      <c r="J64" s="514"/>
      <c r="K64" s="514" t="s">
        <v>240</v>
      </c>
      <c r="L64" s="514"/>
      <c r="M64" s="54" t="s">
        <v>161</v>
      </c>
      <c r="N64" s="514">
        <v>12</v>
      </c>
      <c r="O64" s="514"/>
      <c r="P64" s="515">
        <v>100</v>
      </c>
      <c r="Q64" s="515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2</v>
      </c>
      <c r="B65" s="512"/>
      <c r="C65" s="124" t="s">
        <v>118</v>
      </c>
      <c r="D65" s="135"/>
      <c r="E65" s="133" t="s">
        <v>180</v>
      </c>
      <c r="F65" s="513" t="s">
        <v>181</v>
      </c>
      <c r="G65" s="514"/>
      <c r="H65" s="514"/>
      <c r="I65" s="514"/>
      <c r="J65" s="514"/>
      <c r="K65" s="514" t="s">
        <v>184</v>
      </c>
      <c r="L65" s="514"/>
      <c r="M65" s="54" t="s">
        <v>169</v>
      </c>
      <c r="N65" s="514">
        <v>8</v>
      </c>
      <c r="O65" s="514"/>
      <c r="P65" s="515">
        <v>800</v>
      </c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3</v>
      </c>
      <c r="B66" s="512"/>
      <c r="C66" s="124" t="s">
        <v>118</v>
      </c>
      <c r="D66" s="135"/>
      <c r="E66" s="133" t="s">
        <v>182</v>
      </c>
      <c r="F66" s="513" t="s">
        <v>183</v>
      </c>
      <c r="G66" s="514"/>
      <c r="H66" s="514"/>
      <c r="I66" s="514"/>
      <c r="J66" s="514"/>
      <c r="K66" s="514" t="s">
        <v>184</v>
      </c>
      <c r="L66" s="514"/>
      <c r="M66" s="54" t="s">
        <v>169</v>
      </c>
      <c r="N66" s="514">
        <v>8</v>
      </c>
      <c r="O66" s="514"/>
      <c r="P66" s="515">
        <v>800</v>
      </c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4</v>
      </c>
      <c r="B67" s="512"/>
      <c r="C67" s="124" t="s">
        <v>195</v>
      </c>
      <c r="D67" s="135"/>
      <c r="E67" s="133" t="s">
        <v>241</v>
      </c>
      <c r="F67" s="513" t="s">
        <v>242</v>
      </c>
      <c r="G67" s="514"/>
      <c r="H67" s="514"/>
      <c r="I67" s="514"/>
      <c r="J67" s="514"/>
      <c r="K67" s="514" t="s">
        <v>243</v>
      </c>
      <c r="L67" s="514"/>
      <c r="M67" s="54" t="s">
        <v>244</v>
      </c>
      <c r="N67" s="514">
        <v>10</v>
      </c>
      <c r="O67" s="514"/>
      <c r="P67" s="515">
        <v>50</v>
      </c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5</v>
      </c>
      <c r="B68" s="512"/>
      <c r="C68" s="124"/>
      <c r="D68" s="135"/>
      <c r="E68" s="133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6</v>
      </c>
      <c r="B69" s="512"/>
      <c r="C69" s="124"/>
      <c r="D69" s="135"/>
      <c r="E69" s="133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7</v>
      </c>
      <c r="B70" s="512"/>
      <c r="C70" s="124"/>
      <c r="D70" s="135"/>
      <c r="E70" s="133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5.5" customHeight="1">
      <c r="A71" s="511">
        <v>8</v>
      </c>
      <c r="B71" s="512"/>
      <c r="C71" s="124"/>
      <c r="D71" s="135"/>
      <c r="E71" s="133"/>
      <c r="F71" s="513"/>
      <c r="G71" s="514"/>
      <c r="H71" s="514"/>
      <c r="I71" s="514"/>
      <c r="J71" s="514"/>
      <c r="K71" s="514"/>
      <c r="L71" s="514"/>
      <c r="M71" s="54"/>
      <c r="N71" s="514"/>
      <c r="O71" s="514"/>
      <c r="P71" s="515"/>
      <c r="Q71" s="515"/>
      <c r="R71" s="494"/>
      <c r="S71" s="494"/>
      <c r="T71" s="494"/>
      <c r="U71" s="494"/>
      <c r="V71" s="494"/>
      <c r="W71" s="494"/>
      <c r="X71" s="494"/>
      <c r="Y71" s="494"/>
      <c r="Z71" s="494"/>
      <c r="AA71" s="494"/>
      <c r="AB71" s="514"/>
      <c r="AC71" s="514"/>
      <c r="AD71" s="516"/>
      <c r="AF71" s="53"/>
    </row>
    <row r="72" spans="1:32" ht="26.25" customHeight="1" thickBot="1">
      <c r="A72" s="517" t="s">
        <v>185</v>
      </c>
      <c r="B72" s="517"/>
      <c r="C72" s="517"/>
      <c r="D72" s="517"/>
      <c r="E72" s="517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518" t="s">
        <v>114</v>
      </c>
      <c r="B73" s="519"/>
      <c r="C73" s="134" t="s">
        <v>2</v>
      </c>
      <c r="D73" s="134" t="s">
        <v>37</v>
      </c>
      <c r="E73" s="134" t="s">
        <v>3</v>
      </c>
      <c r="F73" s="519" t="s">
        <v>38</v>
      </c>
      <c r="G73" s="519"/>
      <c r="H73" s="519"/>
      <c r="I73" s="519"/>
      <c r="J73" s="519"/>
      <c r="K73" s="520" t="s">
        <v>59</v>
      </c>
      <c r="L73" s="521"/>
      <c r="M73" s="521"/>
      <c r="N73" s="521"/>
      <c r="O73" s="521"/>
      <c r="P73" s="521"/>
      <c r="Q73" s="521"/>
      <c r="R73" s="521"/>
      <c r="S73" s="522"/>
      <c r="T73" s="519" t="s">
        <v>49</v>
      </c>
      <c r="U73" s="519"/>
      <c r="V73" s="520" t="s">
        <v>50</v>
      </c>
      <c r="W73" s="522"/>
      <c r="X73" s="521" t="s">
        <v>51</v>
      </c>
      <c r="Y73" s="521"/>
      <c r="Z73" s="521"/>
      <c r="AA73" s="521"/>
      <c r="AB73" s="521"/>
      <c r="AC73" s="521"/>
      <c r="AD73" s="523"/>
      <c r="AF73" s="53"/>
    </row>
    <row r="74" spans="1:32" ht="33.75" customHeight="1">
      <c r="A74" s="532">
        <v>1</v>
      </c>
      <c r="B74" s="533"/>
      <c r="C74" s="136" t="s">
        <v>117</v>
      </c>
      <c r="D74" s="136"/>
      <c r="E74" s="71" t="s">
        <v>123</v>
      </c>
      <c r="F74" s="534" t="s">
        <v>124</v>
      </c>
      <c r="G74" s="535"/>
      <c r="H74" s="535"/>
      <c r="I74" s="535"/>
      <c r="J74" s="536"/>
      <c r="K74" s="537" t="s">
        <v>119</v>
      </c>
      <c r="L74" s="538"/>
      <c r="M74" s="538"/>
      <c r="N74" s="538"/>
      <c r="O74" s="538"/>
      <c r="P74" s="538"/>
      <c r="Q74" s="538"/>
      <c r="R74" s="538"/>
      <c r="S74" s="539"/>
      <c r="T74" s="540">
        <v>42901</v>
      </c>
      <c r="U74" s="541"/>
      <c r="V74" s="542"/>
      <c r="W74" s="542"/>
      <c r="X74" s="543"/>
      <c r="Y74" s="543"/>
      <c r="Z74" s="543"/>
      <c r="AA74" s="543"/>
      <c r="AB74" s="543"/>
      <c r="AC74" s="543"/>
      <c r="AD74" s="544"/>
      <c r="AF74" s="53"/>
    </row>
    <row r="75" spans="1:32" ht="30" customHeight="1">
      <c r="A75" s="524">
        <f>A74+1</f>
        <v>2</v>
      </c>
      <c r="B75" s="525"/>
      <c r="C75" s="135" t="s">
        <v>117</v>
      </c>
      <c r="D75" s="135"/>
      <c r="E75" s="35" t="s">
        <v>120</v>
      </c>
      <c r="F75" s="525" t="s">
        <v>121</v>
      </c>
      <c r="G75" s="525"/>
      <c r="H75" s="525"/>
      <c r="I75" s="525"/>
      <c r="J75" s="525"/>
      <c r="K75" s="526" t="s">
        <v>122</v>
      </c>
      <c r="L75" s="527"/>
      <c r="M75" s="527"/>
      <c r="N75" s="527"/>
      <c r="O75" s="527"/>
      <c r="P75" s="527"/>
      <c r="Q75" s="527"/>
      <c r="R75" s="527"/>
      <c r="S75" s="528"/>
      <c r="T75" s="529">
        <v>42867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ref="A76:A82" si="20">A75+1</f>
        <v>3</v>
      </c>
      <c r="B76" s="525"/>
      <c r="C76" s="135" t="s">
        <v>133</v>
      </c>
      <c r="D76" s="135"/>
      <c r="E76" s="35" t="s">
        <v>131</v>
      </c>
      <c r="F76" s="525" t="s">
        <v>134</v>
      </c>
      <c r="G76" s="525"/>
      <c r="H76" s="525"/>
      <c r="I76" s="525"/>
      <c r="J76" s="525"/>
      <c r="K76" s="526" t="s">
        <v>119</v>
      </c>
      <c r="L76" s="527"/>
      <c r="M76" s="527"/>
      <c r="N76" s="527"/>
      <c r="O76" s="527"/>
      <c r="P76" s="527"/>
      <c r="Q76" s="527"/>
      <c r="R76" s="527"/>
      <c r="S76" s="528"/>
      <c r="T76" s="529">
        <v>42937</v>
      </c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20"/>
        <v>4</v>
      </c>
      <c r="B77" s="525"/>
      <c r="C77" s="135" t="s">
        <v>118</v>
      </c>
      <c r="D77" s="135"/>
      <c r="E77" s="35" t="s">
        <v>129</v>
      </c>
      <c r="F77" s="525" t="s">
        <v>130</v>
      </c>
      <c r="G77" s="525"/>
      <c r="H77" s="525"/>
      <c r="I77" s="525"/>
      <c r="J77" s="525"/>
      <c r="K77" s="526" t="s">
        <v>132</v>
      </c>
      <c r="L77" s="527"/>
      <c r="M77" s="527"/>
      <c r="N77" s="527"/>
      <c r="O77" s="527"/>
      <c r="P77" s="527"/>
      <c r="Q77" s="527"/>
      <c r="R77" s="527"/>
      <c r="S77" s="528"/>
      <c r="T77" s="529">
        <v>42920</v>
      </c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20"/>
        <v>5</v>
      </c>
      <c r="B78" s="525"/>
      <c r="C78" s="135" t="s">
        <v>117</v>
      </c>
      <c r="D78" s="135"/>
      <c r="E78" s="35" t="s">
        <v>136</v>
      </c>
      <c r="F78" s="525" t="s">
        <v>156</v>
      </c>
      <c r="G78" s="525"/>
      <c r="H78" s="525"/>
      <c r="I78" s="525"/>
      <c r="J78" s="525"/>
      <c r="K78" s="526" t="s">
        <v>157</v>
      </c>
      <c r="L78" s="527"/>
      <c r="M78" s="527"/>
      <c r="N78" s="527"/>
      <c r="O78" s="527"/>
      <c r="P78" s="527"/>
      <c r="Q78" s="527"/>
      <c r="R78" s="527"/>
      <c r="S78" s="528"/>
      <c r="T78" s="529">
        <v>43033</v>
      </c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20"/>
        <v>6</v>
      </c>
      <c r="B79" s="525"/>
      <c r="C79" s="135"/>
      <c r="D79" s="135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20"/>
        <v>7</v>
      </c>
      <c r="B80" s="525"/>
      <c r="C80" s="135"/>
      <c r="D80" s="135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20"/>
        <v>8</v>
      </c>
      <c r="B81" s="525"/>
      <c r="C81" s="135"/>
      <c r="D81" s="135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0" customHeight="1">
      <c r="A82" s="524">
        <f t="shared" si="20"/>
        <v>9</v>
      </c>
      <c r="B82" s="525"/>
      <c r="C82" s="135"/>
      <c r="D82" s="135"/>
      <c r="E82" s="35"/>
      <c r="F82" s="525"/>
      <c r="G82" s="525"/>
      <c r="H82" s="525"/>
      <c r="I82" s="525"/>
      <c r="J82" s="525"/>
      <c r="K82" s="526"/>
      <c r="L82" s="527"/>
      <c r="M82" s="527"/>
      <c r="N82" s="527"/>
      <c r="O82" s="527"/>
      <c r="P82" s="527"/>
      <c r="Q82" s="527"/>
      <c r="R82" s="527"/>
      <c r="S82" s="528"/>
      <c r="T82" s="529"/>
      <c r="U82" s="529"/>
      <c r="V82" s="529"/>
      <c r="W82" s="529"/>
      <c r="X82" s="530"/>
      <c r="Y82" s="530"/>
      <c r="Z82" s="530"/>
      <c r="AA82" s="530"/>
      <c r="AB82" s="530"/>
      <c r="AC82" s="530"/>
      <c r="AD82" s="531"/>
      <c r="AF82" s="53"/>
    </row>
    <row r="83" spans="1:32" ht="36" thickBot="1">
      <c r="A83" s="517" t="s">
        <v>186</v>
      </c>
      <c r="B83" s="517"/>
      <c r="C83" s="517"/>
      <c r="D83" s="517"/>
      <c r="E83" s="517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518" t="s">
        <v>114</v>
      </c>
      <c r="B84" s="519"/>
      <c r="C84" s="545" t="s">
        <v>52</v>
      </c>
      <c r="D84" s="545"/>
      <c r="E84" s="545" t="s">
        <v>53</v>
      </c>
      <c r="F84" s="545"/>
      <c r="G84" s="545"/>
      <c r="H84" s="545"/>
      <c r="I84" s="545"/>
      <c r="J84" s="545"/>
      <c r="K84" s="545" t="s">
        <v>54</v>
      </c>
      <c r="L84" s="545"/>
      <c r="M84" s="545"/>
      <c r="N84" s="545"/>
      <c r="O84" s="545"/>
      <c r="P84" s="545"/>
      <c r="Q84" s="545"/>
      <c r="R84" s="545"/>
      <c r="S84" s="545"/>
      <c r="T84" s="545" t="s">
        <v>55</v>
      </c>
      <c r="U84" s="545"/>
      <c r="V84" s="545" t="s">
        <v>56</v>
      </c>
      <c r="W84" s="545"/>
      <c r="X84" s="545"/>
      <c r="Y84" s="545" t="s">
        <v>51</v>
      </c>
      <c r="Z84" s="545"/>
      <c r="AA84" s="545"/>
      <c r="AB84" s="545"/>
      <c r="AC84" s="545"/>
      <c r="AD84" s="546"/>
      <c r="AF84" s="53"/>
    </row>
    <row r="85" spans="1:32" ht="30.75" customHeight="1">
      <c r="A85" s="532">
        <v>1</v>
      </c>
      <c r="B85" s="533"/>
      <c r="C85" s="547">
        <v>1</v>
      </c>
      <c r="D85" s="547"/>
      <c r="E85" s="547" t="s">
        <v>125</v>
      </c>
      <c r="F85" s="547"/>
      <c r="G85" s="547"/>
      <c r="H85" s="547"/>
      <c r="I85" s="547"/>
      <c r="J85" s="547"/>
      <c r="K85" s="547" t="s">
        <v>126</v>
      </c>
      <c r="L85" s="547"/>
      <c r="M85" s="547"/>
      <c r="N85" s="547"/>
      <c r="O85" s="547"/>
      <c r="P85" s="547"/>
      <c r="Q85" s="547"/>
      <c r="R85" s="547"/>
      <c r="S85" s="547"/>
      <c r="T85" s="547" t="s">
        <v>127</v>
      </c>
      <c r="U85" s="547"/>
      <c r="V85" s="548">
        <v>1500000</v>
      </c>
      <c r="W85" s="548"/>
      <c r="X85" s="548"/>
      <c r="Y85" s="549" t="s">
        <v>128</v>
      </c>
      <c r="Z85" s="549"/>
      <c r="AA85" s="549"/>
      <c r="AB85" s="549"/>
      <c r="AC85" s="549"/>
      <c r="AD85" s="550"/>
      <c r="AF85" s="53"/>
    </row>
    <row r="86" spans="1:32" ht="30.75" customHeight="1">
      <c r="A86" s="524">
        <v>2</v>
      </c>
      <c r="B86" s="525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9"/>
      <c r="U86" s="559"/>
      <c r="V86" s="560"/>
      <c r="W86" s="560"/>
      <c r="X86" s="560"/>
      <c r="Y86" s="551"/>
      <c r="Z86" s="551"/>
      <c r="AA86" s="551"/>
      <c r="AB86" s="551"/>
      <c r="AC86" s="551"/>
      <c r="AD86" s="552"/>
      <c r="AF86" s="53"/>
    </row>
    <row r="87" spans="1:32" ht="30.75" customHeight="1" thickBot="1">
      <c r="A87" s="553">
        <v>3</v>
      </c>
      <c r="B87" s="554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555"/>
      <c r="Q87" s="555"/>
      <c r="R87" s="555"/>
      <c r="S87" s="555"/>
      <c r="T87" s="555"/>
      <c r="U87" s="555"/>
      <c r="V87" s="555"/>
      <c r="W87" s="555"/>
      <c r="X87" s="555"/>
      <c r="Y87" s="556"/>
      <c r="Z87" s="556"/>
      <c r="AA87" s="556"/>
      <c r="AB87" s="556"/>
      <c r="AC87" s="556"/>
      <c r="AD87" s="557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zoomScale="72" zoomScaleNormal="72" zoomScaleSheetLayoutView="70" workbookViewId="0">
      <selection activeCell="A16" sqref="A16:XFD16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51" t="s">
        <v>1013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6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353" t="s">
        <v>17</v>
      </c>
      <c r="L5" s="353" t="s">
        <v>18</v>
      </c>
      <c r="M5" s="353" t="s">
        <v>19</v>
      </c>
      <c r="N5" s="35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6" ht="27" customHeight="1">
      <c r="A6" s="108">
        <v>1</v>
      </c>
      <c r="B6" s="11" t="s">
        <v>58</v>
      </c>
      <c r="C6" s="37" t="s">
        <v>133</v>
      </c>
      <c r="D6" s="55" t="s">
        <v>57</v>
      </c>
      <c r="E6" s="57" t="s">
        <v>1014</v>
      </c>
      <c r="F6" s="33" t="s">
        <v>1015</v>
      </c>
      <c r="G6" s="12">
        <v>2</v>
      </c>
      <c r="H6" s="13">
        <v>25</v>
      </c>
      <c r="I6" s="34">
        <v>25000</v>
      </c>
      <c r="J6" s="5">
        <v>4580</v>
      </c>
      <c r="K6" s="15">
        <f>L6</f>
        <v>4574</v>
      </c>
      <c r="L6" s="15">
        <f>2287*2</f>
        <v>4574</v>
      </c>
      <c r="M6" s="16">
        <f t="shared" ref="M6:M20" si="0">L6-N6</f>
        <v>4574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13</v>
      </c>
      <c r="Q6" s="43">
        <f t="shared" ref="Q6:Q20" si="3">SUM(R6:AA6)</f>
        <v>11</v>
      </c>
      <c r="R6" s="7"/>
      <c r="S6" s="6"/>
      <c r="T6" s="17">
        <v>11</v>
      </c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0.99868995633187774</v>
      </c>
      <c r="AC6" s="9">
        <f t="shared" ref="AC6:AC20" si="5">IF(P6=0,"0",(P6/24))</f>
        <v>0.54166666666666663</v>
      </c>
      <c r="AD6" s="10">
        <f t="shared" ref="AD6:AD20" si="6">AC6*AB6*(1-O6)</f>
        <v>0.54095705967976704</v>
      </c>
      <c r="AE6" s="39">
        <f t="shared" ref="AE6:AE20" si="7">$AD$21</f>
        <v>0.52724647807893366</v>
      </c>
      <c r="AF6" s="94">
        <f t="shared" ref="AF6:AF20" si="8">A6</f>
        <v>1</v>
      </c>
    </row>
    <row r="7" spans="1:36" ht="27" customHeight="1">
      <c r="A7" s="108">
        <v>2</v>
      </c>
      <c r="B7" s="11" t="s">
        <v>58</v>
      </c>
      <c r="C7" s="37" t="s">
        <v>562</v>
      </c>
      <c r="D7" s="55" t="s">
        <v>898</v>
      </c>
      <c r="E7" s="57" t="s">
        <v>899</v>
      </c>
      <c r="F7" s="33" t="s">
        <v>766</v>
      </c>
      <c r="G7" s="12">
        <v>2</v>
      </c>
      <c r="H7" s="13">
        <v>25</v>
      </c>
      <c r="I7" s="34">
        <v>3000</v>
      </c>
      <c r="J7" s="5">
        <v>8340</v>
      </c>
      <c r="K7" s="15">
        <f>L7+8332</f>
        <v>8332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0.52724647807893366</v>
      </c>
      <c r="AF7" s="94">
        <f t="shared" si="8"/>
        <v>2</v>
      </c>
    </row>
    <row r="8" spans="1:36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50000</v>
      </c>
      <c r="J8" s="14">
        <v>2500</v>
      </c>
      <c r="K8" s="15">
        <f>L8+4093+2190+5474+6124+1911</f>
        <v>22292</v>
      </c>
      <c r="L8" s="15">
        <f>1020+1480</f>
        <v>2500</v>
      </c>
      <c r="M8" s="16">
        <f t="shared" si="0"/>
        <v>2500</v>
      </c>
      <c r="N8" s="16">
        <v>0</v>
      </c>
      <c r="O8" s="62">
        <f t="shared" si="1"/>
        <v>0</v>
      </c>
      <c r="P8" s="42">
        <f t="shared" si="2"/>
        <v>14</v>
      </c>
      <c r="Q8" s="43">
        <f t="shared" si="3"/>
        <v>10</v>
      </c>
      <c r="R8" s="7"/>
      <c r="S8" s="6">
        <v>10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0.58333333333333337</v>
      </c>
      <c r="AD8" s="10">
        <f t="shared" si="6"/>
        <v>0.58333333333333337</v>
      </c>
      <c r="AE8" s="39">
        <f t="shared" si="7"/>
        <v>0.52724647807893366</v>
      </c>
      <c r="AF8" s="94">
        <f>A8</f>
        <v>3</v>
      </c>
    </row>
    <row r="9" spans="1:36" ht="27" customHeight="1">
      <c r="A9" s="110">
        <v>4</v>
      </c>
      <c r="B9" s="11" t="s">
        <v>58</v>
      </c>
      <c r="C9" s="37" t="s">
        <v>118</v>
      </c>
      <c r="D9" s="55" t="s">
        <v>941</v>
      </c>
      <c r="E9" s="57" t="s">
        <v>942</v>
      </c>
      <c r="F9" s="33" t="s">
        <v>943</v>
      </c>
      <c r="G9" s="36">
        <v>1</v>
      </c>
      <c r="H9" s="38">
        <v>25</v>
      </c>
      <c r="I9" s="7">
        <v>21000</v>
      </c>
      <c r="J9" s="5">
        <v>4120</v>
      </c>
      <c r="K9" s="15">
        <f>L9+2178+2106</f>
        <v>8397</v>
      </c>
      <c r="L9" s="15">
        <f>2876+1237</f>
        <v>4113</v>
      </c>
      <c r="M9" s="16">
        <f t="shared" si="0"/>
        <v>4113</v>
      </c>
      <c r="N9" s="16">
        <v>0</v>
      </c>
      <c r="O9" s="62">
        <f t="shared" si="1"/>
        <v>0</v>
      </c>
      <c r="P9" s="42">
        <f t="shared" si="2"/>
        <v>19</v>
      </c>
      <c r="Q9" s="43">
        <f t="shared" si="3"/>
        <v>5</v>
      </c>
      <c r="R9" s="7"/>
      <c r="S9" s="6">
        <v>5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0.99830097087378644</v>
      </c>
      <c r="AC9" s="9">
        <f t="shared" si="5"/>
        <v>0.79166666666666663</v>
      </c>
      <c r="AD9" s="10">
        <f t="shared" si="6"/>
        <v>0.79032160194174761</v>
      </c>
      <c r="AE9" s="39">
        <f t="shared" si="7"/>
        <v>0.52724647807893366</v>
      </c>
      <c r="AF9" s="94">
        <f t="shared" ref="AF9:AF10" si="9">A9</f>
        <v>4</v>
      </c>
    </row>
    <row r="10" spans="1:36" ht="27" customHeight="1">
      <c r="A10" s="110">
        <v>5</v>
      </c>
      <c r="B10" s="11" t="s">
        <v>58</v>
      </c>
      <c r="C10" s="11" t="s">
        <v>133</v>
      </c>
      <c r="D10" s="55" t="s">
        <v>964</v>
      </c>
      <c r="E10" s="57" t="s">
        <v>965</v>
      </c>
      <c r="F10" s="12" t="s">
        <v>966</v>
      </c>
      <c r="G10" s="12">
        <v>2</v>
      </c>
      <c r="H10" s="13">
        <v>25</v>
      </c>
      <c r="I10" s="34">
        <v>25000</v>
      </c>
      <c r="J10" s="14">
        <v>11110</v>
      </c>
      <c r="K10" s="15">
        <f>L10+8328</f>
        <v>19430</v>
      </c>
      <c r="L10" s="15">
        <f>2976*2+2575*2</f>
        <v>11102</v>
      </c>
      <c r="M10" s="16">
        <f t="shared" si="0"/>
        <v>11102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0.9992799279927993</v>
      </c>
      <c r="AC10" s="9">
        <f t="shared" si="5"/>
        <v>1</v>
      </c>
      <c r="AD10" s="10">
        <f t="shared" si="6"/>
        <v>0.9992799279927993</v>
      </c>
      <c r="AE10" s="39">
        <f t="shared" si="7"/>
        <v>0.52724647807893366</v>
      </c>
      <c r="AF10" s="94">
        <f t="shared" si="9"/>
        <v>5</v>
      </c>
    </row>
    <row r="11" spans="1:36" ht="27" customHeight="1">
      <c r="A11" s="110">
        <v>6</v>
      </c>
      <c r="B11" s="11" t="s">
        <v>58</v>
      </c>
      <c r="C11" s="11" t="s">
        <v>133</v>
      </c>
      <c r="D11" s="55" t="s">
        <v>131</v>
      </c>
      <c r="E11" s="57" t="s">
        <v>700</v>
      </c>
      <c r="F11" s="12" t="s">
        <v>166</v>
      </c>
      <c r="G11" s="12">
        <v>1</v>
      </c>
      <c r="H11" s="13">
        <v>25</v>
      </c>
      <c r="I11" s="34">
        <v>40000</v>
      </c>
      <c r="J11" s="14">
        <v>4930</v>
      </c>
      <c r="K11" s="15">
        <f>L11+2724+6303+6504+3472+2821</f>
        <v>26749</v>
      </c>
      <c r="L11" s="15">
        <f>3324+1601</f>
        <v>4925</v>
      </c>
      <c r="M11" s="16">
        <f t="shared" si="0"/>
        <v>4925</v>
      </c>
      <c r="N11" s="16">
        <v>0</v>
      </c>
      <c r="O11" s="62">
        <f t="shared" si="1"/>
        <v>0</v>
      </c>
      <c r="P11" s="42">
        <f t="shared" si="2"/>
        <v>21</v>
      </c>
      <c r="Q11" s="43">
        <f t="shared" si="3"/>
        <v>3</v>
      </c>
      <c r="R11" s="7"/>
      <c r="S11" s="6">
        <v>3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0.9989858012170385</v>
      </c>
      <c r="AC11" s="9">
        <f t="shared" si="5"/>
        <v>0.875</v>
      </c>
      <c r="AD11" s="10">
        <f t="shared" si="6"/>
        <v>0.87411257606490866</v>
      </c>
      <c r="AE11" s="39">
        <f t="shared" si="7"/>
        <v>0.52724647807893366</v>
      </c>
      <c r="AF11" s="94">
        <f t="shared" si="8"/>
        <v>6</v>
      </c>
    </row>
    <row r="12" spans="1:36" ht="27" customHeight="1">
      <c r="A12" s="110">
        <v>7</v>
      </c>
      <c r="B12" s="11" t="s">
        <v>58</v>
      </c>
      <c r="C12" s="11" t="s">
        <v>133</v>
      </c>
      <c r="D12" s="55" t="s">
        <v>1016</v>
      </c>
      <c r="E12" s="57" t="s">
        <v>1017</v>
      </c>
      <c r="F12" s="12" t="s">
        <v>1018</v>
      </c>
      <c r="G12" s="12">
        <v>2</v>
      </c>
      <c r="H12" s="13">
        <v>25</v>
      </c>
      <c r="I12" s="7">
        <v>25000</v>
      </c>
      <c r="J12" s="14">
        <v>7910</v>
      </c>
      <c r="K12" s="15">
        <f>L12</f>
        <v>7902</v>
      </c>
      <c r="L12" s="15">
        <f>1790*2+2161*2</f>
        <v>7902</v>
      </c>
      <c r="M12" s="16">
        <f t="shared" si="0"/>
        <v>7902</v>
      </c>
      <c r="N12" s="16">
        <v>0</v>
      </c>
      <c r="O12" s="62">
        <f t="shared" si="1"/>
        <v>0</v>
      </c>
      <c r="P12" s="42">
        <f t="shared" si="2"/>
        <v>21</v>
      </c>
      <c r="Q12" s="43">
        <f t="shared" si="3"/>
        <v>3</v>
      </c>
      <c r="R12" s="7"/>
      <c r="S12" s="6"/>
      <c r="T12" s="17">
        <v>3</v>
      </c>
      <c r="U12" s="17"/>
      <c r="V12" s="18"/>
      <c r="W12" s="19"/>
      <c r="X12" s="17"/>
      <c r="Y12" s="20"/>
      <c r="Z12" s="20"/>
      <c r="AA12" s="21"/>
      <c r="AB12" s="8">
        <f t="shared" si="4"/>
        <v>0.99898862199747152</v>
      </c>
      <c r="AC12" s="9">
        <f t="shared" si="5"/>
        <v>0.875</v>
      </c>
      <c r="AD12" s="10">
        <f t="shared" si="6"/>
        <v>0.87411504424778763</v>
      </c>
      <c r="AE12" s="39">
        <f t="shared" si="7"/>
        <v>0.52724647807893366</v>
      </c>
      <c r="AF12" s="94">
        <f t="shared" si="8"/>
        <v>7</v>
      </c>
    </row>
    <row r="13" spans="1:36" ht="27" customHeight="1">
      <c r="A13" s="110">
        <v>8</v>
      </c>
      <c r="B13" s="11" t="s">
        <v>58</v>
      </c>
      <c r="C13" s="11" t="s">
        <v>947</v>
      </c>
      <c r="D13" s="55" t="s">
        <v>948</v>
      </c>
      <c r="E13" s="57" t="s">
        <v>949</v>
      </c>
      <c r="F13" s="12" t="s">
        <v>950</v>
      </c>
      <c r="G13" s="12">
        <v>1</v>
      </c>
      <c r="H13" s="13">
        <v>25</v>
      </c>
      <c r="I13" s="7">
        <v>500</v>
      </c>
      <c r="J13" s="14">
        <v>1130</v>
      </c>
      <c r="K13" s="15">
        <f>L13+1127</f>
        <v>1127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0.52724647807893366</v>
      </c>
      <c r="AF13" s="94">
        <f t="shared" si="8"/>
        <v>8</v>
      </c>
    </row>
    <row r="14" spans="1:36" ht="27" customHeight="1">
      <c r="A14" s="109">
        <v>9</v>
      </c>
      <c r="B14" s="11" t="s">
        <v>58</v>
      </c>
      <c r="C14" s="37" t="s">
        <v>163</v>
      </c>
      <c r="D14" s="55" t="s">
        <v>190</v>
      </c>
      <c r="E14" s="57" t="s">
        <v>436</v>
      </c>
      <c r="F14" s="33" t="s">
        <v>437</v>
      </c>
      <c r="G14" s="36">
        <v>1</v>
      </c>
      <c r="H14" s="38">
        <v>25</v>
      </c>
      <c r="I14" s="7">
        <v>11000</v>
      </c>
      <c r="J14" s="5">
        <v>2330</v>
      </c>
      <c r="K14" s="15">
        <f>L14+2030+3617+4261+2322</f>
        <v>12230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0.52724647807893366</v>
      </c>
      <c r="AF14" s="94">
        <f t="shared" si="8"/>
        <v>9</v>
      </c>
    </row>
    <row r="15" spans="1:36" ht="27" customHeight="1">
      <c r="A15" s="109">
        <v>10</v>
      </c>
      <c r="B15" s="11" t="s">
        <v>58</v>
      </c>
      <c r="C15" s="11" t="s">
        <v>195</v>
      </c>
      <c r="D15" s="55" t="s">
        <v>967</v>
      </c>
      <c r="E15" s="57" t="s">
        <v>968</v>
      </c>
      <c r="F15" s="12">
        <v>8301</v>
      </c>
      <c r="G15" s="12">
        <v>1</v>
      </c>
      <c r="H15" s="13">
        <v>20</v>
      </c>
      <c r="I15" s="34">
        <v>500</v>
      </c>
      <c r="J15" s="14">
        <v>1590</v>
      </c>
      <c r="K15" s="15">
        <f>L15+1585</f>
        <v>1585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0.52724647807893366</v>
      </c>
      <c r="AF15" s="94">
        <f t="shared" si="8"/>
        <v>10</v>
      </c>
    </row>
    <row r="16" spans="1:36" ht="27.75" customHeight="1">
      <c r="A16" s="109">
        <v>11</v>
      </c>
      <c r="B16" s="11" t="s">
        <v>58</v>
      </c>
      <c r="C16" s="11" t="s">
        <v>133</v>
      </c>
      <c r="D16" s="55" t="s">
        <v>900</v>
      </c>
      <c r="E16" s="56" t="s">
        <v>901</v>
      </c>
      <c r="F16" s="12">
        <v>7301</v>
      </c>
      <c r="G16" s="36">
        <v>1</v>
      </c>
      <c r="H16" s="38">
        <v>25</v>
      </c>
      <c r="I16" s="7">
        <v>40000</v>
      </c>
      <c r="J16" s="14">
        <v>540</v>
      </c>
      <c r="K16" s="15">
        <f>L16+1291</f>
        <v>1831</v>
      </c>
      <c r="L16" s="15">
        <v>540</v>
      </c>
      <c r="M16" s="16">
        <f t="shared" si="0"/>
        <v>540</v>
      </c>
      <c r="N16" s="16">
        <v>0</v>
      </c>
      <c r="O16" s="62">
        <f t="shared" si="1"/>
        <v>0</v>
      </c>
      <c r="P16" s="42">
        <f t="shared" si="2"/>
        <v>4</v>
      </c>
      <c r="Q16" s="43">
        <f t="shared" si="3"/>
        <v>20</v>
      </c>
      <c r="R16" s="7"/>
      <c r="S16" s="6">
        <v>20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0.16666666666666666</v>
      </c>
      <c r="AD16" s="10">
        <f t="shared" si="6"/>
        <v>0.16666666666666666</v>
      </c>
      <c r="AE16" s="39">
        <f t="shared" si="7"/>
        <v>0.52724647807893366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58</v>
      </c>
      <c r="C17" s="37" t="s">
        <v>133</v>
      </c>
      <c r="D17" s="55" t="s">
        <v>190</v>
      </c>
      <c r="E17" s="56" t="s">
        <v>902</v>
      </c>
      <c r="F17" s="12" t="s">
        <v>903</v>
      </c>
      <c r="G17" s="12">
        <v>1</v>
      </c>
      <c r="H17" s="13">
        <v>25</v>
      </c>
      <c r="I17" s="34">
        <v>15000</v>
      </c>
      <c r="J17" s="5">
        <v>1330</v>
      </c>
      <c r="K17" s="15">
        <f>L17+4436+6139+6673</f>
        <v>18576</v>
      </c>
      <c r="L17" s="15">
        <v>1328</v>
      </c>
      <c r="M17" s="16">
        <f t="shared" si="0"/>
        <v>1328</v>
      </c>
      <c r="N17" s="16">
        <v>0</v>
      </c>
      <c r="O17" s="62">
        <f t="shared" si="1"/>
        <v>0</v>
      </c>
      <c r="P17" s="42">
        <f t="shared" si="2"/>
        <v>5</v>
      </c>
      <c r="Q17" s="43">
        <f t="shared" si="3"/>
        <v>19</v>
      </c>
      <c r="R17" s="7"/>
      <c r="S17" s="6"/>
      <c r="T17" s="17"/>
      <c r="U17" s="17"/>
      <c r="V17" s="18"/>
      <c r="W17" s="19">
        <v>19</v>
      </c>
      <c r="X17" s="17"/>
      <c r="Y17" s="20"/>
      <c r="Z17" s="20"/>
      <c r="AA17" s="21"/>
      <c r="AB17" s="8">
        <f t="shared" si="4"/>
        <v>0.99849624060150377</v>
      </c>
      <c r="AC17" s="9">
        <f t="shared" si="5"/>
        <v>0.20833333333333334</v>
      </c>
      <c r="AD17" s="10">
        <f t="shared" si="6"/>
        <v>0.2080200501253133</v>
      </c>
      <c r="AE17" s="39">
        <f t="shared" si="7"/>
        <v>0.52724647807893366</v>
      </c>
      <c r="AF17" s="94">
        <f t="shared" ref="AF17" si="10">A17</f>
        <v>12</v>
      </c>
    </row>
    <row r="18" spans="1:32" ht="27" customHeight="1">
      <c r="A18" s="110">
        <v>13</v>
      </c>
      <c r="B18" s="11" t="s">
        <v>58</v>
      </c>
      <c r="C18" s="37" t="s">
        <v>118</v>
      </c>
      <c r="D18" s="55" t="s">
        <v>904</v>
      </c>
      <c r="E18" s="57" t="s">
        <v>905</v>
      </c>
      <c r="F18" s="33" t="s">
        <v>833</v>
      </c>
      <c r="G18" s="36">
        <v>1</v>
      </c>
      <c r="H18" s="38">
        <v>25</v>
      </c>
      <c r="I18" s="7">
        <v>50000</v>
      </c>
      <c r="J18" s="5">
        <v>4620</v>
      </c>
      <c r="K18" s="15">
        <f>L18+4454+5087+5573</f>
        <v>19732</v>
      </c>
      <c r="L18" s="15">
        <f>2187+2431</f>
        <v>4618</v>
      </c>
      <c r="M18" s="16">
        <f t="shared" si="0"/>
        <v>4618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0.99956709956709955</v>
      </c>
      <c r="AC18" s="9">
        <f t="shared" si="5"/>
        <v>1</v>
      </c>
      <c r="AD18" s="10">
        <f t="shared" si="6"/>
        <v>0.99956709956709955</v>
      </c>
      <c r="AE18" s="39">
        <f t="shared" si="7"/>
        <v>0.52724647807893366</v>
      </c>
      <c r="AF18" s="94">
        <f t="shared" si="8"/>
        <v>13</v>
      </c>
    </row>
    <row r="19" spans="1:32" ht="27" customHeight="1">
      <c r="A19" s="110">
        <v>14</v>
      </c>
      <c r="B19" s="11" t="s">
        <v>58</v>
      </c>
      <c r="C19" s="11" t="s">
        <v>118</v>
      </c>
      <c r="D19" s="55" t="s">
        <v>57</v>
      </c>
      <c r="E19" s="57" t="s">
        <v>160</v>
      </c>
      <c r="F19" s="12" t="s">
        <v>145</v>
      </c>
      <c r="G19" s="12">
        <v>1</v>
      </c>
      <c r="H19" s="13">
        <v>25</v>
      </c>
      <c r="I19" s="7">
        <v>52000</v>
      </c>
      <c r="J19" s="14">
        <v>5230</v>
      </c>
      <c r="K19" s="15">
        <f>L19+4424+5402+3684+3104</f>
        <v>21836</v>
      </c>
      <c r="L19" s="15">
        <f>2716+2506</f>
        <v>5222</v>
      </c>
      <c r="M19" s="16">
        <f t="shared" si="0"/>
        <v>5222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0.99847036328871897</v>
      </c>
      <c r="AC19" s="9">
        <f t="shared" si="5"/>
        <v>1</v>
      </c>
      <c r="AD19" s="10">
        <f t="shared" si="6"/>
        <v>0.99847036328871897</v>
      </c>
      <c r="AE19" s="39">
        <f t="shared" si="7"/>
        <v>0.52724647807893366</v>
      </c>
      <c r="AF19" s="94">
        <f t="shared" si="8"/>
        <v>14</v>
      </c>
    </row>
    <row r="20" spans="1:32" ht="27" customHeight="1" thickBot="1">
      <c r="A20" s="110">
        <v>15</v>
      </c>
      <c r="B20" s="11" t="s">
        <v>58</v>
      </c>
      <c r="C20" s="11" t="s">
        <v>115</v>
      </c>
      <c r="D20" s="55"/>
      <c r="E20" s="56" t="s">
        <v>906</v>
      </c>
      <c r="F20" s="12" t="s">
        <v>116</v>
      </c>
      <c r="G20" s="12">
        <v>4</v>
      </c>
      <c r="H20" s="38">
        <v>15</v>
      </c>
      <c r="I20" s="7">
        <v>100000</v>
      </c>
      <c r="J20" s="14">
        <v>58000</v>
      </c>
      <c r="K20" s="15">
        <f>L20+60468+60904+70332</f>
        <v>249628</v>
      </c>
      <c r="L20" s="15">
        <f>7865*4+6616*4</f>
        <v>57924</v>
      </c>
      <c r="M20" s="16">
        <f t="shared" si="0"/>
        <v>57924</v>
      </c>
      <c r="N20" s="16">
        <v>0</v>
      </c>
      <c r="O20" s="62">
        <f t="shared" si="1"/>
        <v>0</v>
      </c>
      <c r="P20" s="42">
        <f t="shared" si="2"/>
        <v>21</v>
      </c>
      <c r="Q20" s="43">
        <f t="shared" si="3"/>
        <v>3</v>
      </c>
      <c r="R20" s="7"/>
      <c r="S20" s="6">
        <v>3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0.99868965517241381</v>
      </c>
      <c r="AC20" s="9">
        <f t="shared" si="5"/>
        <v>0.875</v>
      </c>
      <c r="AD20" s="10">
        <f t="shared" si="6"/>
        <v>0.87385344827586209</v>
      </c>
      <c r="AE20" s="39">
        <f t="shared" si="7"/>
        <v>0.52724647807893366</v>
      </c>
      <c r="AF20" s="94">
        <f t="shared" si="8"/>
        <v>15</v>
      </c>
    </row>
    <row r="21" spans="1:32" ht="31.5" customHeight="1" thickBot="1">
      <c r="A21" s="465" t="s">
        <v>34</v>
      </c>
      <c r="B21" s="466"/>
      <c r="C21" s="466"/>
      <c r="D21" s="466"/>
      <c r="E21" s="466"/>
      <c r="F21" s="466"/>
      <c r="G21" s="466"/>
      <c r="H21" s="467"/>
      <c r="I21" s="25">
        <f t="shared" ref="I21:N21" si="11">SUM(I6:I20)</f>
        <v>458000</v>
      </c>
      <c r="J21" s="22">
        <f t="shared" si="11"/>
        <v>118260</v>
      </c>
      <c r="K21" s="23">
        <f t="shared" si="11"/>
        <v>424221</v>
      </c>
      <c r="L21" s="24">
        <f t="shared" si="11"/>
        <v>104748</v>
      </c>
      <c r="M21" s="23">
        <f t="shared" si="11"/>
        <v>104748</v>
      </c>
      <c r="N21" s="24">
        <f t="shared" si="11"/>
        <v>0</v>
      </c>
      <c r="O21" s="44">
        <f t="shared" si="1"/>
        <v>0</v>
      </c>
      <c r="P21" s="45">
        <f t="shared" ref="P21:AA21" si="12">SUM(P6:P20)</f>
        <v>190</v>
      </c>
      <c r="Q21" s="46">
        <f t="shared" si="12"/>
        <v>170</v>
      </c>
      <c r="R21" s="26">
        <f t="shared" si="12"/>
        <v>0</v>
      </c>
      <c r="S21" s="27">
        <f t="shared" si="12"/>
        <v>41</v>
      </c>
      <c r="T21" s="27">
        <f t="shared" si="12"/>
        <v>14</v>
      </c>
      <c r="U21" s="27">
        <f t="shared" si="12"/>
        <v>0</v>
      </c>
      <c r="V21" s="28">
        <f t="shared" si="12"/>
        <v>0</v>
      </c>
      <c r="W21" s="29">
        <f t="shared" si="12"/>
        <v>115</v>
      </c>
      <c r="X21" s="30">
        <f t="shared" si="12"/>
        <v>0</v>
      </c>
      <c r="Y21" s="30">
        <f t="shared" si="12"/>
        <v>0</v>
      </c>
      <c r="Z21" s="30">
        <f t="shared" si="12"/>
        <v>0</v>
      </c>
      <c r="AA21" s="30">
        <f t="shared" si="12"/>
        <v>0</v>
      </c>
      <c r="AB21" s="31">
        <f>SUM(AB6:AB20)/15</f>
        <v>0.73263124246951394</v>
      </c>
      <c r="AC21" s="4">
        <f>SUM(AC6:AC20)/15</f>
        <v>0.52777777777777779</v>
      </c>
      <c r="AD21" s="4">
        <f>SUM(AD6:AD20)/15</f>
        <v>0.52724647807893366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68" t="s">
        <v>45</v>
      </c>
      <c r="B48" s="468"/>
      <c r="C48" s="468"/>
      <c r="D48" s="468"/>
      <c r="E48" s="468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69" t="s">
        <v>1019</v>
      </c>
      <c r="B49" s="470"/>
      <c r="C49" s="470"/>
      <c r="D49" s="470"/>
      <c r="E49" s="470"/>
      <c r="F49" s="470"/>
      <c r="G49" s="470"/>
      <c r="H49" s="470"/>
      <c r="I49" s="470"/>
      <c r="J49" s="470"/>
      <c r="K49" s="470"/>
      <c r="L49" s="470"/>
      <c r="M49" s="471"/>
      <c r="N49" s="472" t="s">
        <v>1025</v>
      </c>
      <c r="O49" s="473"/>
      <c r="P49" s="473"/>
      <c r="Q49" s="473"/>
      <c r="R49" s="473"/>
      <c r="S49" s="473"/>
      <c r="T49" s="473"/>
      <c r="U49" s="473"/>
      <c r="V49" s="473"/>
      <c r="W49" s="473"/>
      <c r="X49" s="473"/>
      <c r="Y49" s="473"/>
      <c r="Z49" s="473"/>
      <c r="AA49" s="473"/>
      <c r="AB49" s="473"/>
      <c r="AC49" s="473"/>
      <c r="AD49" s="474"/>
    </row>
    <row r="50" spans="1:32" ht="27" customHeight="1">
      <c r="A50" s="475" t="s">
        <v>2</v>
      </c>
      <c r="B50" s="476"/>
      <c r="C50" s="352" t="s">
        <v>46</v>
      </c>
      <c r="D50" s="352" t="s">
        <v>47</v>
      </c>
      <c r="E50" s="352" t="s">
        <v>109</v>
      </c>
      <c r="F50" s="476" t="s">
        <v>108</v>
      </c>
      <c r="G50" s="476"/>
      <c r="H50" s="476"/>
      <c r="I50" s="476"/>
      <c r="J50" s="476"/>
      <c r="K50" s="476"/>
      <c r="L50" s="476"/>
      <c r="M50" s="477"/>
      <c r="N50" s="73" t="s">
        <v>113</v>
      </c>
      <c r="O50" s="352" t="s">
        <v>46</v>
      </c>
      <c r="P50" s="478" t="s">
        <v>47</v>
      </c>
      <c r="Q50" s="479"/>
      <c r="R50" s="478" t="s">
        <v>38</v>
      </c>
      <c r="S50" s="480"/>
      <c r="T50" s="480"/>
      <c r="U50" s="479"/>
      <c r="V50" s="478" t="s">
        <v>48</v>
      </c>
      <c r="W50" s="480"/>
      <c r="X50" s="480"/>
      <c r="Y50" s="480"/>
      <c r="Z50" s="480"/>
      <c r="AA50" s="480"/>
      <c r="AB50" s="480"/>
      <c r="AC50" s="480"/>
      <c r="AD50" s="481"/>
    </row>
    <row r="51" spans="1:32" ht="27" customHeight="1">
      <c r="A51" s="492" t="s">
        <v>118</v>
      </c>
      <c r="B51" s="493"/>
      <c r="C51" s="351" t="s">
        <v>725</v>
      </c>
      <c r="D51" s="348" t="s">
        <v>164</v>
      </c>
      <c r="E51" s="351" t="s">
        <v>165</v>
      </c>
      <c r="F51" s="494" t="s">
        <v>970</v>
      </c>
      <c r="G51" s="494"/>
      <c r="H51" s="494"/>
      <c r="I51" s="494"/>
      <c r="J51" s="494"/>
      <c r="K51" s="494"/>
      <c r="L51" s="494"/>
      <c r="M51" s="495"/>
      <c r="N51" s="347" t="s">
        <v>997</v>
      </c>
      <c r="O51" s="74" t="s">
        <v>998</v>
      </c>
      <c r="P51" s="496" t="s">
        <v>985</v>
      </c>
      <c r="Q51" s="497"/>
      <c r="R51" s="498" t="s">
        <v>999</v>
      </c>
      <c r="S51" s="498"/>
      <c r="T51" s="498"/>
      <c r="U51" s="498"/>
      <c r="V51" s="494" t="s">
        <v>987</v>
      </c>
      <c r="W51" s="494"/>
      <c r="X51" s="494"/>
      <c r="Y51" s="494"/>
      <c r="Z51" s="494"/>
      <c r="AA51" s="494"/>
      <c r="AB51" s="494"/>
      <c r="AC51" s="494"/>
      <c r="AD51" s="495"/>
    </row>
    <row r="52" spans="1:32" ht="27" customHeight="1">
      <c r="A52" s="492" t="s">
        <v>951</v>
      </c>
      <c r="B52" s="493"/>
      <c r="C52" s="351" t="s">
        <v>952</v>
      </c>
      <c r="D52" s="348" t="s">
        <v>953</v>
      </c>
      <c r="E52" s="351" t="s">
        <v>954</v>
      </c>
      <c r="F52" s="494" t="s">
        <v>1020</v>
      </c>
      <c r="G52" s="494"/>
      <c r="H52" s="494"/>
      <c r="I52" s="494"/>
      <c r="J52" s="494"/>
      <c r="K52" s="494"/>
      <c r="L52" s="494"/>
      <c r="M52" s="495"/>
      <c r="N52" s="347" t="s">
        <v>1026</v>
      </c>
      <c r="O52" s="74" t="s">
        <v>1027</v>
      </c>
      <c r="P52" s="496" t="s">
        <v>1028</v>
      </c>
      <c r="Q52" s="497"/>
      <c r="R52" s="498"/>
      <c r="S52" s="498"/>
      <c r="T52" s="498"/>
      <c r="U52" s="498"/>
      <c r="V52" s="494" t="s">
        <v>1029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955</v>
      </c>
      <c r="B53" s="493"/>
      <c r="C53" s="351" t="s">
        <v>956</v>
      </c>
      <c r="D53" s="348" t="s">
        <v>957</v>
      </c>
      <c r="E53" s="351" t="s">
        <v>958</v>
      </c>
      <c r="F53" s="494" t="s">
        <v>1021</v>
      </c>
      <c r="G53" s="494"/>
      <c r="H53" s="494"/>
      <c r="I53" s="494"/>
      <c r="J53" s="494"/>
      <c r="K53" s="494"/>
      <c r="L53" s="494"/>
      <c r="M53" s="495"/>
      <c r="N53" s="347" t="s">
        <v>1022</v>
      </c>
      <c r="O53" s="74" t="s">
        <v>1030</v>
      </c>
      <c r="P53" s="496" t="s">
        <v>1016</v>
      </c>
      <c r="Q53" s="497"/>
      <c r="R53" s="498" t="s">
        <v>1031</v>
      </c>
      <c r="S53" s="498"/>
      <c r="T53" s="498"/>
      <c r="U53" s="498"/>
      <c r="V53" s="494" t="s">
        <v>1032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1022</v>
      </c>
      <c r="B54" s="493"/>
      <c r="C54" s="351" t="s">
        <v>1023</v>
      </c>
      <c r="D54" s="348" t="s">
        <v>57</v>
      </c>
      <c r="E54" s="351" t="s">
        <v>1014</v>
      </c>
      <c r="F54" s="494" t="s">
        <v>959</v>
      </c>
      <c r="G54" s="494"/>
      <c r="H54" s="494"/>
      <c r="I54" s="494"/>
      <c r="J54" s="494"/>
      <c r="K54" s="494"/>
      <c r="L54" s="494"/>
      <c r="M54" s="495"/>
      <c r="N54" s="347" t="s">
        <v>133</v>
      </c>
      <c r="O54" s="74" t="s">
        <v>1033</v>
      </c>
      <c r="P54" s="496" t="s">
        <v>1034</v>
      </c>
      <c r="Q54" s="497"/>
      <c r="R54" s="498" t="s">
        <v>1035</v>
      </c>
      <c r="S54" s="498"/>
      <c r="T54" s="498"/>
      <c r="U54" s="498"/>
      <c r="V54" s="494" t="s">
        <v>1036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976</v>
      </c>
      <c r="B55" s="493"/>
      <c r="C55" s="351" t="s">
        <v>1024</v>
      </c>
      <c r="D55" s="348" t="s">
        <v>1016</v>
      </c>
      <c r="E55" s="351" t="s">
        <v>1017</v>
      </c>
      <c r="F55" s="494" t="s">
        <v>979</v>
      </c>
      <c r="G55" s="494"/>
      <c r="H55" s="494"/>
      <c r="I55" s="494"/>
      <c r="J55" s="494"/>
      <c r="K55" s="494"/>
      <c r="L55" s="494"/>
      <c r="M55" s="495"/>
      <c r="N55" s="347" t="s">
        <v>118</v>
      </c>
      <c r="O55" s="74" t="s">
        <v>1037</v>
      </c>
      <c r="P55" s="496" t="s">
        <v>1038</v>
      </c>
      <c r="Q55" s="497"/>
      <c r="R55" s="498" t="s">
        <v>1039</v>
      </c>
      <c r="S55" s="498"/>
      <c r="T55" s="498"/>
      <c r="U55" s="498"/>
      <c r="V55" s="494" t="s">
        <v>1040</v>
      </c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133</v>
      </c>
      <c r="B56" s="493"/>
      <c r="C56" s="351" t="s">
        <v>984</v>
      </c>
      <c r="D56" s="348" t="s">
        <v>985</v>
      </c>
      <c r="E56" s="351" t="s">
        <v>986</v>
      </c>
      <c r="F56" s="494" t="s">
        <v>988</v>
      </c>
      <c r="G56" s="494"/>
      <c r="H56" s="494"/>
      <c r="I56" s="494"/>
      <c r="J56" s="494"/>
      <c r="K56" s="494"/>
      <c r="L56" s="494"/>
      <c r="M56" s="495"/>
      <c r="N56" s="347"/>
      <c r="O56" s="74"/>
      <c r="P56" s="498"/>
      <c r="Q56" s="498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 t="s">
        <v>1041</v>
      </c>
      <c r="B57" s="493"/>
      <c r="C57" s="351" t="s">
        <v>1042</v>
      </c>
      <c r="D57" s="348" t="s">
        <v>1043</v>
      </c>
      <c r="E57" s="351"/>
      <c r="F57" s="494" t="s">
        <v>1044</v>
      </c>
      <c r="G57" s="494"/>
      <c r="H57" s="494"/>
      <c r="I57" s="494"/>
      <c r="J57" s="494"/>
      <c r="K57" s="494"/>
      <c r="L57" s="494"/>
      <c r="M57" s="495"/>
      <c r="N57" s="347"/>
      <c r="O57" s="74"/>
      <c r="P57" s="496"/>
      <c r="Q57" s="497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/>
      <c r="B58" s="493"/>
      <c r="C58" s="351"/>
      <c r="D58" s="348"/>
      <c r="E58" s="351"/>
      <c r="F58" s="494"/>
      <c r="G58" s="494"/>
      <c r="H58" s="494"/>
      <c r="I58" s="494"/>
      <c r="J58" s="494"/>
      <c r="K58" s="494"/>
      <c r="L58" s="494"/>
      <c r="M58" s="495"/>
      <c r="N58" s="347"/>
      <c r="O58" s="74"/>
      <c r="P58" s="498"/>
      <c r="Q58" s="498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508"/>
      <c r="B59" s="498"/>
      <c r="C59" s="348"/>
      <c r="D59" s="348"/>
      <c r="E59" s="348"/>
      <c r="F59" s="494"/>
      <c r="G59" s="494"/>
      <c r="H59" s="494"/>
      <c r="I59" s="494"/>
      <c r="J59" s="494"/>
      <c r="K59" s="494"/>
      <c r="L59" s="494"/>
      <c r="M59" s="495"/>
      <c r="N59" s="347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  <c r="AF59" s="94">
        <f>8*3000</f>
        <v>24000</v>
      </c>
    </row>
    <row r="60" spans="1:32" ht="27" customHeight="1" thickBot="1">
      <c r="A60" s="499"/>
      <c r="B60" s="500"/>
      <c r="C60" s="350"/>
      <c r="D60" s="350"/>
      <c r="E60" s="350"/>
      <c r="F60" s="501"/>
      <c r="G60" s="501"/>
      <c r="H60" s="501"/>
      <c r="I60" s="501"/>
      <c r="J60" s="501"/>
      <c r="K60" s="501"/>
      <c r="L60" s="501"/>
      <c r="M60" s="502"/>
      <c r="N60" s="349"/>
      <c r="O60" s="121"/>
      <c r="P60" s="500"/>
      <c r="Q60" s="500"/>
      <c r="R60" s="500"/>
      <c r="S60" s="500"/>
      <c r="T60" s="500"/>
      <c r="U60" s="500"/>
      <c r="V60" s="501"/>
      <c r="W60" s="501"/>
      <c r="X60" s="501"/>
      <c r="Y60" s="501"/>
      <c r="Z60" s="501"/>
      <c r="AA60" s="501"/>
      <c r="AB60" s="501"/>
      <c r="AC60" s="501"/>
      <c r="AD60" s="502"/>
      <c r="AF60" s="94">
        <f>16*3000</f>
        <v>48000</v>
      </c>
    </row>
    <row r="61" spans="1:32" ht="27.75" thickBot="1">
      <c r="A61" s="503" t="s">
        <v>1045</v>
      </c>
      <c r="B61" s="503"/>
      <c r="C61" s="503"/>
      <c r="D61" s="503"/>
      <c r="E61" s="503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504" t="s">
        <v>114</v>
      </c>
      <c r="B62" s="505"/>
      <c r="C62" s="346" t="s">
        <v>2</v>
      </c>
      <c r="D62" s="346" t="s">
        <v>37</v>
      </c>
      <c r="E62" s="346" t="s">
        <v>3</v>
      </c>
      <c r="F62" s="505" t="s">
        <v>111</v>
      </c>
      <c r="G62" s="505"/>
      <c r="H62" s="505"/>
      <c r="I62" s="505"/>
      <c r="J62" s="505"/>
      <c r="K62" s="505" t="s">
        <v>39</v>
      </c>
      <c r="L62" s="505"/>
      <c r="M62" s="346" t="s">
        <v>40</v>
      </c>
      <c r="N62" s="505" t="s">
        <v>41</v>
      </c>
      <c r="O62" s="505"/>
      <c r="P62" s="506" t="s">
        <v>42</v>
      </c>
      <c r="Q62" s="507"/>
      <c r="R62" s="506" t="s">
        <v>43</v>
      </c>
      <c r="S62" s="509"/>
      <c r="T62" s="509"/>
      <c r="U62" s="509"/>
      <c r="V62" s="509"/>
      <c r="W62" s="509"/>
      <c r="X62" s="509"/>
      <c r="Y62" s="509"/>
      <c r="Z62" s="509"/>
      <c r="AA62" s="507"/>
      <c r="AB62" s="505" t="s">
        <v>44</v>
      </c>
      <c r="AC62" s="505"/>
      <c r="AD62" s="510"/>
      <c r="AF62" s="94">
        <f>SUM(AF59:AF61)</f>
        <v>96000</v>
      </c>
    </row>
    <row r="63" spans="1:32" ht="25.5" customHeight="1">
      <c r="A63" s="511">
        <v>1</v>
      </c>
      <c r="B63" s="512"/>
      <c r="C63" s="124" t="s">
        <v>1046</v>
      </c>
      <c r="D63" s="342"/>
      <c r="E63" s="345" t="s">
        <v>1047</v>
      </c>
      <c r="F63" s="513"/>
      <c r="G63" s="514"/>
      <c r="H63" s="514"/>
      <c r="I63" s="514"/>
      <c r="J63" s="514"/>
      <c r="K63" s="514" t="s">
        <v>1048</v>
      </c>
      <c r="L63" s="514"/>
      <c r="M63" s="54" t="s">
        <v>963</v>
      </c>
      <c r="N63" s="514">
        <v>12</v>
      </c>
      <c r="O63" s="514"/>
      <c r="P63" s="515">
        <v>200</v>
      </c>
      <c r="Q63" s="515"/>
      <c r="R63" s="494"/>
      <c r="S63" s="494"/>
      <c r="T63" s="494"/>
      <c r="U63" s="494"/>
      <c r="V63" s="494"/>
      <c r="W63" s="494"/>
      <c r="X63" s="494"/>
      <c r="Y63" s="494"/>
      <c r="Z63" s="494"/>
      <c r="AA63" s="494"/>
      <c r="AB63" s="514"/>
      <c r="AC63" s="514"/>
      <c r="AD63" s="516"/>
      <c r="AF63" s="53"/>
    </row>
    <row r="64" spans="1:32" ht="25.5" customHeight="1">
      <c r="A64" s="511">
        <v>2</v>
      </c>
      <c r="B64" s="512"/>
      <c r="C64" s="124" t="s">
        <v>1049</v>
      </c>
      <c r="D64" s="342"/>
      <c r="E64" s="345" t="s">
        <v>1050</v>
      </c>
      <c r="F64" s="513" t="s">
        <v>1051</v>
      </c>
      <c r="G64" s="514"/>
      <c r="H64" s="514"/>
      <c r="I64" s="514"/>
      <c r="J64" s="514"/>
      <c r="K64" s="514" t="s">
        <v>1052</v>
      </c>
      <c r="L64" s="514"/>
      <c r="M64" s="54" t="s">
        <v>1008</v>
      </c>
      <c r="N64" s="514">
        <v>8</v>
      </c>
      <c r="O64" s="514"/>
      <c r="P64" s="515">
        <v>200</v>
      </c>
      <c r="Q64" s="515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3</v>
      </c>
      <c r="B65" s="512"/>
      <c r="C65" s="124"/>
      <c r="D65" s="342"/>
      <c r="E65" s="345"/>
      <c r="F65" s="513"/>
      <c r="G65" s="514"/>
      <c r="H65" s="514"/>
      <c r="I65" s="514"/>
      <c r="J65" s="514"/>
      <c r="K65" s="514"/>
      <c r="L65" s="514"/>
      <c r="M65" s="54"/>
      <c r="N65" s="514"/>
      <c r="O65" s="514"/>
      <c r="P65" s="515"/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4</v>
      </c>
      <c r="B66" s="512"/>
      <c r="C66" s="124"/>
      <c r="D66" s="342"/>
      <c r="E66" s="345"/>
      <c r="F66" s="513"/>
      <c r="G66" s="514"/>
      <c r="H66" s="514"/>
      <c r="I66" s="514"/>
      <c r="J66" s="514"/>
      <c r="K66" s="514"/>
      <c r="L66" s="514"/>
      <c r="M66" s="54"/>
      <c r="N66" s="514"/>
      <c r="O66" s="514"/>
      <c r="P66" s="515"/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5</v>
      </c>
      <c r="B67" s="512"/>
      <c r="C67" s="124"/>
      <c r="D67" s="342"/>
      <c r="E67" s="345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6</v>
      </c>
      <c r="B68" s="512"/>
      <c r="C68" s="124"/>
      <c r="D68" s="342"/>
      <c r="E68" s="345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7</v>
      </c>
      <c r="B69" s="512"/>
      <c r="C69" s="124"/>
      <c r="D69" s="342"/>
      <c r="E69" s="345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8</v>
      </c>
      <c r="B70" s="512"/>
      <c r="C70" s="124"/>
      <c r="D70" s="342"/>
      <c r="E70" s="345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6.25" customHeight="1" thickBot="1">
      <c r="A71" s="517" t="s">
        <v>1053</v>
      </c>
      <c r="B71" s="517"/>
      <c r="C71" s="517"/>
      <c r="D71" s="517"/>
      <c r="E71" s="51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518" t="s">
        <v>114</v>
      </c>
      <c r="B72" s="519"/>
      <c r="C72" s="344" t="s">
        <v>2</v>
      </c>
      <c r="D72" s="344" t="s">
        <v>37</v>
      </c>
      <c r="E72" s="344" t="s">
        <v>3</v>
      </c>
      <c r="F72" s="519" t="s">
        <v>38</v>
      </c>
      <c r="G72" s="519"/>
      <c r="H72" s="519"/>
      <c r="I72" s="519"/>
      <c r="J72" s="519"/>
      <c r="K72" s="520" t="s">
        <v>59</v>
      </c>
      <c r="L72" s="521"/>
      <c r="M72" s="521"/>
      <c r="N72" s="521"/>
      <c r="O72" s="521"/>
      <c r="P72" s="521"/>
      <c r="Q72" s="521"/>
      <c r="R72" s="521"/>
      <c r="S72" s="522"/>
      <c r="T72" s="519" t="s">
        <v>49</v>
      </c>
      <c r="U72" s="519"/>
      <c r="V72" s="520" t="s">
        <v>50</v>
      </c>
      <c r="W72" s="522"/>
      <c r="X72" s="521" t="s">
        <v>51</v>
      </c>
      <c r="Y72" s="521"/>
      <c r="Z72" s="521"/>
      <c r="AA72" s="521"/>
      <c r="AB72" s="521"/>
      <c r="AC72" s="521"/>
      <c r="AD72" s="523"/>
      <c r="AF72" s="53"/>
    </row>
    <row r="73" spans="1:32" ht="33.75" customHeight="1">
      <c r="A73" s="532">
        <v>1</v>
      </c>
      <c r="B73" s="533"/>
      <c r="C73" s="343" t="s">
        <v>117</v>
      </c>
      <c r="D73" s="343"/>
      <c r="E73" s="71" t="s">
        <v>123</v>
      </c>
      <c r="F73" s="534" t="s">
        <v>124</v>
      </c>
      <c r="G73" s="535"/>
      <c r="H73" s="535"/>
      <c r="I73" s="535"/>
      <c r="J73" s="536"/>
      <c r="K73" s="537" t="s">
        <v>119</v>
      </c>
      <c r="L73" s="538"/>
      <c r="M73" s="538"/>
      <c r="N73" s="538"/>
      <c r="O73" s="538"/>
      <c r="P73" s="538"/>
      <c r="Q73" s="538"/>
      <c r="R73" s="538"/>
      <c r="S73" s="539"/>
      <c r="T73" s="540">
        <v>42901</v>
      </c>
      <c r="U73" s="541"/>
      <c r="V73" s="542"/>
      <c r="W73" s="542"/>
      <c r="X73" s="543"/>
      <c r="Y73" s="543"/>
      <c r="Z73" s="543"/>
      <c r="AA73" s="543"/>
      <c r="AB73" s="543"/>
      <c r="AC73" s="543"/>
      <c r="AD73" s="544"/>
      <c r="AF73" s="53"/>
    </row>
    <row r="74" spans="1:32" ht="30" customHeight="1">
      <c r="A74" s="524">
        <f>A73+1</f>
        <v>2</v>
      </c>
      <c r="B74" s="525"/>
      <c r="C74" s="342" t="s">
        <v>117</v>
      </c>
      <c r="D74" s="342"/>
      <c r="E74" s="35" t="s">
        <v>120</v>
      </c>
      <c r="F74" s="525" t="s">
        <v>121</v>
      </c>
      <c r="G74" s="525"/>
      <c r="H74" s="525"/>
      <c r="I74" s="525"/>
      <c r="J74" s="525"/>
      <c r="K74" s="526" t="s">
        <v>122</v>
      </c>
      <c r="L74" s="527"/>
      <c r="M74" s="527"/>
      <c r="N74" s="527"/>
      <c r="O74" s="527"/>
      <c r="P74" s="527"/>
      <c r="Q74" s="527"/>
      <c r="R74" s="527"/>
      <c r="S74" s="528"/>
      <c r="T74" s="529">
        <v>42867</v>
      </c>
      <c r="U74" s="529"/>
      <c r="V74" s="529"/>
      <c r="W74" s="529"/>
      <c r="X74" s="530"/>
      <c r="Y74" s="530"/>
      <c r="Z74" s="530"/>
      <c r="AA74" s="530"/>
      <c r="AB74" s="530"/>
      <c r="AC74" s="530"/>
      <c r="AD74" s="531"/>
      <c r="AF74" s="53"/>
    </row>
    <row r="75" spans="1:32" ht="30" customHeight="1">
      <c r="A75" s="524">
        <f t="shared" ref="A75:A81" si="13">A74+1</f>
        <v>3</v>
      </c>
      <c r="B75" s="525"/>
      <c r="C75" s="342" t="s">
        <v>133</v>
      </c>
      <c r="D75" s="342"/>
      <c r="E75" s="35" t="s">
        <v>131</v>
      </c>
      <c r="F75" s="525" t="s">
        <v>134</v>
      </c>
      <c r="G75" s="525"/>
      <c r="H75" s="525"/>
      <c r="I75" s="525"/>
      <c r="J75" s="525"/>
      <c r="K75" s="526" t="s">
        <v>119</v>
      </c>
      <c r="L75" s="527"/>
      <c r="M75" s="527"/>
      <c r="N75" s="527"/>
      <c r="O75" s="527"/>
      <c r="P75" s="527"/>
      <c r="Q75" s="527"/>
      <c r="R75" s="527"/>
      <c r="S75" s="528"/>
      <c r="T75" s="529">
        <v>42937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si="13"/>
        <v>4</v>
      </c>
      <c r="B76" s="525"/>
      <c r="C76" s="342"/>
      <c r="D76" s="342"/>
      <c r="E76" s="35"/>
      <c r="F76" s="525"/>
      <c r="G76" s="525"/>
      <c r="H76" s="525"/>
      <c r="I76" s="525"/>
      <c r="J76" s="525"/>
      <c r="K76" s="526"/>
      <c r="L76" s="527"/>
      <c r="M76" s="527"/>
      <c r="N76" s="527"/>
      <c r="O76" s="527"/>
      <c r="P76" s="527"/>
      <c r="Q76" s="527"/>
      <c r="R76" s="527"/>
      <c r="S76" s="528"/>
      <c r="T76" s="529"/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13"/>
        <v>5</v>
      </c>
      <c r="B77" s="525"/>
      <c r="C77" s="342"/>
      <c r="D77" s="342"/>
      <c r="E77" s="35"/>
      <c r="F77" s="525"/>
      <c r="G77" s="525"/>
      <c r="H77" s="525"/>
      <c r="I77" s="525"/>
      <c r="J77" s="525"/>
      <c r="K77" s="526"/>
      <c r="L77" s="527"/>
      <c r="M77" s="527"/>
      <c r="N77" s="527"/>
      <c r="O77" s="527"/>
      <c r="P77" s="527"/>
      <c r="Q77" s="527"/>
      <c r="R77" s="527"/>
      <c r="S77" s="528"/>
      <c r="T77" s="529"/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13"/>
        <v>6</v>
      </c>
      <c r="B78" s="525"/>
      <c r="C78" s="342"/>
      <c r="D78" s="342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13"/>
        <v>7</v>
      </c>
      <c r="B79" s="525"/>
      <c r="C79" s="342"/>
      <c r="D79" s="342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13"/>
        <v>8</v>
      </c>
      <c r="B80" s="525"/>
      <c r="C80" s="342"/>
      <c r="D80" s="342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13"/>
        <v>9</v>
      </c>
      <c r="B81" s="525"/>
      <c r="C81" s="342"/>
      <c r="D81" s="342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6" thickBot="1">
      <c r="A82" s="517" t="s">
        <v>1054</v>
      </c>
      <c r="B82" s="517"/>
      <c r="C82" s="517"/>
      <c r="D82" s="517"/>
      <c r="E82" s="51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518" t="s">
        <v>114</v>
      </c>
      <c r="B83" s="519"/>
      <c r="C83" s="545" t="s">
        <v>52</v>
      </c>
      <c r="D83" s="545"/>
      <c r="E83" s="545" t="s">
        <v>53</v>
      </c>
      <c r="F83" s="545"/>
      <c r="G83" s="545"/>
      <c r="H83" s="545"/>
      <c r="I83" s="545"/>
      <c r="J83" s="545"/>
      <c r="K83" s="545" t="s">
        <v>54</v>
      </c>
      <c r="L83" s="545"/>
      <c r="M83" s="545"/>
      <c r="N83" s="545"/>
      <c r="O83" s="545"/>
      <c r="P83" s="545"/>
      <c r="Q83" s="545"/>
      <c r="R83" s="545"/>
      <c r="S83" s="545"/>
      <c r="T83" s="545" t="s">
        <v>55</v>
      </c>
      <c r="U83" s="545"/>
      <c r="V83" s="545" t="s">
        <v>56</v>
      </c>
      <c r="W83" s="545"/>
      <c r="X83" s="545"/>
      <c r="Y83" s="545" t="s">
        <v>51</v>
      </c>
      <c r="Z83" s="545"/>
      <c r="AA83" s="545"/>
      <c r="AB83" s="545"/>
      <c r="AC83" s="545"/>
      <c r="AD83" s="546"/>
      <c r="AF83" s="53"/>
    </row>
    <row r="84" spans="1:32" ht="30.75" customHeight="1">
      <c r="A84" s="532">
        <v>1</v>
      </c>
      <c r="B84" s="533"/>
      <c r="C84" s="547"/>
      <c r="D84" s="547"/>
      <c r="E84" s="547"/>
      <c r="F84" s="547"/>
      <c r="G84" s="547"/>
      <c r="H84" s="547"/>
      <c r="I84" s="547"/>
      <c r="J84" s="547"/>
      <c r="K84" s="547"/>
      <c r="L84" s="547"/>
      <c r="M84" s="547"/>
      <c r="N84" s="547"/>
      <c r="O84" s="547"/>
      <c r="P84" s="547"/>
      <c r="Q84" s="547"/>
      <c r="R84" s="547"/>
      <c r="S84" s="547"/>
      <c r="T84" s="547"/>
      <c r="U84" s="547"/>
      <c r="V84" s="548"/>
      <c r="W84" s="548"/>
      <c r="X84" s="548"/>
      <c r="Y84" s="549"/>
      <c r="Z84" s="549"/>
      <c r="AA84" s="549"/>
      <c r="AB84" s="549"/>
      <c r="AC84" s="549"/>
      <c r="AD84" s="550"/>
      <c r="AF84" s="53"/>
    </row>
    <row r="85" spans="1:32" ht="30.75" customHeight="1">
      <c r="A85" s="524">
        <v>2</v>
      </c>
      <c r="B85" s="525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9"/>
      <c r="U85" s="559"/>
      <c r="V85" s="560"/>
      <c r="W85" s="560"/>
      <c r="X85" s="560"/>
      <c r="Y85" s="551"/>
      <c r="Z85" s="551"/>
      <c r="AA85" s="551"/>
      <c r="AB85" s="551"/>
      <c r="AC85" s="551"/>
      <c r="AD85" s="552"/>
      <c r="AF85" s="53"/>
    </row>
    <row r="86" spans="1:32" ht="30.75" customHeight="1" thickBot="1">
      <c r="A86" s="553">
        <v>3</v>
      </c>
      <c r="B86" s="554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6"/>
      <c r="Z86" s="556"/>
      <c r="AA86" s="556"/>
      <c r="AB86" s="556"/>
      <c r="AC86" s="556"/>
      <c r="AD86" s="55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topLeftCell="A4"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51" t="s">
        <v>1055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6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365" t="s">
        <v>17</v>
      </c>
      <c r="L5" s="365" t="s">
        <v>18</v>
      </c>
      <c r="M5" s="365" t="s">
        <v>19</v>
      </c>
      <c r="N5" s="36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6" ht="27" customHeight="1">
      <c r="A6" s="108">
        <v>1</v>
      </c>
      <c r="B6" s="11" t="s">
        <v>58</v>
      </c>
      <c r="C6" s="37" t="s">
        <v>133</v>
      </c>
      <c r="D6" s="55" t="s">
        <v>57</v>
      </c>
      <c r="E6" s="57" t="s">
        <v>446</v>
      </c>
      <c r="F6" s="33" t="s">
        <v>1015</v>
      </c>
      <c r="G6" s="12">
        <v>2</v>
      </c>
      <c r="H6" s="13">
        <v>25</v>
      </c>
      <c r="I6" s="34">
        <v>25000</v>
      </c>
      <c r="J6" s="5">
        <v>9330</v>
      </c>
      <c r="K6" s="15">
        <f>L6+4574</f>
        <v>13898</v>
      </c>
      <c r="L6" s="15">
        <f>2411*2+2251*2</f>
        <v>9324</v>
      </c>
      <c r="M6" s="16">
        <f t="shared" ref="M6:M20" si="0">L6-N6</f>
        <v>9324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24</v>
      </c>
      <c r="Q6" s="43">
        <f t="shared" ref="Q6:Q20" si="3">SUM(R6:AA6)</f>
        <v>0</v>
      </c>
      <c r="R6" s="7"/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0.99935691318327979</v>
      </c>
      <c r="AC6" s="9">
        <f t="shared" ref="AC6:AC20" si="5">IF(P6=0,"0",(P6/24))</f>
        <v>1</v>
      </c>
      <c r="AD6" s="10">
        <f t="shared" ref="AD6:AD20" si="6">AC6*AB6*(1-O6)</f>
        <v>0.99935691318327979</v>
      </c>
      <c r="AE6" s="39">
        <f t="shared" ref="AE6:AE20" si="7">$AD$21</f>
        <v>0.72162593889479665</v>
      </c>
      <c r="AF6" s="94">
        <f t="shared" ref="AF6:AF20" si="8">A6</f>
        <v>1</v>
      </c>
    </row>
    <row r="7" spans="1:36" ht="27" customHeight="1">
      <c r="A7" s="108">
        <v>2</v>
      </c>
      <c r="B7" s="11" t="s">
        <v>58</v>
      </c>
      <c r="C7" s="37" t="s">
        <v>1056</v>
      </c>
      <c r="D7" s="55"/>
      <c r="E7" s="57" t="s">
        <v>1057</v>
      </c>
      <c r="F7" s="33" t="s">
        <v>1058</v>
      </c>
      <c r="G7" s="12">
        <v>1</v>
      </c>
      <c r="H7" s="13">
        <v>25</v>
      </c>
      <c r="I7" s="34">
        <v>1000</v>
      </c>
      <c r="J7" s="5">
        <v>1300</v>
      </c>
      <c r="K7" s="15">
        <f>L7</f>
        <v>1292</v>
      </c>
      <c r="L7" s="15">
        <f>1292</f>
        <v>1292</v>
      </c>
      <c r="M7" s="16">
        <f t="shared" si="0"/>
        <v>1292</v>
      </c>
      <c r="N7" s="16">
        <v>0</v>
      </c>
      <c r="O7" s="62">
        <f t="shared" si="1"/>
        <v>0</v>
      </c>
      <c r="P7" s="42">
        <f t="shared" si="2"/>
        <v>9</v>
      </c>
      <c r="Q7" s="43">
        <f t="shared" si="3"/>
        <v>15</v>
      </c>
      <c r="R7" s="7"/>
      <c r="S7" s="6"/>
      <c r="T7" s="17"/>
      <c r="U7" s="17"/>
      <c r="V7" s="18"/>
      <c r="W7" s="19">
        <v>15</v>
      </c>
      <c r="X7" s="17"/>
      <c r="Y7" s="20"/>
      <c r="Z7" s="20"/>
      <c r="AA7" s="21"/>
      <c r="AB7" s="8">
        <f t="shared" si="4"/>
        <v>0.99384615384615382</v>
      </c>
      <c r="AC7" s="9">
        <f t="shared" si="5"/>
        <v>0.375</v>
      </c>
      <c r="AD7" s="10">
        <f t="shared" si="6"/>
        <v>0.37269230769230766</v>
      </c>
      <c r="AE7" s="39">
        <f t="shared" si="7"/>
        <v>0.72162593889479665</v>
      </c>
      <c r="AF7" s="94">
        <f t="shared" si="8"/>
        <v>2</v>
      </c>
    </row>
    <row r="8" spans="1:36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50000</v>
      </c>
      <c r="J8" s="14">
        <v>4550</v>
      </c>
      <c r="K8" s="15">
        <f>L8+4093+2190+5474+6124+1911+2500</f>
        <v>26835</v>
      </c>
      <c r="L8" s="15">
        <f>3189+1354</f>
        <v>4543</v>
      </c>
      <c r="M8" s="16">
        <f t="shared" si="0"/>
        <v>4543</v>
      </c>
      <c r="N8" s="16">
        <v>0</v>
      </c>
      <c r="O8" s="62">
        <f t="shared" si="1"/>
        <v>0</v>
      </c>
      <c r="P8" s="42">
        <f t="shared" si="2"/>
        <v>21</v>
      </c>
      <c r="Q8" s="43">
        <f t="shared" si="3"/>
        <v>3</v>
      </c>
      <c r="R8" s="7"/>
      <c r="S8" s="6">
        <v>3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0.99846153846153851</v>
      </c>
      <c r="AC8" s="9">
        <f t="shared" si="5"/>
        <v>0.875</v>
      </c>
      <c r="AD8" s="10">
        <f t="shared" si="6"/>
        <v>0.87365384615384623</v>
      </c>
      <c r="AE8" s="39">
        <f t="shared" si="7"/>
        <v>0.72162593889479665</v>
      </c>
      <c r="AF8" s="94">
        <f>A8</f>
        <v>3</v>
      </c>
    </row>
    <row r="9" spans="1:36" ht="27" customHeight="1">
      <c r="A9" s="110">
        <v>4</v>
      </c>
      <c r="B9" s="11" t="s">
        <v>58</v>
      </c>
      <c r="C9" s="37" t="s">
        <v>118</v>
      </c>
      <c r="D9" s="55" t="s">
        <v>941</v>
      </c>
      <c r="E9" s="57" t="s">
        <v>942</v>
      </c>
      <c r="F9" s="33" t="s">
        <v>943</v>
      </c>
      <c r="G9" s="36">
        <v>1</v>
      </c>
      <c r="H9" s="38">
        <v>25</v>
      </c>
      <c r="I9" s="7">
        <v>21000</v>
      </c>
      <c r="J9" s="5">
        <v>5550</v>
      </c>
      <c r="K9" s="15">
        <f>L9+2178+2106+4113</f>
        <v>13942</v>
      </c>
      <c r="L9" s="15">
        <f>2853+2692</f>
        <v>5545</v>
      </c>
      <c r="M9" s="16">
        <f t="shared" si="0"/>
        <v>5545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0.99909909909909911</v>
      </c>
      <c r="AC9" s="9">
        <f t="shared" si="5"/>
        <v>1</v>
      </c>
      <c r="AD9" s="10">
        <f t="shared" si="6"/>
        <v>0.99909909909909911</v>
      </c>
      <c r="AE9" s="39">
        <f t="shared" si="7"/>
        <v>0.72162593889479665</v>
      </c>
      <c r="AF9" s="94">
        <f t="shared" ref="AF9:AF10" si="9">A9</f>
        <v>4</v>
      </c>
    </row>
    <row r="10" spans="1:36" ht="27" customHeight="1">
      <c r="A10" s="110">
        <v>5</v>
      </c>
      <c r="B10" s="11" t="s">
        <v>58</v>
      </c>
      <c r="C10" s="11" t="s">
        <v>133</v>
      </c>
      <c r="D10" s="55" t="s">
        <v>153</v>
      </c>
      <c r="E10" s="57" t="s">
        <v>965</v>
      </c>
      <c r="F10" s="12" t="s">
        <v>298</v>
      </c>
      <c r="G10" s="12">
        <v>2</v>
      </c>
      <c r="H10" s="13">
        <v>25</v>
      </c>
      <c r="I10" s="34">
        <v>25000</v>
      </c>
      <c r="J10" s="14">
        <v>12000</v>
      </c>
      <c r="K10" s="15">
        <f>L10+8328+11102</f>
        <v>31424</v>
      </c>
      <c r="L10" s="15">
        <f>3221*2+2776*2</f>
        <v>11994</v>
      </c>
      <c r="M10" s="16">
        <f t="shared" si="0"/>
        <v>11994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0.99950000000000006</v>
      </c>
      <c r="AC10" s="9">
        <f t="shared" si="5"/>
        <v>1</v>
      </c>
      <c r="AD10" s="10">
        <f t="shared" si="6"/>
        <v>0.99950000000000006</v>
      </c>
      <c r="AE10" s="39">
        <f t="shared" si="7"/>
        <v>0.72162593889479665</v>
      </c>
      <c r="AF10" s="94">
        <f t="shared" si="9"/>
        <v>5</v>
      </c>
    </row>
    <row r="11" spans="1:36" ht="27" customHeight="1">
      <c r="A11" s="110">
        <v>6</v>
      </c>
      <c r="B11" s="11" t="s">
        <v>58</v>
      </c>
      <c r="C11" s="11" t="s">
        <v>133</v>
      </c>
      <c r="D11" s="55" t="s">
        <v>131</v>
      </c>
      <c r="E11" s="57" t="s">
        <v>700</v>
      </c>
      <c r="F11" s="12" t="s">
        <v>166</v>
      </c>
      <c r="G11" s="12">
        <v>1</v>
      </c>
      <c r="H11" s="13">
        <v>25</v>
      </c>
      <c r="I11" s="34">
        <v>40000</v>
      </c>
      <c r="J11" s="14">
        <v>6270</v>
      </c>
      <c r="K11" s="15">
        <f>L11+2724+6303+6504+3472+2821+4925</f>
        <v>33014</v>
      </c>
      <c r="L11" s="15">
        <f>3257+3008</f>
        <v>6265</v>
      </c>
      <c r="M11" s="16">
        <f t="shared" si="0"/>
        <v>6265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0.99920255183413076</v>
      </c>
      <c r="AC11" s="9">
        <f t="shared" si="5"/>
        <v>1</v>
      </c>
      <c r="AD11" s="10">
        <f t="shared" si="6"/>
        <v>0.99920255183413076</v>
      </c>
      <c r="AE11" s="39">
        <f t="shared" si="7"/>
        <v>0.72162593889479665</v>
      </c>
      <c r="AF11" s="94">
        <f t="shared" si="8"/>
        <v>6</v>
      </c>
    </row>
    <row r="12" spans="1:36" ht="27" customHeight="1">
      <c r="A12" s="110">
        <v>7</v>
      </c>
      <c r="B12" s="11" t="s">
        <v>58</v>
      </c>
      <c r="C12" s="11" t="s">
        <v>133</v>
      </c>
      <c r="D12" s="55" t="s">
        <v>164</v>
      </c>
      <c r="E12" s="57" t="s">
        <v>1017</v>
      </c>
      <c r="F12" s="12" t="s">
        <v>142</v>
      </c>
      <c r="G12" s="12">
        <v>2</v>
      </c>
      <c r="H12" s="13">
        <v>25</v>
      </c>
      <c r="I12" s="7">
        <v>25000</v>
      </c>
      <c r="J12" s="14">
        <v>10040</v>
      </c>
      <c r="K12" s="15">
        <f>L12+7902</f>
        <v>17940</v>
      </c>
      <c r="L12" s="15">
        <f>2628*2+2391*2</f>
        <v>10038</v>
      </c>
      <c r="M12" s="16">
        <f t="shared" si="0"/>
        <v>10038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0.99980079681274903</v>
      </c>
      <c r="AC12" s="9">
        <f t="shared" si="5"/>
        <v>1</v>
      </c>
      <c r="AD12" s="10">
        <f t="shared" si="6"/>
        <v>0.99980079681274903</v>
      </c>
      <c r="AE12" s="39">
        <f t="shared" si="7"/>
        <v>0.72162593889479665</v>
      </c>
      <c r="AF12" s="94">
        <f t="shared" si="8"/>
        <v>7</v>
      </c>
    </row>
    <row r="13" spans="1:36" ht="27" customHeight="1">
      <c r="A13" s="110">
        <v>8</v>
      </c>
      <c r="B13" s="11" t="s">
        <v>58</v>
      </c>
      <c r="C13" s="11" t="s">
        <v>947</v>
      </c>
      <c r="D13" s="55" t="s">
        <v>948</v>
      </c>
      <c r="E13" s="57" t="s">
        <v>949</v>
      </c>
      <c r="F13" s="12" t="s">
        <v>293</v>
      </c>
      <c r="G13" s="12">
        <v>1</v>
      </c>
      <c r="H13" s="13">
        <v>25</v>
      </c>
      <c r="I13" s="7">
        <v>500</v>
      </c>
      <c r="J13" s="14">
        <v>1130</v>
      </c>
      <c r="K13" s="15">
        <f>L13+1127</f>
        <v>1127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0.72162593889479665</v>
      </c>
      <c r="AF13" s="94">
        <f t="shared" si="8"/>
        <v>8</v>
      </c>
    </row>
    <row r="14" spans="1:36" ht="27" customHeight="1">
      <c r="A14" s="109">
        <v>9</v>
      </c>
      <c r="B14" s="11" t="s">
        <v>58</v>
      </c>
      <c r="C14" s="37" t="s">
        <v>228</v>
      </c>
      <c r="D14" s="55" t="s">
        <v>1059</v>
      </c>
      <c r="E14" s="57" t="s">
        <v>1060</v>
      </c>
      <c r="F14" s="33" t="s">
        <v>1061</v>
      </c>
      <c r="G14" s="36">
        <v>1</v>
      </c>
      <c r="H14" s="38">
        <v>25</v>
      </c>
      <c r="I14" s="7">
        <v>300</v>
      </c>
      <c r="J14" s="5">
        <v>542</v>
      </c>
      <c r="K14" s="15">
        <f>L14</f>
        <v>542</v>
      </c>
      <c r="L14" s="15">
        <v>542</v>
      </c>
      <c r="M14" s="16">
        <f t="shared" si="0"/>
        <v>542</v>
      </c>
      <c r="N14" s="16">
        <v>0</v>
      </c>
      <c r="O14" s="62">
        <f t="shared" si="1"/>
        <v>0</v>
      </c>
      <c r="P14" s="42">
        <f t="shared" si="2"/>
        <v>10</v>
      </c>
      <c r="Q14" s="43">
        <f t="shared" si="3"/>
        <v>14</v>
      </c>
      <c r="R14" s="7"/>
      <c r="S14" s="6"/>
      <c r="T14" s="17"/>
      <c r="U14" s="17"/>
      <c r="V14" s="18"/>
      <c r="W14" s="19">
        <v>14</v>
      </c>
      <c r="X14" s="17"/>
      <c r="Y14" s="20"/>
      <c r="Z14" s="20"/>
      <c r="AA14" s="21"/>
      <c r="AB14" s="8">
        <f t="shared" si="4"/>
        <v>1</v>
      </c>
      <c r="AC14" s="9">
        <f t="shared" si="5"/>
        <v>0.41666666666666669</v>
      </c>
      <c r="AD14" s="10">
        <f t="shared" si="6"/>
        <v>0.41666666666666669</v>
      </c>
      <c r="AE14" s="39">
        <f t="shared" si="7"/>
        <v>0.72162593889479665</v>
      </c>
      <c r="AF14" s="94">
        <f t="shared" si="8"/>
        <v>9</v>
      </c>
    </row>
    <row r="15" spans="1:36" ht="27" customHeight="1">
      <c r="A15" s="109">
        <v>10</v>
      </c>
      <c r="B15" s="11" t="s">
        <v>58</v>
      </c>
      <c r="C15" s="11" t="s">
        <v>195</v>
      </c>
      <c r="D15" s="55" t="s">
        <v>967</v>
      </c>
      <c r="E15" s="57" t="s">
        <v>968</v>
      </c>
      <c r="F15" s="12">
        <v>8301</v>
      </c>
      <c r="G15" s="12">
        <v>1</v>
      </c>
      <c r="H15" s="13">
        <v>20</v>
      </c>
      <c r="I15" s="34">
        <v>500</v>
      </c>
      <c r="J15" s="14">
        <v>1590</v>
      </c>
      <c r="K15" s="15">
        <f>L15+1585</f>
        <v>1585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0.72162593889479665</v>
      </c>
      <c r="AF15" s="94">
        <f t="shared" si="8"/>
        <v>10</v>
      </c>
    </row>
    <row r="16" spans="1:36" ht="27.75" customHeight="1">
      <c r="A16" s="109">
        <v>11</v>
      </c>
      <c r="B16" s="11" t="s">
        <v>58</v>
      </c>
      <c r="C16" s="11" t="s">
        <v>228</v>
      </c>
      <c r="D16" s="55" t="s">
        <v>900</v>
      </c>
      <c r="E16" s="56" t="s">
        <v>1062</v>
      </c>
      <c r="F16" s="12">
        <v>7301</v>
      </c>
      <c r="G16" s="36">
        <v>1</v>
      </c>
      <c r="H16" s="38">
        <v>25</v>
      </c>
      <c r="I16" s="7">
        <v>4000</v>
      </c>
      <c r="J16" s="14">
        <v>3490</v>
      </c>
      <c r="K16" s="15">
        <f>L16</f>
        <v>3489</v>
      </c>
      <c r="L16" s="15">
        <f>2858+631</f>
        <v>3489</v>
      </c>
      <c r="M16" s="16">
        <f t="shared" si="0"/>
        <v>3489</v>
      </c>
      <c r="N16" s="16">
        <v>0</v>
      </c>
      <c r="O16" s="62">
        <f t="shared" si="1"/>
        <v>0</v>
      </c>
      <c r="P16" s="42">
        <f t="shared" si="2"/>
        <v>17</v>
      </c>
      <c r="Q16" s="43">
        <f t="shared" si="3"/>
        <v>7</v>
      </c>
      <c r="R16" s="7"/>
      <c r="S16" s="6"/>
      <c r="T16" s="17">
        <v>7</v>
      </c>
      <c r="U16" s="17"/>
      <c r="V16" s="18"/>
      <c r="W16" s="19"/>
      <c r="X16" s="17"/>
      <c r="Y16" s="20"/>
      <c r="Z16" s="20"/>
      <c r="AA16" s="21"/>
      <c r="AB16" s="8">
        <f t="shared" si="4"/>
        <v>0.99971346704871056</v>
      </c>
      <c r="AC16" s="9">
        <f t="shared" si="5"/>
        <v>0.70833333333333337</v>
      </c>
      <c r="AD16" s="10">
        <f t="shared" si="6"/>
        <v>0.70813037249283672</v>
      </c>
      <c r="AE16" s="39">
        <f t="shared" si="7"/>
        <v>0.72162593889479665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58</v>
      </c>
      <c r="C17" s="37" t="s">
        <v>133</v>
      </c>
      <c r="D17" s="55" t="s">
        <v>190</v>
      </c>
      <c r="E17" s="56" t="s">
        <v>1063</v>
      </c>
      <c r="F17" s="12" t="s">
        <v>281</v>
      </c>
      <c r="G17" s="12">
        <v>1</v>
      </c>
      <c r="H17" s="13">
        <v>25</v>
      </c>
      <c r="I17" s="34">
        <v>25000</v>
      </c>
      <c r="J17" s="5">
        <v>20840</v>
      </c>
      <c r="K17" s="15">
        <f>L17</f>
        <v>20832</v>
      </c>
      <c r="L17" s="15">
        <f>2987*4+2221*4</f>
        <v>20832</v>
      </c>
      <c r="M17" s="16">
        <f t="shared" si="0"/>
        <v>20832</v>
      </c>
      <c r="N17" s="16">
        <v>0</v>
      </c>
      <c r="O17" s="62">
        <f t="shared" si="1"/>
        <v>0</v>
      </c>
      <c r="P17" s="42">
        <f t="shared" si="2"/>
        <v>23</v>
      </c>
      <c r="Q17" s="43">
        <f t="shared" si="3"/>
        <v>1</v>
      </c>
      <c r="R17" s="7"/>
      <c r="S17" s="6"/>
      <c r="T17" s="17">
        <v>1</v>
      </c>
      <c r="U17" s="17"/>
      <c r="V17" s="18"/>
      <c r="W17" s="19"/>
      <c r="X17" s="17"/>
      <c r="Y17" s="20"/>
      <c r="Z17" s="20"/>
      <c r="AA17" s="21"/>
      <c r="AB17" s="8">
        <f t="shared" si="4"/>
        <v>0.99961612284069101</v>
      </c>
      <c r="AC17" s="9">
        <f t="shared" si="5"/>
        <v>0.95833333333333337</v>
      </c>
      <c r="AD17" s="10">
        <f t="shared" si="6"/>
        <v>0.95796545105566222</v>
      </c>
      <c r="AE17" s="39">
        <f t="shared" si="7"/>
        <v>0.72162593889479665</v>
      </c>
      <c r="AF17" s="94">
        <f t="shared" ref="AF17" si="10">A17</f>
        <v>12</v>
      </c>
    </row>
    <row r="18" spans="1:32" ht="27" customHeight="1">
      <c r="A18" s="110">
        <v>13</v>
      </c>
      <c r="B18" s="11" t="s">
        <v>58</v>
      </c>
      <c r="C18" s="37" t="s">
        <v>118</v>
      </c>
      <c r="D18" s="55" t="s">
        <v>904</v>
      </c>
      <c r="E18" s="57" t="s">
        <v>905</v>
      </c>
      <c r="F18" s="33" t="s">
        <v>142</v>
      </c>
      <c r="G18" s="36">
        <v>1</v>
      </c>
      <c r="H18" s="38">
        <v>25</v>
      </c>
      <c r="I18" s="7">
        <v>50000</v>
      </c>
      <c r="J18" s="5">
        <v>2040</v>
      </c>
      <c r="K18" s="15">
        <f>L18+4454+5087+5573+4618</f>
        <v>21766</v>
      </c>
      <c r="L18" s="15">
        <f>1040+994</f>
        <v>2034</v>
      </c>
      <c r="M18" s="16">
        <f t="shared" si="0"/>
        <v>2034</v>
      </c>
      <c r="N18" s="16">
        <v>0</v>
      </c>
      <c r="O18" s="62">
        <f t="shared" si="1"/>
        <v>0</v>
      </c>
      <c r="P18" s="42">
        <f t="shared" si="2"/>
        <v>12</v>
      </c>
      <c r="Q18" s="43">
        <f t="shared" si="3"/>
        <v>12</v>
      </c>
      <c r="R18" s="7"/>
      <c r="S18" s="6">
        <v>12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0.99705882352941178</v>
      </c>
      <c r="AC18" s="9">
        <f t="shared" si="5"/>
        <v>0.5</v>
      </c>
      <c r="AD18" s="10">
        <f t="shared" si="6"/>
        <v>0.49852941176470589</v>
      </c>
      <c r="AE18" s="39">
        <f t="shared" si="7"/>
        <v>0.72162593889479665</v>
      </c>
      <c r="AF18" s="94">
        <f t="shared" si="8"/>
        <v>13</v>
      </c>
    </row>
    <row r="19" spans="1:32" ht="27" customHeight="1">
      <c r="A19" s="110">
        <v>14</v>
      </c>
      <c r="B19" s="11" t="s">
        <v>58</v>
      </c>
      <c r="C19" s="11" t="s">
        <v>118</v>
      </c>
      <c r="D19" s="55" t="s">
        <v>57</v>
      </c>
      <c r="E19" s="57" t="s">
        <v>160</v>
      </c>
      <c r="F19" s="12" t="s">
        <v>145</v>
      </c>
      <c r="G19" s="12">
        <v>1</v>
      </c>
      <c r="H19" s="13">
        <v>25</v>
      </c>
      <c r="I19" s="7">
        <v>52000</v>
      </c>
      <c r="J19" s="14">
        <v>5230</v>
      </c>
      <c r="K19" s="15">
        <f>L19+4424+5402+3684+3104+5222</f>
        <v>27066</v>
      </c>
      <c r="L19" s="15">
        <f>2743+2487</f>
        <v>5230</v>
      </c>
      <c r="M19" s="16">
        <f t="shared" si="0"/>
        <v>5230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1</v>
      </c>
      <c r="AD19" s="10">
        <f t="shared" si="6"/>
        <v>1</v>
      </c>
      <c r="AE19" s="39">
        <f t="shared" si="7"/>
        <v>0.72162593889479665</v>
      </c>
      <c r="AF19" s="94">
        <f t="shared" si="8"/>
        <v>14</v>
      </c>
    </row>
    <row r="20" spans="1:32" ht="27" customHeight="1" thickBot="1">
      <c r="A20" s="110">
        <v>15</v>
      </c>
      <c r="B20" s="11" t="s">
        <v>58</v>
      </c>
      <c r="C20" s="11" t="s">
        <v>115</v>
      </c>
      <c r="D20" s="55"/>
      <c r="E20" s="56" t="s">
        <v>906</v>
      </c>
      <c r="F20" s="12" t="s">
        <v>116</v>
      </c>
      <c r="G20" s="12">
        <v>4</v>
      </c>
      <c r="H20" s="38">
        <v>15</v>
      </c>
      <c r="I20" s="7">
        <v>100000</v>
      </c>
      <c r="J20" s="14">
        <v>57600</v>
      </c>
      <c r="K20" s="15">
        <f>L20+60468+60904+70332+57924</f>
        <v>307216</v>
      </c>
      <c r="L20" s="15">
        <f>6139*4+8258*4</f>
        <v>57588</v>
      </c>
      <c r="M20" s="16">
        <f t="shared" si="0"/>
        <v>57588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0.99979166666666663</v>
      </c>
      <c r="AC20" s="9">
        <f t="shared" si="5"/>
        <v>1</v>
      </c>
      <c r="AD20" s="10">
        <f t="shared" si="6"/>
        <v>0.99979166666666663</v>
      </c>
      <c r="AE20" s="39">
        <f t="shared" si="7"/>
        <v>0.72162593889479665</v>
      </c>
      <c r="AF20" s="94">
        <f t="shared" si="8"/>
        <v>15</v>
      </c>
    </row>
    <row r="21" spans="1:32" ht="31.5" customHeight="1" thickBot="1">
      <c r="A21" s="465" t="s">
        <v>34</v>
      </c>
      <c r="B21" s="466"/>
      <c r="C21" s="466"/>
      <c r="D21" s="466"/>
      <c r="E21" s="466"/>
      <c r="F21" s="466"/>
      <c r="G21" s="466"/>
      <c r="H21" s="467"/>
      <c r="I21" s="25">
        <f t="shared" ref="I21:N21" si="11">SUM(I6:I20)</f>
        <v>419300</v>
      </c>
      <c r="J21" s="22">
        <f t="shared" si="11"/>
        <v>141502</v>
      </c>
      <c r="K21" s="23">
        <f t="shared" si="11"/>
        <v>521968</v>
      </c>
      <c r="L21" s="24">
        <f t="shared" si="11"/>
        <v>138716</v>
      </c>
      <c r="M21" s="23">
        <f t="shared" si="11"/>
        <v>138716</v>
      </c>
      <c r="N21" s="24">
        <f t="shared" si="11"/>
        <v>0</v>
      </c>
      <c r="O21" s="44">
        <f t="shared" si="1"/>
        <v>0</v>
      </c>
      <c r="P21" s="45">
        <f t="shared" ref="P21:AA21" si="12">SUM(P6:P20)</f>
        <v>260</v>
      </c>
      <c r="Q21" s="46">
        <f t="shared" si="12"/>
        <v>100</v>
      </c>
      <c r="R21" s="26">
        <f t="shared" si="12"/>
        <v>0</v>
      </c>
      <c r="S21" s="27">
        <f t="shared" si="12"/>
        <v>15</v>
      </c>
      <c r="T21" s="27">
        <f t="shared" si="12"/>
        <v>8</v>
      </c>
      <c r="U21" s="27">
        <f t="shared" si="12"/>
        <v>0</v>
      </c>
      <c r="V21" s="28">
        <f t="shared" si="12"/>
        <v>0</v>
      </c>
      <c r="W21" s="29">
        <f t="shared" si="12"/>
        <v>77</v>
      </c>
      <c r="X21" s="30">
        <f t="shared" si="12"/>
        <v>0</v>
      </c>
      <c r="Y21" s="30">
        <f t="shared" si="12"/>
        <v>0</v>
      </c>
      <c r="Z21" s="30">
        <f t="shared" si="12"/>
        <v>0</v>
      </c>
      <c r="AA21" s="30">
        <f t="shared" si="12"/>
        <v>0</v>
      </c>
      <c r="AB21" s="31">
        <f>SUM(AB6:AB20)/15</f>
        <v>0.86569647555482876</v>
      </c>
      <c r="AC21" s="4">
        <f>SUM(AC6:AC20)/15</f>
        <v>0.72222222222222221</v>
      </c>
      <c r="AD21" s="4">
        <f>SUM(AD6:AD20)/15</f>
        <v>0.72162593889479665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68" t="s">
        <v>45</v>
      </c>
      <c r="B48" s="468"/>
      <c r="C48" s="468"/>
      <c r="D48" s="468"/>
      <c r="E48" s="468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69" t="s">
        <v>1064</v>
      </c>
      <c r="B49" s="470"/>
      <c r="C49" s="470"/>
      <c r="D49" s="470"/>
      <c r="E49" s="470"/>
      <c r="F49" s="470"/>
      <c r="G49" s="470"/>
      <c r="H49" s="470"/>
      <c r="I49" s="470"/>
      <c r="J49" s="470"/>
      <c r="K49" s="470"/>
      <c r="L49" s="470"/>
      <c r="M49" s="471"/>
      <c r="N49" s="472" t="s">
        <v>1075</v>
      </c>
      <c r="O49" s="473"/>
      <c r="P49" s="473"/>
      <c r="Q49" s="473"/>
      <c r="R49" s="473"/>
      <c r="S49" s="473"/>
      <c r="T49" s="473"/>
      <c r="U49" s="473"/>
      <c r="V49" s="473"/>
      <c r="W49" s="473"/>
      <c r="X49" s="473"/>
      <c r="Y49" s="473"/>
      <c r="Z49" s="473"/>
      <c r="AA49" s="473"/>
      <c r="AB49" s="473"/>
      <c r="AC49" s="473"/>
      <c r="AD49" s="474"/>
    </row>
    <row r="50" spans="1:32" ht="27" customHeight="1">
      <c r="A50" s="475" t="s">
        <v>2</v>
      </c>
      <c r="B50" s="476"/>
      <c r="C50" s="364" t="s">
        <v>46</v>
      </c>
      <c r="D50" s="364" t="s">
        <v>47</v>
      </c>
      <c r="E50" s="364" t="s">
        <v>109</v>
      </c>
      <c r="F50" s="476" t="s">
        <v>108</v>
      </c>
      <c r="G50" s="476"/>
      <c r="H50" s="476"/>
      <c r="I50" s="476"/>
      <c r="J50" s="476"/>
      <c r="K50" s="476"/>
      <c r="L50" s="476"/>
      <c r="M50" s="477"/>
      <c r="N50" s="73" t="s">
        <v>113</v>
      </c>
      <c r="O50" s="364" t="s">
        <v>46</v>
      </c>
      <c r="P50" s="478" t="s">
        <v>47</v>
      </c>
      <c r="Q50" s="479"/>
      <c r="R50" s="478" t="s">
        <v>38</v>
      </c>
      <c r="S50" s="480"/>
      <c r="T50" s="480"/>
      <c r="U50" s="479"/>
      <c r="V50" s="478" t="s">
        <v>48</v>
      </c>
      <c r="W50" s="480"/>
      <c r="X50" s="480"/>
      <c r="Y50" s="480"/>
      <c r="Z50" s="480"/>
      <c r="AA50" s="480"/>
      <c r="AB50" s="480"/>
      <c r="AC50" s="480"/>
      <c r="AD50" s="481"/>
    </row>
    <row r="51" spans="1:32" ht="27" customHeight="1">
      <c r="A51" s="492" t="s">
        <v>118</v>
      </c>
      <c r="B51" s="493"/>
      <c r="C51" s="363" t="s">
        <v>725</v>
      </c>
      <c r="D51" s="360" t="s">
        <v>164</v>
      </c>
      <c r="E51" s="363" t="s">
        <v>165</v>
      </c>
      <c r="F51" s="494" t="s">
        <v>1065</v>
      </c>
      <c r="G51" s="494"/>
      <c r="H51" s="494"/>
      <c r="I51" s="494"/>
      <c r="J51" s="494"/>
      <c r="K51" s="494"/>
      <c r="L51" s="494"/>
      <c r="M51" s="495"/>
      <c r="N51" s="359" t="s">
        <v>1068</v>
      </c>
      <c r="O51" s="74" t="s">
        <v>684</v>
      </c>
      <c r="P51" s="496" t="s">
        <v>1076</v>
      </c>
      <c r="Q51" s="497"/>
      <c r="R51" s="498" t="s">
        <v>1077</v>
      </c>
      <c r="S51" s="498"/>
      <c r="T51" s="498"/>
      <c r="U51" s="498"/>
      <c r="V51" s="494" t="s">
        <v>1078</v>
      </c>
      <c r="W51" s="494"/>
      <c r="X51" s="494"/>
      <c r="Y51" s="494"/>
      <c r="Z51" s="494"/>
      <c r="AA51" s="494"/>
      <c r="AB51" s="494"/>
      <c r="AC51" s="494"/>
      <c r="AD51" s="495"/>
    </row>
    <row r="52" spans="1:32" ht="27" customHeight="1">
      <c r="A52" s="492" t="s">
        <v>1068</v>
      </c>
      <c r="B52" s="493"/>
      <c r="C52" s="363" t="s">
        <v>222</v>
      </c>
      <c r="D52" s="360" t="s">
        <v>1069</v>
      </c>
      <c r="E52" s="363" t="s">
        <v>1062</v>
      </c>
      <c r="F52" s="494" t="s">
        <v>150</v>
      </c>
      <c r="G52" s="494"/>
      <c r="H52" s="494"/>
      <c r="I52" s="494"/>
      <c r="J52" s="494"/>
      <c r="K52" s="494"/>
      <c r="L52" s="494"/>
      <c r="M52" s="495"/>
      <c r="N52" s="359" t="s">
        <v>258</v>
      </c>
      <c r="O52" s="74" t="s">
        <v>222</v>
      </c>
      <c r="P52" s="496" t="s">
        <v>164</v>
      </c>
      <c r="Q52" s="497"/>
      <c r="R52" s="498" t="s">
        <v>1031</v>
      </c>
      <c r="S52" s="498"/>
      <c r="T52" s="498"/>
      <c r="U52" s="498"/>
      <c r="V52" s="494" t="s">
        <v>144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1067</v>
      </c>
      <c r="B53" s="493"/>
      <c r="C53" s="363" t="s">
        <v>415</v>
      </c>
      <c r="D53" s="360"/>
      <c r="E53" s="363" t="s">
        <v>1057</v>
      </c>
      <c r="F53" s="494" t="s">
        <v>1066</v>
      </c>
      <c r="G53" s="494"/>
      <c r="H53" s="494"/>
      <c r="I53" s="494"/>
      <c r="J53" s="494"/>
      <c r="K53" s="494"/>
      <c r="L53" s="494"/>
      <c r="M53" s="495"/>
      <c r="N53" s="359" t="s">
        <v>118</v>
      </c>
      <c r="O53" s="74" t="s">
        <v>883</v>
      </c>
      <c r="P53" s="496" t="s">
        <v>153</v>
      </c>
      <c r="Q53" s="497"/>
      <c r="R53" s="498" t="s">
        <v>158</v>
      </c>
      <c r="S53" s="498"/>
      <c r="T53" s="498"/>
      <c r="U53" s="498"/>
      <c r="V53" s="494" t="s">
        <v>1079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258</v>
      </c>
      <c r="B54" s="493"/>
      <c r="C54" s="363" t="s">
        <v>213</v>
      </c>
      <c r="D54" s="360" t="s">
        <v>1070</v>
      </c>
      <c r="E54" s="363" t="s">
        <v>1063</v>
      </c>
      <c r="F54" s="494" t="s">
        <v>150</v>
      </c>
      <c r="G54" s="494"/>
      <c r="H54" s="494"/>
      <c r="I54" s="494"/>
      <c r="J54" s="494"/>
      <c r="K54" s="494"/>
      <c r="L54" s="494"/>
      <c r="M54" s="495"/>
      <c r="N54" s="359" t="s">
        <v>258</v>
      </c>
      <c r="O54" s="74" t="s">
        <v>374</v>
      </c>
      <c r="P54" s="496" t="s">
        <v>1080</v>
      </c>
      <c r="Q54" s="497"/>
      <c r="R54" s="498" t="s">
        <v>700</v>
      </c>
      <c r="S54" s="498"/>
      <c r="T54" s="498"/>
      <c r="U54" s="498"/>
      <c r="V54" s="494" t="s">
        <v>150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228</v>
      </c>
      <c r="B55" s="493"/>
      <c r="C55" s="363" t="s">
        <v>143</v>
      </c>
      <c r="D55" s="360" t="s">
        <v>1059</v>
      </c>
      <c r="E55" s="363" t="s">
        <v>1060</v>
      </c>
      <c r="F55" s="494" t="s">
        <v>150</v>
      </c>
      <c r="G55" s="494"/>
      <c r="H55" s="494"/>
      <c r="I55" s="494"/>
      <c r="J55" s="494"/>
      <c r="K55" s="494"/>
      <c r="L55" s="494"/>
      <c r="M55" s="495"/>
      <c r="N55" s="359"/>
      <c r="O55" s="74"/>
      <c r="P55" s="496"/>
      <c r="Q55" s="497"/>
      <c r="R55" s="498"/>
      <c r="S55" s="498"/>
      <c r="T55" s="498"/>
      <c r="U55" s="498"/>
      <c r="V55" s="494"/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173</v>
      </c>
      <c r="B56" s="493"/>
      <c r="C56" s="363" t="s">
        <v>1071</v>
      </c>
      <c r="D56" s="360" t="s">
        <v>1072</v>
      </c>
      <c r="E56" s="363" t="s">
        <v>1073</v>
      </c>
      <c r="F56" s="494" t="s">
        <v>1074</v>
      </c>
      <c r="G56" s="494"/>
      <c r="H56" s="494"/>
      <c r="I56" s="494"/>
      <c r="J56" s="494"/>
      <c r="K56" s="494"/>
      <c r="L56" s="494"/>
      <c r="M56" s="495"/>
      <c r="N56" s="359"/>
      <c r="O56" s="74"/>
      <c r="P56" s="498"/>
      <c r="Q56" s="498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/>
      <c r="B57" s="493"/>
      <c r="C57" s="363"/>
      <c r="D57" s="360"/>
      <c r="E57" s="363"/>
      <c r="F57" s="494"/>
      <c r="G57" s="494"/>
      <c r="H57" s="494"/>
      <c r="I57" s="494"/>
      <c r="J57" s="494"/>
      <c r="K57" s="494"/>
      <c r="L57" s="494"/>
      <c r="M57" s="495"/>
      <c r="N57" s="359"/>
      <c r="O57" s="74"/>
      <c r="P57" s="496"/>
      <c r="Q57" s="497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/>
      <c r="B58" s="493"/>
      <c r="C58" s="363"/>
      <c r="D58" s="360"/>
      <c r="E58" s="363"/>
      <c r="F58" s="494"/>
      <c r="G58" s="494"/>
      <c r="H58" s="494"/>
      <c r="I58" s="494"/>
      <c r="J58" s="494"/>
      <c r="K58" s="494"/>
      <c r="L58" s="494"/>
      <c r="M58" s="495"/>
      <c r="N58" s="359"/>
      <c r="O58" s="74"/>
      <c r="P58" s="498"/>
      <c r="Q58" s="498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508"/>
      <c r="B59" s="498"/>
      <c r="C59" s="360"/>
      <c r="D59" s="360"/>
      <c r="E59" s="360"/>
      <c r="F59" s="494"/>
      <c r="G59" s="494"/>
      <c r="H59" s="494"/>
      <c r="I59" s="494"/>
      <c r="J59" s="494"/>
      <c r="K59" s="494"/>
      <c r="L59" s="494"/>
      <c r="M59" s="495"/>
      <c r="N59" s="359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  <c r="AF59" s="94">
        <f>8*3000</f>
        <v>24000</v>
      </c>
    </row>
    <row r="60" spans="1:32" ht="27" customHeight="1" thickBot="1">
      <c r="A60" s="499"/>
      <c r="B60" s="500"/>
      <c r="C60" s="362"/>
      <c r="D60" s="362"/>
      <c r="E60" s="362"/>
      <c r="F60" s="501"/>
      <c r="G60" s="501"/>
      <c r="H60" s="501"/>
      <c r="I60" s="501"/>
      <c r="J60" s="501"/>
      <c r="K60" s="501"/>
      <c r="L60" s="501"/>
      <c r="M60" s="502"/>
      <c r="N60" s="361"/>
      <c r="O60" s="121"/>
      <c r="P60" s="500"/>
      <c r="Q60" s="500"/>
      <c r="R60" s="500"/>
      <c r="S60" s="500"/>
      <c r="T60" s="500"/>
      <c r="U60" s="500"/>
      <c r="V60" s="501"/>
      <c r="W60" s="501"/>
      <c r="X60" s="501"/>
      <c r="Y60" s="501"/>
      <c r="Z60" s="501"/>
      <c r="AA60" s="501"/>
      <c r="AB60" s="501"/>
      <c r="AC60" s="501"/>
      <c r="AD60" s="502"/>
      <c r="AF60" s="94">
        <f>16*3000</f>
        <v>48000</v>
      </c>
    </row>
    <row r="61" spans="1:32" ht="27.75" thickBot="1">
      <c r="A61" s="503" t="s">
        <v>1081</v>
      </c>
      <c r="B61" s="503"/>
      <c r="C61" s="503"/>
      <c r="D61" s="503"/>
      <c r="E61" s="503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504" t="s">
        <v>114</v>
      </c>
      <c r="B62" s="505"/>
      <c r="C62" s="358" t="s">
        <v>2</v>
      </c>
      <c r="D62" s="358" t="s">
        <v>37</v>
      </c>
      <c r="E62" s="358" t="s">
        <v>3</v>
      </c>
      <c r="F62" s="505" t="s">
        <v>111</v>
      </c>
      <c r="G62" s="505"/>
      <c r="H62" s="505"/>
      <c r="I62" s="505"/>
      <c r="J62" s="505"/>
      <c r="K62" s="505" t="s">
        <v>39</v>
      </c>
      <c r="L62" s="505"/>
      <c r="M62" s="358" t="s">
        <v>40</v>
      </c>
      <c r="N62" s="505" t="s">
        <v>41</v>
      </c>
      <c r="O62" s="505"/>
      <c r="P62" s="506" t="s">
        <v>42</v>
      </c>
      <c r="Q62" s="507"/>
      <c r="R62" s="506" t="s">
        <v>43</v>
      </c>
      <c r="S62" s="509"/>
      <c r="T62" s="509"/>
      <c r="U62" s="509"/>
      <c r="V62" s="509"/>
      <c r="W62" s="509"/>
      <c r="X62" s="509"/>
      <c r="Y62" s="509"/>
      <c r="Z62" s="509"/>
      <c r="AA62" s="507"/>
      <c r="AB62" s="505" t="s">
        <v>44</v>
      </c>
      <c r="AC62" s="505"/>
      <c r="AD62" s="510"/>
      <c r="AF62" s="94">
        <f>SUM(AF59:AF61)</f>
        <v>96000</v>
      </c>
    </row>
    <row r="63" spans="1:32" ht="25.5" customHeight="1">
      <c r="A63" s="511">
        <v>1</v>
      </c>
      <c r="B63" s="512"/>
      <c r="C63" s="124" t="s">
        <v>228</v>
      </c>
      <c r="D63" s="354"/>
      <c r="E63" s="357" t="s">
        <v>1082</v>
      </c>
      <c r="F63" s="513" t="s">
        <v>1083</v>
      </c>
      <c r="G63" s="514"/>
      <c r="H63" s="514"/>
      <c r="I63" s="514"/>
      <c r="J63" s="514"/>
      <c r="K63" s="514">
        <v>8301</v>
      </c>
      <c r="L63" s="514"/>
      <c r="M63" s="54" t="s">
        <v>1084</v>
      </c>
      <c r="N63" s="514">
        <v>10</v>
      </c>
      <c r="O63" s="514"/>
      <c r="P63" s="515">
        <v>100</v>
      </c>
      <c r="Q63" s="515"/>
      <c r="R63" s="494" t="s">
        <v>1085</v>
      </c>
      <c r="S63" s="494"/>
      <c r="T63" s="494"/>
      <c r="U63" s="494"/>
      <c r="V63" s="494"/>
      <c r="W63" s="494"/>
      <c r="X63" s="494"/>
      <c r="Y63" s="494"/>
      <c r="Z63" s="494"/>
      <c r="AA63" s="494"/>
      <c r="AB63" s="514"/>
      <c r="AC63" s="514"/>
      <c r="AD63" s="516"/>
      <c r="AF63" s="53"/>
    </row>
    <row r="64" spans="1:32" ht="25.5" customHeight="1">
      <c r="A64" s="511">
        <v>2</v>
      </c>
      <c r="B64" s="512"/>
      <c r="C64" s="124" t="s">
        <v>228</v>
      </c>
      <c r="D64" s="354"/>
      <c r="E64" s="357" t="s">
        <v>1086</v>
      </c>
      <c r="F64" s="513" t="s">
        <v>1083</v>
      </c>
      <c r="G64" s="514"/>
      <c r="H64" s="514"/>
      <c r="I64" s="514"/>
      <c r="J64" s="514"/>
      <c r="K64" s="514" t="s">
        <v>1087</v>
      </c>
      <c r="L64" s="514"/>
      <c r="M64" s="54" t="s">
        <v>1084</v>
      </c>
      <c r="N64" s="514">
        <v>10</v>
      </c>
      <c r="O64" s="514"/>
      <c r="P64" s="515">
        <v>100</v>
      </c>
      <c r="Q64" s="515"/>
      <c r="R64" s="494" t="s">
        <v>1085</v>
      </c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3</v>
      </c>
      <c r="B65" s="512"/>
      <c r="C65" s="124" t="s">
        <v>228</v>
      </c>
      <c r="D65" s="354"/>
      <c r="E65" s="357" t="s">
        <v>1088</v>
      </c>
      <c r="F65" s="513" t="s">
        <v>1089</v>
      </c>
      <c r="G65" s="514"/>
      <c r="H65" s="514"/>
      <c r="I65" s="514"/>
      <c r="J65" s="514"/>
      <c r="K65" s="514" t="s">
        <v>1090</v>
      </c>
      <c r="L65" s="514"/>
      <c r="M65" s="54" t="s">
        <v>1091</v>
      </c>
      <c r="N65" s="514">
        <v>8</v>
      </c>
      <c r="O65" s="514"/>
      <c r="P65" s="515">
        <v>50</v>
      </c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4</v>
      </c>
      <c r="B66" s="512"/>
      <c r="C66" s="124" t="s">
        <v>228</v>
      </c>
      <c r="D66" s="354"/>
      <c r="E66" s="357" t="s">
        <v>382</v>
      </c>
      <c r="F66" s="513" t="s">
        <v>1092</v>
      </c>
      <c r="G66" s="514"/>
      <c r="H66" s="514"/>
      <c r="I66" s="514"/>
      <c r="J66" s="514"/>
      <c r="K66" s="514" t="s">
        <v>1093</v>
      </c>
      <c r="L66" s="514"/>
      <c r="M66" s="54" t="s">
        <v>1094</v>
      </c>
      <c r="N66" s="514">
        <v>8</v>
      </c>
      <c r="O66" s="514"/>
      <c r="P66" s="515" t="s">
        <v>1095</v>
      </c>
      <c r="Q66" s="515"/>
      <c r="R66" s="494" t="s">
        <v>1096</v>
      </c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5</v>
      </c>
      <c r="B67" s="512"/>
      <c r="C67" s="124"/>
      <c r="D67" s="354"/>
      <c r="E67" s="357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6</v>
      </c>
      <c r="B68" s="512"/>
      <c r="C68" s="124"/>
      <c r="D68" s="354"/>
      <c r="E68" s="357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7</v>
      </c>
      <c r="B69" s="512"/>
      <c r="C69" s="124"/>
      <c r="D69" s="354"/>
      <c r="E69" s="357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8</v>
      </c>
      <c r="B70" s="512"/>
      <c r="C70" s="124"/>
      <c r="D70" s="354"/>
      <c r="E70" s="357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6.25" customHeight="1" thickBot="1">
      <c r="A71" s="517" t="s">
        <v>1097</v>
      </c>
      <c r="B71" s="517"/>
      <c r="C71" s="517"/>
      <c r="D71" s="517"/>
      <c r="E71" s="51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518" t="s">
        <v>114</v>
      </c>
      <c r="B72" s="519"/>
      <c r="C72" s="356" t="s">
        <v>2</v>
      </c>
      <c r="D72" s="356" t="s">
        <v>37</v>
      </c>
      <c r="E72" s="356" t="s">
        <v>3</v>
      </c>
      <c r="F72" s="519" t="s">
        <v>38</v>
      </c>
      <c r="G72" s="519"/>
      <c r="H72" s="519"/>
      <c r="I72" s="519"/>
      <c r="J72" s="519"/>
      <c r="K72" s="520" t="s">
        <v>59</v>
      </c>
      <c r="L72" s="521"/>
      <c r="M72" s="521"/>
      <c r="N72" s="521"/>
      <c r="O72" s="521"/>
      <c r="P72" s="521"/>
      <c r="Q72" s="521"/>
      <c r="R72" s="521"/>
      <c r="S72" s="522"/>
      <c r="T72" s="519" t="s">
        <v>49</v>
      </c>
      <c r="U72" s="519"/>
      <c r="V72" s="520" t="s">
        <v>50</v>
      </c>
      <c r="W72" s="522"/>
      <c r="X72" s="521" t="s">
        <v>51</v>
      </c>
      <c r="Y72" s="521"/>
      <c r="Z72" s="521"/>
      <c r="AA72" s="521"/>
      <c r="AB72" s="521"/>
      <c r="AC72" s="521"/>
      <c r="AD72" s="523"/>
      <c r="AF72" s="53"/>
    </row>
    <row r="73" spans="1:32" ht="33.75" customHeight="1">
      <c r="A73" s="532">
        <v>1</v>
      </c>
      <c r="B73" s="533"/>
      <c r="C73" s="355" t="s">
        <v>117</v>
      </c>
      <c r="D73" s="355"/>
      <c r="E73" s="71" t="s">
        <v>123</v>
      </c>
      <c r="F73" s="534" t="s">
        <v>124</v>
      </c>
      <c r="G73" s="535"/>
      <c r="H73" s="535"/>
      <c r="I73" s="535"/>
      <c r="J73" s="536"/>
      <c r="K73" s="537" t="s">
        <v>119</v>
      </c>
      <c r="L73" s="538"/>
      <c r="M73" s="538"/>
      <c r="N73" s="538"/>
      <c r="O73" s="538"/>
      <c r="P73" s="538"/>
      <c r="Q73" s="538"/>
      <c r="R73" s="538"/>
      <c r="S73" s="539"/>
      <c r="T73" s="540">
        <v>42901</v>
      </c>
      <c r="U73" s="541"/>
      <c r="V73" s="542"/>
      <c r="W73" s="542"/>
      <c r="X73" s="543"/>
      <c r="Y73" s="543"/>
      <c r="Z73" s="543"/>
      <c r="AA73" s="543"/>
      <c r="AB73" s="543"/>
      <c r="AC73" s="543"/>
      <c r="AD73" s="544"/>
      <c r="AF73" s="53"/>
    </row>
    <row r="74" spans="1:32" ht="30" customHeight="1">
      <c r="A74" s="524">
        <f>A73+1</f>
        <v>2</v>
      </c>
      <c r="B74" s="525"/>
      <c r="C74" s="354" t="s">
        <v>117</v>
      </c>
      <c r="D74" s="354"/>
      <c r="E74" s="35" t="s">
        <v>120</v>
      </c>
      <c r="F74" s="525" t="s">
        <v>121</v>
      </c>
      <c r="G74" s="525"/>
      <c r="H74" s="525"/>
      <c r="I74" s="525"/>
      <c r="J74" s="525"/>
      <c r="K74" s="526" t="s">
        <v>122</v>
      </c>
      <c r="L74" s="527"/>
      <c r="M74" s="527"/>
      <c r="N74" s="527"/>
      <c r="O74" s="527"/>
      <c r="P74" s="527"/>
      <c r="Q74" s="527"/>
      <c r="R74" s="527"/>
      <c r="S74" s="528"/>
      <c r="T74" s="529">
        <v>42867</v>
      </c>
      <c r="U74" s="529"/>
      <c r="V74" s="529"/>
      <c r="W74" s="529"/>
      <c r="X74" s="530"/>
      <c r="Y74" s="530"/>
      <c r="Z74" s="530"/>
      <c r="AA74" s="530"/>
      <c r="AB74" s="530"/>
      <c r="AC74" s="530"/>
      <c r="AD74" s="531"/>
      <c r="AF74" s="53"/>
    </row>
    <row r="75" spans="1:32" ht="30" customHeight="1">
      <c r="A75" s="524">
        <f t="shared" ref="A75:A81" si="13">A74+1</f>
        <v>3</v>
      </c>
      <c r="B75" s="525"/>
      <c r="C75" s="354" t="s">
        <v>133</v>
      </c>
      <c r="D75" s="354"/>
      <c r="E75" s="35" t="s">
        <v>131</v>
      </c>
      <c r="F75" s="525" t="s">
        <v>134</v>
      </c>
      <c r="G75" s="525"/>
      <c r="H75" s="525"/>
      <c r="I75" s="525"/>
      <c r="J75" s="525"/>
      <c r="K75" s="526" t="s">
        <v>119</v>
      </c>
      <c r="L75" s="527"/>
      <c r="M75" s="527"/>
      <c r="N75" s="527"/>
      <c r="O75" s="527"/>
      <c r="P75" s="527"/>
      <c r="Q75" s="527"/>
      <c r="R75" s="527"/>
      <c r="S75" s="528"/>
      <c r="T75" s="529">
        <v>42937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si="13"/>
        <v>4</v>
      </c>
      <c r="B76" s="525"/>
      <c r="C76" s="354"/>
      <c r="D76" s="354"/>
      <c r="E76" s="35"/>
      <c r="F76" s="525"/>
      <c r="G76" s="525"/>
      <c r="H76" s="525"/>
      <c r="I76" s="525"/>
      <c r="J76" s="525"/>
      <c r="K76" s="526"/>
      <c r="L76" s="527"/>
      <c r="M76" s="527"/>
      <c r="N76" s="527"/>
      <c r="O76" s="527"/>
      <c r="P76" s="527"/>
      <c r="Q76" s="527"/>
      <c r="R76" s="527"/>
      <c r="S76" s="528"/>
      <c r="T76" s="529"/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13"/>
        <v>5</v>
      </c>
      <c r="B77" s="525"/>
      <c r="C77" s="354"/>
      <c r="D77" s="354"/>
      <c r="E77" s="35"/>
      <c r="F77" s="525"/>
      <c r="G77" s="525"/>
      <c r="H77" s="525"/>
      <c r="I77" s="525"/>
      <c r="J77" s="525"/>
      <c r="K77" s="526"/>
      <c r="L77" s="527"/>
      <c r="M77" s="527"/>
      <c r="N77" s="527"/>
      <c r="O77" s="527"/>
      <c r="P77" s="527"/>
      <c r="Q77" s="527"/>
      <c r="R77" s="527"/>
      <c r="S77" s="528"/>
      <c r="T77" s="529"/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13"/>
        <v>6</v>
      </c>
      <c r="B78" s="525"/>
      <c r="C78" s="354"/>
      <c r="D78" s="354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13"/>
        <v>7</v>
      </c>
      <c r="B79" s="525"/>
      <c r="C79" s="354"/>
      <c r="D79" s="354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13"/>
        <v>8</v>
      </c>
      <c r="B80" s="525"/>
      <c r="C80" s="354"/>
      <c r="D80" s="354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13"/>
        <v>9</v>
      </c>
      <c r="B81" s="525"/>
      <c r="C81" s="354"/>
      <c r="D81" s="354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6" thickBot="1">
      <c r="A82" s="517" t="s">
        <v>1098</v>
      </c>
      <c r="B82" s="517"/>
      <c r="C82" s="517"/>
      <c r="D82" s="517"/>
      <c r="E82" s="51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518" t="s">
        <v>114</v>
      </c>
      <c r="B83" s="519"/>
      <c r="C83" s="545" t="s">
        <v>52</v>
      </c>
      <c r="D83" s="545"/>
      <c r="E83" s="545" t="s">
        <v>53</v>
      </c>
      <c r="F83" s="545"/>
      <c r="G83" s="545"/>
      <c r="H83" s="545"/>
      <c r="I83" s="545"/>
      <c r="J83" s="545"/>
      <c r="K83" s="545" t="s">
        <v>54</v>
      </c>
      <c r="L83" s="545"/>
      <c r="M83" s="545"/>
      <c r="N83" s="545"/>
      <c r="O83" s="545"/>
      <c r="P83" s="545"/>
      <c r="Q83" s="545"/>
      <c r="R83" s="545"/>
      <c r="S83" s="545"/>
      <c r="T83" s="545" t="s">
        <v>55</v>
      </c>
      <c r="U83" s="545"/>
      <c r="V83" s="545" t="s">
        <v>56</v>
      </c>
      <c r="W83" s="545"/>
      <c r="X83" s="545"/>
      <c r="Y83" s="545" t="s">
        <v>51</v>
      </c>
      <c r="Z83" s="545"/>
      <c r="AA83" s="545"/>
      <c r="AB83" s="545"/>
      <c r="AC83" s="545"/>
      <c r="AD83" s="546"/>
      <c r="AF83" s="53"/>
    </row>
    <row r="84" spans="1:32" ht="30.75" customHeight="1">
      <c r="A84" s="532">
        <v>1</v>
      </c>
      <c r="B84" s="533"/>
      <c r="C84" s="547"/>
      <c r="D84" s="547"/>
      <c r="E84" s="547"/>
      <c r="F84" s="547"/>
      <c r="G84" s="547"/>
      <c r="H84" s="547"/>
      <c r="I84" s="547"/>
      <c r="J84" s="547"/>
      <c r="K84" s="547"/>
      <c r="L84" s="547"/>
      <c r="M84" s="547"/>
      <c r="N84" s="547"/>
      <c r="O84" s="547"/>
      <c r="P84" s="547"/>
      <c r="Q84" s="547"/>
      <c r="R84" s="547"/>
      <c r="S84" s="547"/>
      <c r="T84" s="547"/>
      <c r="U84" s="547"/>
      <c r="V84" s="548"/>
      <c r="W84" s="548"/>
      <c r="X84" s="548"/>
      <c r="Y84" s="549"/>
      <c r="Z84" s="549"/>
      <c r="AA84" s="549"/>
      <c r="AB84" s="549"/>
      <c r="AC84" s="549"/>
      <c r="AD84" s="550"/>
      <c r="AF84" s="53"/>
    </row>
    <row r="85" spans="1:32" ht="30.75" customHeight="1">
      <c r="A85" s="524">
        <v>2</v>
      </c>
      <c r="B85" s="525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9"/>
      <c r="U85" s="559"/>
      <c r="V85" s="560"/>
      <c r="W85" s="560"/>
      <c r="X85" s="560"/>
      <c r="Y85" s="551"/>
      <c r="Z85" s="551"/>
      <c r="AA85" s="551"/>
      <c r="AB85" s="551"/>
      <c r="AC85" s="551"/>
      <c r="AD85" s="552"/>
      <c r="AF85" s="53"/>
    </row>
    <row r="86" spans="1:32" ht="30.75" customHeight="1" thickBot="1">
      <c r="A86" s="553">
        <v>3</v>
      </c>
      <c r="B86" s="554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6"/>
      <c r="Z86" s="556"/>
      <c r="AA86" s="556"/>
      <c r="AB86" s="556"/>
      <c r="AC86" s="556"/>
      <c r="AD86" s="55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8"/>
  <sheetViews>
    <sheetView zoomScale="72" zoomScaleNormal="72" zoomScaleSheetLayoutView="70" workbookViewId="0">
      <selection activeCell="A85" sqref="A85:B85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51" t="s">
        <v>1099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2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366" t="s">
        <v>17</v>
      </c>
      <c r="L5" s="366" t="s">
        <v>18</v>
      </c>
      <c r="M5" s="366" t="s">
        <v>19</v>
      </c>
      <c r="N5" s="366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2" ht="27" customHeight="1">
      <c r="A6" s="108">
        <v>1</v>
      </c>
      <c r="B6" s="11" t="s">
        <v>58</v>
      </c>
      <c r="C6" s="37" t="s">
        <v>133</v>
      </c>
      <c r="D6" s="55" t="s">
        <v>57</v>
      </c>
      <c r="E6" s="57" t="s">
        <v>446</v>
      </c>
      <c r="F6" s="33" t="s">
        <v>1015</v>
      </c>
      <c r="G6" s="12">
        <v>2</v>
      </c>
      <c r="H6" s="13">
        <v>25</v>
      </c>
      <c r="I6" s="34">
        <v>25000</v>
      </c>
      <c r="J6" s="5">
        <v>9330</v>
      </c>
      <c r="K6" s="15">
        <f>L6+4574+9324</f>
        <v>23136</v>
      </c>
      <c r="L6" s="15">
        <f>2434*2+2185*2</f>
        <v>9238</v>
      </c>
      <c r="M6" s="16">
        <f t="shared" ref="M6:M22" si="0">L6-N6</f>
        <v>9238</v>
      </c>
      <c r="N6" s="16">
        <v>0</v>
      </c>
      <c r="O6" s="62">
        <f t="shared" ref="O6:O23" si="1">IF(L6=0,"0",N6/L6)</f>
        <v>0</v>
      </c>
      <c r="P6" s="42">
        <f t="shared" ref="P6:P22" si="2">IF(L6=0,"0",(24-Q6))</f>
        <v>24</v>
      </c>
      <c r="Q6" s="43">
        <f t="shared" ref="Q6:Q22" si="3">SUM(R6:AA6)</f>
        <v>0</v>
      </c>
      <c r="R6" s="7"/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2" si="4">IF(J6=0,"0",(L6/J6))</f>
        <v>0.9901393354769561</v>
      </c>
      <c r="AC6" s="9">
        <f t="shared" ref="AC6:AC22" si="5">IF(P6=0,"0",(P6/24))</f>
        <v>1</v>
      </c>
      <c r="AD6" s="10">
        <f t="shared" ref="AD6:AD22" si="6">AC6*AB6*(1-O6)</f>
        <v>0.9901393354769561</v>
      </c>
      <c r="AE6" s="39">
        <f t="shared" ref="AE6:AE15" si="7">$AD$23</f>
        <v>0.55432355156868995</v>
      </c>
      <c r="AF6" s="94">
        <f t="shared" ref="AF6:AF22" si="8">A6</f>
        <v>1</v>
      </c>
    </row>
    <row r="7" spans="1:32" ht="27" customHeight="1">
      <c r="A7" s="108">
        <v>2</v>
      </c>
      <c r="B7" s="11" t="s">
        <v>58</v>
      </c>
      <c r="C7" s="37" t="s">
        <v>1056</v>
      </c>
      <c r="D7" s="55"/>
      <c r="E7" s="57" t="s">
        <v>1057</v>
      </c>
      <c r="F7" s="33" t="s">
        <v>1058</v>
      </c>
      <c r="G7" s="12">
        <v>1</v>
      </c>
      <c r="H7" s="13">
        <v>25</v>
      </c>
      <c r="I7" s="34">
        <v>1000</v>
      </c>
      <c r="J7" s="5">
        <v>1300</v>
      </c>
      <c r="K7" s="15">
        <f>L7+1292</f>
        <v>1292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0.55432355156868995</v>
      </c>
      <c r="AF7" s="94">
        <f t="shared" si="8"/>
        <v>2</v>
      </c>
    </row>
    <row r="8" spans="1:32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50000</v>
      </c>
      <c r="J8" s="14">
        <v>5170</v>
      </c>
      <c r="K8" s="15">
        <f>L8+4093+2190+5474+6124+1911+2500+4543</f>
        <v>32002</v>
      </c>
      <c r="L8" s="15">
        <f>3056+2111</f>
        <v>5167</v>
      </c>
      <c r="M8" s="16">
        <f t="shared" si="0"/>
        <v>5167</v>
      </c>
      <c r="N8" s="16">
        <v>0</v>
      </c>
      <c r="O8" s="62">
        <f t="shared" si="1"/>
        <v>0</v>
      </c>
      <c r="P8" s="42">
        <f t="shared" si="2"/>
        <v>23</v>
      </c>
      <c r="Q8" s="43">
        <f t="shared" si="3"/>
        <v>1</v>
      </c>
      <c r="R8" s="7"/>
      <c r="S8" s="6">
        <v>1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0.9994197292069632</v>
      </c>
      <c r="AC8" s="9">
        <f t="shared" si="5"/>
        <v>0.95833333333333337</v>
      </c>
      <c r="AD8" s="10">
        <f t="shared" si="6"/>
        <v>0.95777724049000645</v>
      </c>
      <c r="AE8" s="39">
        <f t="shared" si="7"/>
        <v>0.55432355156868995</v>
      </c>
      <c r="AF8" s="94">
        <f>A8</f>
        <v>3</v>
      </c>
    </row>
    <row r="9" spans="1:32" ht="27" customHeight="1">
      <c r="A9" s="110">
        <v>4</v>
      </c>
      <c r="B9" s="11" t="s">
        <v>58</v>
      </c>
      <c r="C9" s="37" t="s">
        <v>118</v>
      </c>
      <c r="D9" s="55" t="s">
        <v>941</v>
      </c>
      <c r="E9" s="57" t="s">
        <v>942</v>
      </c>
      <c r="F9" s="33" t="s">
        <v>943</v>
      </c>
      <c r="G9" s="36">
        <v>1</v>
      </c>
      <c r="H9" s="38">
        <v>25</v>
      </c>
      <c r="I9" s="7">
        <v>21000</v>
      </c>
      <c r="J9" s="5">
        <v>5510</v>
      </c>
      <c r="K9" s="15">
        <f>L9+2178+2106+4113+5545</f>
        <v>19448</v>
      </c>
      <c r="L9" s="15">
        <f>2935+2571</f>
        <v>5506</v>
      </c>
      <c r="M9" s="16">
        <f t="shared" si="0"/>
        <v>5506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0.9992740471869328</v>
      </c>
      <c r="AC9" s="9">
        <f t="shared" si="5"/>
        <v>1</v>
      </c>
      <c r="AD9" s="10">
        <f t="shared" si="6"/>
        <v>0.9992740471869328</v>
      </c>
      <c r="AE9" s="39">
        <f t="shared" si="7"/>
        <v>0.55432355156868995</v>
      </c>
      <c r="AF9" s="94">
        <f t="shared" ref="AF9:AF10" si="9">A9</f>
        <v>4</v>
      </c>
    </row>
    <row r="10" spans="1:32" ht="27" customHeight="1">
      <c r="A10" s="110">
        <v>5</v>
      </c>
      <c r="B10" s="11" t="s">
        <v>58</v>
      </c>
      <c r="C10" s="11" t="s">
        <v>1100</v>
      </c>
      <c r="D10" s="55" t="s">
        <v>57</v>
      </c>
      <c r="E10" s="57" t="s">
        <v>1101</v>
      </c>
      <c r="F10" s="12" t="s">
        <v>135</v>
      </c>
      <c r="G10" s="12">
        <v>1</v>
      </c>
      <c r="H10" s="13">
        <v>25</v>
      </c>
      <c r="I10" s="34">
        <v>4000</v>
      </c>
      <c r="J10" s="14">
        <v>4382</v>
      </c>
      <c r="K10" s="15">
        <f>L10</f>
        <v>4382</v>
      </c>
      <c r="L10" s="15">
        <f>2572+1810</f>
        <v>4382</v>
      </c>
      <c r="M10" s="16">
        <f t="shared" si="0"/>
        <v>4382</v>
      </c>
      <c r="N10" s="16">
        <v>0</v>
      </c>
      <c r="O10" s="62">
        <f t="shared" si="1"/>
        <v>0</v>
      </c>
      <c r="P10" s="42">
        <f t="shared" si="2"/>
        <v>22</v>
      </c>
      <c r="Q10" s="43">
        <f t="shared" si="3"/>
        <v>2</v>
      </c>
      <c r="R10" s="7"/>
      <c r="S10" s="6"/>
      <c r="T10" s="17">
        <v>2</v>
      </c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0.91666666666666663</v>
      </c>
      <c r="AD10" s="10">
        <f t="shared" si="6"/>
        <v>0.91666666666666663</v>
      </c>
      <c r="AE10" s="39">
        <f t="shared" si="7"/>
        <v>0.55432355156868995</v>
      </c>
      <c r="AF10" s="94">
        <f t="shared" si="9"/>
        <v>5</v>
      </c>
    </row>
    <row r="11" spans="1:32" ht="27" customHeight="1">
      <c r="A11" s="110">
        <v>6</v>
      </c>
      <c r="B11" s="11" t="s">
        <v>58</v>
      </c>
      <c r="C11" s="11" t="s">
        <v>133</v>
      </c>
      <c r="D11" s="55" t="s">
        <v>131</v>
      </c>
      <c r="E11" s="57" t="s">
        <v>700</v>
      </c>
      <c r="F11" s="12" t="s">
        <v>166</v>
      </c>
      <c r="G11" s="12">
        <v>1</v>
      </c>
      <c r="H11" s="13">
        <v>25</v>
      </c>
      <c r="I11" s="34">
        <v>40000</v>
      </c>
      <c r="J11" s="14">
        <v>4480</v>
      </c>
      <c r="K11" s="15">
        <f>L11+2724+6303+6504+3472+2821+4925+6265</f>
        <v>37487</v>
      </c>
      <c r="L11" s="15">
        <f>3373+1100</f>
        <v>4473</v>
      </c>
      <c r="M11" s="16">
        <f t="shared" si="0"/>
        <v>4473</v>
      </c>
      <c r="N11" s="16">
        <v>0</v>
      </c>
      <c r="O11" s="62">
        <f t="shared" si="1"/>
        <v>0</v>
      </c>
      <c r="P11" s="42">
        <f t="shared" si="2"/>
        <v>19</v>
      </c>
      <c r="Q11" s="43">
        <f t="shared" si="3"/>
        <v>5</v>
      </c>
      <c r="R11" s="7"/>
      <c r="S11" s="6">
        <v>5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0.99843749999999998</v>
      </c>
      <c r="AC11" s="9">
        <f t="shared" si="5"/>
        <v>0.79166666666666663</v>
      </c>
      <c r="AD11" s="10">
        <f t="shared" si="6"/>
        <v>0.79042968749999998</v>
      </c>
      <c r="AE11" s="39">
        <f t="shared" si="7"/>
        <v>0.55432355156868995</v>
      </c>
      <c r="AF11" s="94">
        <f t="shared" si="8"/>
        <v>6</v>
      </c>
    </row>
    <row r="12" spans="1:32" ht="27" customHeight="1">
      <c r="A12" s="110">
        <v>7</v>
      </c>
      <c r="B12" s="11" t="s">
        <v>58</v>
      </c>
      <c r="C12" s="11" t="s">
        <v>133</v>
      </c>
      <c r="D12" s="55" t="s">
        <v>164</v>
      </c>
      <c r="E12" s="57" t="s">
        <v>1017</v>
      </c>
      <c r="F12" s="12" t="s">
        <v>142</v>
      </c>
      <c r="G12" s="12">
        <v>2</v>
      </c>
      <c r="H12" s="13">
        <v>25</v>
      </c>
      <c r="I12" s="7">
        <v>25000</v>
      </c>
      <c r="J12" s="14">
        <v>2630</v>
      </c>
      <c r="K12" s="15">
        <f>L12+7902+10038</f>
        <v>20570</v>
      </c>
      <c r="L12" s="15">
        <f>1315*2</f>
        <v>2630</v>
      </c>
      <c r="M12" s="16">
        <f t="shared" si="0"/>
        <v>2630</v>
      </c>
      <c r="N12" s="16">
        <v>0</v>
      </c>
      <c r="O12" s="62">
        <f t="shared" si="1"/>
        <v>0</v>
      </c>
      <c r="P12" s="42">
        <f t="shared" si="2"/>
        <v>7</v>
      </c>
      <c r="Q12" s="43">
        <f t="shared" si="3"/>
        <v>17</v>
      </c>
      <c r="R12" s="7"/>
      <c r="S12" s="6">
        <v>17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0.29166666666666669</v>
      </c>
      <c r="AD12" s="10">
        <f t="shared" si="6"/>
        <v>0.29166666666666669</v>
      </c>
      <c r="AE12" s="39">
        <f t="shared" si="7"/>
        <v>0.55432355156868995</v>
      </c>
      <c r="AF12" s="94">
        <f t="shared" si="8"/>
        <v>7</v>
      </c>
    </row>
    <row r="13" spans="1:32" ht="27" customHeight="1">
      <c r="A13" s="110">
        <v>7</v>
      </c>
      <c r="B13" s="11" t="s">
        <v>58</v>
      </c>
      <c r="C13" s="11" t="s">
        <v>1100</v>
      </c>
      <c r="D13" s="55" t="s">
        <v>136</v>
      </c>
      <c r="E13" s="57" t="s">
        <v>1102</v>
      </c>
      <c r="F13" s="12" t="s">
        <v>1103</v>
      </c>
      <c r="G13" s="12">
        <v>1</v>
      </c>
      <c r="H13" s="13">
        <v>25</v>
      </c>
      <c r="I13" s="7">
        <v>25000</v>
      </c>
      <c r="J13" s="14">
        <v>2200</v>
      </c>
      <c r="K13" s="15">
        <f>L13</f>
        <v>2195</v>
      </c>
      <c r="L13" s="15">
        <v>2195</v>
      </c>
      <c r="M13" s="16">
        <f t="shared" ref="M13" si="10">L13-N13</f>
        <v>2195</v>
      </c>
      <c r="N13" s="16">
        <v>0</v>
      </c>
      <c r="O13" s="62">
        <f t="shared" ref="O13" si="11">IF(L13=0,"0",N13/L13)</f>
        <v>0</v>
      </c>
      <c r="P13" s="42">
        <f t="shared" ref="P13" si="12">IF(L13=0,"0",(24-Q13))</f>
        <v>12</v>
      </c>
      <c r="Q13" s="43">
        <f t="shared" ref="Q13" si="13">SUM(R13:AA13)</f>
        <v>12</v>
      </c>
      <c r="R13" s="7"/>
      <c r="S13" s="6">
        <v>12</v>
      </c>
      <c r="T13" s="17"/>
      <c r="U13" s="17"/>
      <c r="V13" s="18"/>
      <c r="W13" s="19"/>
      <c r="X13" s="17"/>
      <c r="Y13" s="20"/>
      <c r="Z13" s="20"/>
      <c r="AA13" s="21"/>
      <c r="AB13" s="8">
        <f t="shared" ref="AB13" si="14">IF(J13=0,"0",(L13/J13))</f>
        <v>0.99772727272727268</v>
      </c>
      <c r="AC13" s="9">
        <f t="shared" ref="AC13" si="15">IF(P13=0,"0",(P13/24))</f>
        <v>0.5</v>
      </c>
      <c r="AD13" s="10">
        <f t="shared" ref="AD13" si="16">AC13*AB13*(1-O13)</f>
        <v>0.49886363636363634</v>
      </c>
      <c r="AE13" s="39">
        <f t="shared" si="7"/>
        <v>0.55432355156868995</v>
      </c>
      <c r="AF13" s="94">
        <f t="shared" ref="AF13" si="17">A13</f>
        <v>7</v>
      </c>
    </row>
    <row r="14" spans="1:32" ht="27" customHeight="1">
      <c r="A14" s="110">
        <v>8</v>
      </c>
      <c r="B14" s="11" t="s">
        <v>58</v>
      </c>
      <c r="C14" s="11" t="s">
        <v>947</v>
      </c>
      <c r="D14" s="55" t="s">
        <v>948</v>
      </c>
      <c r="E14" s="57" t="s">
        <v>949</v>
      </c>
      <c r="F14" s="12" t="s">
        <v>293</v>
      </c>
      <c r="G14" s="12">
        <v>1</v>
      </c>
      <c r="H14" s="13">
        <v>25</v>
      </c>
      <c r="I14" s="7">
        <v>500</v>
      </c>
      <c r="J14" s="14">
        <v>1130</v>
      </c>
      <c r="K14" s="15">
        <f>L14+1127</f>
        <v>1127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0.55432355156868995</v>
      </c>
      <c r="AF14" s="94">
        <f t="shared" si="8"/>
        <v>8</v>
      </c>
    </row>
    <row r="15" spans="1:32" ht="27" customHeight="1">
      <c r="A15" s="109">
        <v>9</v>
      </c>
      <c r="B15" s="11" t="s">
        <v>58</v>
      </c>
      <c r="C15" s="37" t="s">
        <v>228</v>
      </c>
      <c r="D15" s="55" t="s">
        <v>1059</v>
      </c>
      <c r="E15" s="57" t="s">
        <v>1104</v>
      </c>
      <c r="F15" s="33" t="s">
        <v>1105</v>
      </c>
      <c r="G15" s="36">
        <v>1</v>
      </c>
      <c r="H15" s="38">
        <v>25</v>
      </c>
      <c r="I15" s="7">
        <v>300</v>
      </c>
      <c r="J15" s="5">
        <v>76</v>
      </c>
      <c r="K15" s="15">
        <f>L15</f>
        <v>76</v>
      </c>
      <c r="L15" s="15">
        <v>76</v>
      </c>
      <c r="M15" s="16">
        <f t="shared" si="0"/>
        <v>76</v>
      </c>
      <c r="N15" s="16">
        <v>0</v>
      </c>
      <c r="O15" s="62">
        <f t="shared" si="1"/>
        <v>0</v>
      </c>
      <c r="P15" s="42">
        <f t="shared" si="2"/>
        <v>4</v>
      </c>
      <c r="Q15" s="43">
        <f t="shared" si="3"/>
        <v>20</v>
      </c>
      <c r="R15" s="7"/>
      <c r="S15" s="6">
        <v>20</v>
      </c>
      <c r="T15" s="17"/>
      <c r="U15" s="17"/>
      <c r="V15" s="18"/>
      <c r="W15" s="19"/>
      <c r="X15" s="17"/>
      <c r="Y15" s="20"/>
      <c r="Z15" s="20"/>
      <c r="AA15" s="21"/>
      <c r="AB15" s="8">
        <f t="shared" si="4"/>
        <v>1</v>
      </c>
      <c r="AC15" s="9">
        <f t="shared" si="5"/>
        <v>0.16666666666666666</v>
      </c>
      <c r="AD15" s="10">
        <f t="shared" si="6"/>
        <v>0.16666666666666666</v>
      </c>
      <c r="AE15" s="39">
        <f t="shared" si="7"/>
        <v>0.55432355156868995</v>
      </c>
      <c r="AF15" s="94">
        <f t="shared" si="8"/>
        <v>9</v>
      </c>
    </row>
    <row r="16" spans="1:32" ht="27" customHeight="1">
      <c r="A16" s="109">
        <v>10</v>
      </c>
      <c r="B16" s="11" t="s">
        <v>58</v>
      </c>
      <c r="C16" s="11" t="s">
        <v>195</v>
      </c>
      <c r="D16" s="55" t="s">
        <v>967</v>
      </c>
      <c r="E16" s="57" t="s">
        <v>968</v>
      </c>
      <c r="F16" s="12">
        <v>8301</v>
      </c>
      <c r="G16" s="12">
        <v>1</v>
      </c>
      <c r="H16" s="13">
        <v>20</v>
      </c>
      <c r="I16" s="34">
        <v>500</v>
      </c>
      <c r="J16" s="14">
        <v>1590</v>
      </c>
      <c r="K16" s="15">
        <f>L16+1585</f>
        <v>1585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ref="AE16:AE18" si="18">$AD$23</f>
        <v>0.55432355156868995</v>
      </c>
      <c r="AF16" s="94">
        <f t="shared" si="8"/>
        <v>10</v>
      </c>
    </row>
    <row r="17" spans="1:36" ht="27.75" customHeight="1">
      <c r="A17" s="109">
        <v>11</v>
      </c>
      <c r="B17" s="11" t="s">
        <v>58</v>
      </c>
      <c r="C17" s="11" t="s">
        <v>228</v>
      </c>
      <c r="D17" s="55" t="s">
        <v>900</v>
      </c>
      <c r="E17" s="56" t="s">
        <v>1062</v>
      </c>
      <c r="F17" s="12">
        <v>7301</v>
      </c>
      <c r="G17" s="36">
        <v>1</v>
      </c>
      <c r="H17" s="38">
        <v>25</v>
      </c>
      <c r="I17" s="7">
        <v>4000</v>
      </c>
      <c r="J17" s="14">
        <v>1200</v>
      </c>
      <c r="K17" s="15">
        <f>L17+3489</f>
        <v>4687</v>
      </c>
      <c r="L17" s="15">
        <v>1198</v>
      </c>
      <c r="M17" s="16">
        <f t="shared" si="0"/>
        <v>1198</v>
      </c>
      <c r="N17" s="16">
        <v>0</v>
      </c>
      <c r="O17" s="62">
        <f t="shared" si="1"/>
        <v>0</v>
      </c>
      <c r="P17" s="42">
        <f t="shared" si="2"/>
        <v>7</v>
      </c>
      <c r="Q17" s="43">
        <f t="shared" si="3"/>
        <v>17</v>
      </c>
      <c r="R17" s="7"/>
      <c r="S17" s="6"/>
      <c r="T17" s="17"/>
      <c r="U17" s="17"/>
      <c r="V17" s="18"/>
      <c r="W17" s="19">
        <v>17</v>
      </c>
      <c r="X17" s="17"/>
      <c r="Y17" s="20"/>
      <c r="Z17" s="20"/>
      <c r="AA17" s="21"/>
      <c r="AB17" s="8">
        <f t="shared" si="4"/>
        <v>0.99833333333333329</v>
      </c>
      <c r="AC17" s="9">
        <f t="shared" si="5"/>
        <v>0.29166666666666669</v>
      </c>
      <c r="AD17" s="10">
        <f t="shared" si="6"/>
        <v>0.29118055555555555</v>
      </c>
      <c r="AE17" s="39">
        <f t="shared" si="18"/>
        <v>0.55432355156868995</v>
      </c>
      <c r="AF17" s="94">
        <f>A17</f>
        <v>11</v>
      </c>
      <c r="AJ17" s="15"/>
    </row>
    <row r="18" spans="1:36" ht="27.75" customHeight="1">
      <c r="A18" s="109">
        <v>11</v>
      </c>
      <c r="B18" s="11" t="s">
        <v>58</v>
      </c>
      <c r="C18" s="11" t="s">
        <v>133</v>
      </c>
      <c r="D18" s="55" t="s">
        <v>900</v>
      </c>
      <c r="E18" s="56" t="s">
        <v>901</v>
      </c>
      <c r="F18" s="12">
        <v>7301</v>
      </c>
      <c r="G18" s="36">
        <v>1</v>
      </c>
      <c r="H18" s="38">
        <v>25</v>
      </c>
      <c r="I18" s="7">
        <v>40000</v>
      </c>
      <c r="J18" s="14">
        <v>710</v>
      </c>
      <c r="K18" s="15">
        <f>L18+1291+540</f>
        <v>2535</v>
      </c>
      <c r="L18" s="15">
        <f>704</f>
        <v>704</v>
      </c>
      <c r="M18" s="16">
        <f t="shared" si="0"/>
        <v>704</v>
      </c>
      <c r="N18" s="16">
        <v>0</v>
      </c>
      <c r="O18" s="62">
        <f t="shared" si="1"/>
        <v>0</v>
      </c>
      <c r="P18" s="42">
        <f t="shared" si="2"/>
        <v>4</v>
      </c>
      <c r="Q18" s="43">
        <f t="shared" si="3"/>
        <v>20</v>
      </c>
      <c r="R18" s="7"/>
      <c r="S18" s="6">
        <v>20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0.9915492957746479</v>
      </c>
      <c r="AC18" s="9">
        <f t="shared" si="5"/>
        <v>0.16666666666666666</v>
      </c>
      <c r="AD18" s="10">
        <f t="shared" si="6"/>
        <v>0.16525821596244131</v>
      </c>
      <c r="AE18" s="39">
        <f t="shared" si="18"/>
        <v>0.55432355156868995</v>
      </c>
      <c r="AF18" s="94">
        <f>A18</f>
        <v>11</v>
      </c>
      <c r="AJ18" s="15"/>
    </row>
    <row r="19" spans="1:36" ht="27" customHeight="1">
      <c r="A19" s="109">
        <v>12</v>
      </c>
      <c r="B19" s="11" t="s">
        <v>58</v>
      </c>
      <c r="C19" s="37" t="s">
        <v>133</v>
      </c>
      <c r="D19" s="55" t="s">
        <v>190</v>
      </c>
      <c r="E19" s="56" t="s">
        <v>1063</v>
      </c>
      <c r="F19" s="12" t="s">
        <v>281</v>
      </c>
      <c r="G19" s="12">
        <v>1</v>
      </c>
      <c r="H19" s="13">
        <v>25</v>
      </c>
      <c r="I19" s="34">
        <v>25000</v>
      </c>
      <c r="J19" s="5">
        <v>7920</v>
      </c>
      <c r="K19" s="15">
        <f>L19+20832</f>
        <v>28752</v>
      </c>
      <c r="L19" s="15">
        <f>1980*4</f>
        <v>7920</v>
      </c>
      <c r="M19" s="16">
        <f t="shared" si="0"/>
        <v>7920</v>
      </c>
      <c r="N19" s="16">
        <v>0</v>
      </c>
      <c r="O19" s="62">
        <f t="shared" si="1"/>
        <v>0</v>
      </c>
      <c r="P19" s="42">
        <f t="shared" si="2"/>
        <v>10</v>
      </c>
      <c r="Q19" s="43">
        <f t="shared" si="3"/>
        <v>14</v>
      </c>
      <c r="R19" s="7"/>
      <c r="S19" s="6"/>
      <c r="T19" s="17"/>
      <c r="U19" s="17"/>
      <c r="V19" s="18"/>
      <c r="W19" s="19">
        <v>14</v>
      </c>
      <c r="X19" s="17"/>
      <c r="Y19" s="20"/>
      <c r="Z19" s="20"/>
      <c r="AA19" s="21"/>
      <c r="AB19" s="8">
        <f t="shared" si="4"/>
        <v>1</v>
      </c>
      <c r="AC19" s="9">
        <f t="shared" si="5"/>
        <v>0.41666666666666669</v>
      </c>
      <c r="AD19" s="10">
        <f t="shared" si="6"/>
        <v>0.41666666666666669</v>
      </c>
      <c r="AE19" s="39">
        <f>$AD$23</f>
        <v>0.55432355156868995</v>
      </c>
      <c r="AF19" s="94">
        <f t="shared" ref="AF19" si="19">A19</f>
        <v>12</v>
      </c>
    </row>
    <row r="20" spans="1:36" ht="27" customHeight="1">
      <c r="A20" s="110">
        <v>13</v>
      </c>
      <c r="B20" s="11" t="s">
        <v>58</v>
      </c>
      <c r="C20" s="37" t="s">
        <v>118</v>
      </c>
      <c r="D20" s="55" t="s">
        <v>904</v>
      </c>
      <c r="E20" s="57" t="s">
        <v>905</v>
      </c>
      <c r="F20" s="33" t="s">
        <v>142</v>
      </c>
      <c r="G20" s="36">
        <v>1</v>
      </c>
      <c r="H20" s="38">
        <v>25</v>
      </c>
      <c r="I20" s="7">
        <v>50000</v>
      </c>
      <c r="J20" s="5">
        <v>3760</v>
      </c>
      <c r="K20" s="15">
        <f>L20+4454+5087+5573+4618+2034</f>
        <v>25519</v>
      </c>
      <c r="L20" s="15">
        <f>3300+453</f>
        <v>3753</v>
      </c>
      <c r="M20" s="16">
        <f t="shared" si="0"/>
        <v>3753</v>
      </c>
      <c r="N20" s="16">
        <v>0</v>
      </c>
      <c r="O20" s="62">
        <f t="shared" si="1"/>
        <v>0</v>
      </c>
      <c r="P20" s="42">
        <f t="shared" si="2"/>
        <v>20</v>
      </c>
      <c r="Q20" s="43">
        <f t="shared" si="3"/>
        <v>4</v>
      </c>
      <c r="R20" s="7"/>
      <c r="S20" s="6">
        <v>4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0.99813829787234043</v>
      </c>
      <c r="AC20" s="9">
        <f t="shared" si="5"/>
        <v>0.83333333333333337</v>
      </c>
      <c r="AD20" s="10">
        <f t="shared" si="6"/>
        <v>0.83178191489361708</v>
      </c>
      <c r="AE20" s="39">
        <f>$AD$23</f>
        <v>0.55432355156868995</v>
      </c>
      <c r="AF20" s="94">
        <f t="shared" si="8"/>
        <v>13</v>
      </c>
    </row>
    <row r="21" spans="1:36" ht="27" customHeight="1">
      <c r="A21" s="110">
        <v>14</v>
      </c>
      <c r="B21" s="11" t="s">
        <v>58</v>
      </c>
      <c r="C21" s="11" t="s">
        <v>118</v>
      </c>
      <c r="D21" s="55" t="s">
        <v>57</v>
      </c>
      <c r="E21" s="57" t="s">
        <v>160</v>
      </c>
      <c r="F21" s="12" t="s">
        <v>145</v>
      </c>
      <c r="G21" s="12">
        <v>1</v>
      </c>
      <c r="H21" s="13">
        <v>25</v>
      </c>
      <c r="I21" s="7">
        <v>52000</v>
      </c>
      <c r="J21" s="14">
        <v>5270</v>
      </c>
      <c r="K21" s="15">
        <f>L21+4424+5402+3684+3104+5222+5230</f>
        <v>32328</v>
      </c>
      <c r="L21" s="15">
        <f>2762+2500</f>
        <v>5262</v>
      </c>
      <c r="M21" s="16">
        <f t="shared" si="0"/>
        <v>5262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0.99848197343453515</v>
      </c>
      <c r="AC21" s="9">
        <f t="shared" si="5"/>
        <v>1</v>
      </c>
      <c r="AD21" s="10">
        <f t="shared" si="6"/>
        <v>0.99848197343453515</v>
      </c>
      <c r="AE21" s="39">
        <f>$AD$23</f>
        <v>0.55432355156868995</v>
      </c>
      <c r="AF21" s="94">
        <f t="shared" si="8"/>
        <v>14</v>
      </c>
    </row>
    <row r="22" spans="1:36" ht="27" customHeight="1" thickBot="1">
      <c r="A22" s="110">
        <v>15</v>
      </c>
      <c r="B22" s="11" t="s">
        <v>58</v>
      </c>
      <c r="C22" s="11" t="s">
        <v>115</v>
      </c>
      <c r="D22" s="55"/>
      <c r="E22" s="56" t="s">
        <v>906</v>
      </c>
      <c r="F22" s="12" t="s">
        <v>116</v>
      </c>
      <c r="G22" s="12">
        <v>4</v>
      </c>
      <c r="H22" s="38">
        <v>15</v>
      </c>
      <c r="I22" s="7">
        <v>100000</v>
      </c>
      <c r="J22" s="14">
        <v>57600</v>
      </c>
      <c r="K22" s="15">
        <f>L22+60468+60904+70332+57924+57588</f>
        <v>307216</v>
      </c>
      <c r="L22" s="15">
        <v>0</v>
      </c>
      <c r="M22" s="16">
        <f t="shared" si="0"/>
        <v>0</v>
      </c>
      <c r="N22" s="16">
        <v>0</v>
      </c>
      <c r="O22" s="62" t="str">
        <f t="shared" si="1"/>
        <v>0</v>
      </c>
      <c r="P22" s="42" t="str">
        <f t="shared" si="2"/>
        <v>0</v>
      </c>
      <c r="Q22" s="43">
        <f t="shared" si="3"/>
        <v>24</v>
      </c>
      <c r="R22" s="7"/>
      <c r="S22" s="6"/>
      <c r="T22" s="17"/>
      <c r="U22" s="17"/>
      <c r="V22" s="18"/>
      <c r="W22" s="19">
        <v>24</v>
      </c>
      <c r="X22" s="17"/>
      <c r="Y22" s="20"/>
      <c r="Z22" s="20"/>
      <c r="AA22" s="21"/>
      <c r="AB22" s="8">
        <f t="shared" si="4"/>
        <v>0</v>
      </c>
      <c r="AC22" s="9">
        <f t="shared" si="5"/>
        <v>0</v>
      </c>
      <c r="AD22" s="10">
        <f t="shared" si="6"/>
        <v>0</v>
      </c>
      <c r="AE22" s="39">
        <f>$AD$23</f>
        <v>0.55432355156868995</v>
      </c>
      <c r="AF22" s="94">
        <f t="shared" si="8"/>
        <v>15</v>
      </c>
    </row>
    <row r="23" spans="1:36" ht="31.5" customHeight="1" thickBot="1">
      <c r="A23" s="465" t="s">
        <v>34</v>
      </c>
      <c r="B23" s="466"/>
      <c r="C23" s="466"/>
      <c r="D23" s="466"/>
      <c r="E23" s="466"/>
      <c r="F23" s="466"/>
      <c r="G23" s="466"/>
      <c r="H23" s="467"/>
      <c r="I23" s="25">
        <f t="shared" ref="I23:N23" si="20">SUM(I6:I22)</f>
        <v>463300</v>
      </c>
      <c r="J23" s="22">
        <f t="shared" si="20"/>
        <v>114258</v>
      </c>
      <c r="K23" s="23">
        <f t="shared" si="20"/>
        <v>544337</v>
      </c>
      <c r="L23" s="24">
        <f t="shared" si="20"/>
        <v>52504</v>
      </c>
      <c r="M23" s="23">
        <f t="shared" si="20"/>
        <v>52504</v>
      </c>
      <c r="N23" s="24">
        <f t="shared" si="20"/>
        <v>0</v>
      </c>
      <c r="O23" s="44">
        <f t="shared" si="1"/>
        <v>0</v>
      </c>
      <c r="P23" s="45">
        <f t="shared" ref="P23:AA23" si="21">SUM(P6:P22)</f>
        <v>200</v>
      </c>
      <c r="Q23" s="46">
        <f t="shared" si="21"/>
        <v>208</v>
      </c>
      <c r="R23" s="26">
        <f t="shared" si="21"/>
        <v>0</v>
      </c>
      <c r="S23" s="27">
        <f t="shared" si="21"/>
        <v>79</v>
      </c>
      <c r="T23" s="27">
        <f t="shared" si="21"/>
        <v>2</v>
      </c>
      <c r="U23" s="27">
        <f t="shared" si="21"/>
        <v>0</v>
      </c>
      <c r="V23" s="28">
        <f t="shared" si="21"/>
        <v>0</v>
      </c>
      <c r="W23" s="29">
        <f t="shared" si="21"/>
        <v>127</v>
      </c>
      <c r="X23" s="30">
        <f t="shared" si="21"/>
        <v>0</v>
      </c>
      <c r="Y23" s="30">
        <f t="shared" si="21"/>
        <v>0</v>
      </c>
      <c r="Z23" s="30">
        <f t="shared" si="21"/>
        <v>0</v>
      </c>
      <c r="AA23" s="30">
        <f t="shared" si="21"/>
        <v>0</v>
      </c>
      <c r="AB23" s="31">
        <f>SUM(AB6:AB22)/15</f>
        <v>0.86476671900086555</v>
      </c>
      <c r="AC23" s="4">
        <f>SUM(AC6:AC22)/15</f>
        <v>0.55555555555555569</v>
      </c>
      <c r="AD23" s="4">
        <f>SUM(AD6:AD22)/15</f>
        <v>0.55432355156868995</v>
      </c>
      <c r="AE23" s="32"/>
    </row>
    <row r="25" spans="1:36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6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6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6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6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6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5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468" t="s">
        <v>45</v>
      </c>
      <c r="B50" s="468"/>
      <c r="C50" s="468"/>
      <c r="D50" s="468"/>
      <c r="E50" s="468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469" t="s">
        <v>1106</v>
      </c>
      <c r="B51" s="470"/>
      <c r="C51" s="470"/>
      <c r="D51" s="470"/>
      <c r="E51" s="470"/>
      <c r="F51" s="470"/>
      <c r="G51" s="470"/>
      <c r="H51" s="470"/>
      <c r="I51" s="470"/>
      <c r="J51" s="470"/>
      <c r="K51" s="470"/>
      <c r="L51" s="470"/>
      <c r="M51" s="471"/>
      <c r="N51" s="472" t="s">
        <v>1121</v>
      </c>
      <c r="O51" s="473"/>
      <c r="P51" s="473"/>
      <c r="Q51" s="473"/>
      <c r="R51" s="473"/>
      <c r="S51" s="473"/>
      <c r="T51" s="473"/>
      <c r="U51" s="473"/>
      <c r="V51" s="473"/>
      <c r="W51" s="473"/>
      <c r="X51" s="473"/>
      <c r="Y51" s="473"/>
      <c r="Z51" s="473"/>
      <c r="AA51" s="473"/>
      <c r="AB51" s="473"/>
      <c r="AC51" s="473"/>
      <c r="AD51" s="474"/>
    </row>
    <row r="52" spans="1:32" ht="27" customHeight="1">
      <c r="A52" s="475" t="s">
        <v>2</v>
      </c>
      <c r="B52" s="476"/>
      <c r="C52" s="367" t="s">
        <v>46</v>
      </c>
      <c r="D52" s="367" t="s">
        <v>47</v>
      </c>
      <c r="E52" s="367" t="s">
        <v>109</v>
      </c>
      <c r="F52" s="476" t="s">
        <v>108</v>
      </c>
      <c r="G52" s="476"/>
      <c r="H52" s="476"/>
      <c r="I52" s="476"/>
      <c r="J52" s="476"/>
      <c r="K52" s="476"/>
      <c r="L52" s="476"/>
      <c r="M52" s="477"/>
      <c r="N52" s="73" t="s">
        <v>113</v>
      </c>
      <c r="O52" s="367" t="s">
        <v>46</v>
      </c>
      <c r="P52" s="478" t="s">
        <v>47</v>
      </c>
      <c r="Q52" s="479"/>
      <c r="R52" s="478" t="s">
        <v>38</v>
      </c>
      <c r="S52" s="480"/>
      <c r="T52" s="480"/>
      <c r="U52" s="479"/>
      <c r="V52" s="478" t="s">
        <v>48</v>
      </c>
      <c r="W52" s="480"/>
      <c r="X52" s="480"/>
      <c r="Y52" s="480"/>
      <c r="Z52" s="480"/>
      <c r="AA52" s="480"/>
      <c r="AB52" s="480"/>
      <c r="AC52" s="480"/>
      <c r="AD52" s="481"/>
    </row>
    <row r="53" spans="1:32" ht="27" customHeight="1">
      <c r="A53" s="492" t="s">
        <v>118</v>
      </c>
      <c r="B53" s="493"/>
      <c r="C53" s="368" t="s">
        <v>725</v>
      </c>
      <c r="D53" s="369" t="s">
        <v>164</v>
      </c>
      <c r="E53" s="368" t="s">
        <v>165</v>
      </c>
      <c r="F53" s="494" t="s">
        <v>1107</v>
      </c>
      <c r="G53" s="494"/>
      <c r="H53" s="494"/>
      <c r="I53" s="494"/>
      <c r="J53" s="494"/>
      <c r="K53" s="494"/>
      <c r="L53" s="494"/>
      <c r="M53" s="495"/>
      <c r="N53" s="373" t="s">
        <v>1122</v>
      </c>
      <c r="O53" s="74" t="s">
        <v>684</v>
      </c>
      <c r="P53" s="496" t="s">
        <v>1123</v>
      </c>
      <c r="Q53" s="497"/>
      <c r="R53" s="498" t="s">
        <v>1124</v>
      </c>
      <c r="S53" s="498"/>
      <c r="T53" s="498"/>
      <c r="U53" s="498"/>
      <c r="V53" s="494" t="s">
        <v>1078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1108</v>
      </c>
      <c r="B54" s="493"/>
      <c r="C54" s="368" t="s">
        <v>222</v>
      </c>
      <c r="D54" s="369" t="s">
        <v>1069</v>
      </c>
      <c r="E54" s="368" t="s">
        <v>1109</v>
      </c>
      <c r="F54" s="494" t="s">
        <v>1110</v>
      </c>
      <c r="G54" s="494"/>
      <c r="H54" s="494"/>
      <c r="I54" s="494"/>
      <c r="J54" s="494"/>
      <c r="K54" s="494"/>
      <c r="L54" s="494"/>
      <c r="M54" s="495"/>
      <c r="N54" s="373" t="s">
        <v>1125</v>
      </c>
      <c r="O54" s="74" t="s">
        <v>1126</v>
      </c>
      <c r="P54" s="496" t="s">
        <v>1127</v>
      </c>
      <c r="Q54" s="497"/>
      <c r="R54" s="498" t="s">
        <v>1128</v>
      </c>
      <c r="S54" s="498"/>
      <c r="T54" s="498"/>
      <c r="U54" s="498"/>
      <c r="V54" s="494" t="s">
        <v>1129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1111</v>
      </c>
      <c r="B55" s="493"/>
      <c r="C55" s="368" t="s">
        <v>1112</v>
      </c>
      <c r="D55" s="369" t="s">
        <v>57</v>
      </c>
      <c r="E55" s="368" t="s">
        <v>1101</v>
      </c>
      <c r="F55" s="494" t="s">
        <v>1066</v>
      </c>
      <c r="G55" s="494"/>
      <c r="H55" s="494"/>
      <c r="I55" s="494"/>
      <c r="J55" s="494"/>
      <c r="K55" s="494"/>
      <c r="L55" s="494"/>
      <c r="M55" s="495"/>
      <c r="N55" s="373" t="s">
        <v>133</v>
      </c>
      <c r="O55" s="74" t="s">
        <v>1130</v>
      </c>
      <c r="P55" s="496" t="s">
        <v>1131</v>
      </c>
      <c r="Q55" s="497"/>
      <c r="R55" s="498" t="s">
        <v>1132</v>
      </c>
      <c r="S55" s="498"/>
      <c r="T55" s="498"/>
      <c r="U55" s="498"/>
      <c r="V55" s="494" t="s">
        <v>1079</v>
      </c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1111</v>
      </c>
      <c r="B56" s="493"/>
      <c r="C56" s="368" t="s">
        <v>1113</v>
      </c>
      <c r="D56" s="369" t="s">
        <v>136</v>
      </c>
      <c r="E56" s="368" t="s">
        <v>1102</v>
      </c>
      <c r="F56" s="494" t="s">
        <v>1114</v>
      </c>
      <c r="G56" s="494"/>
      <c r="H56" s="494"/>
      <c r="I56" s="494"/>
      <c r="J56" s="494"/>
      <c r="K56" s="494"/>
      <c r="L56" s="494"/>
      <c r="M56" s="495"/>
      <c r="N56" s="373"/>
      <c r="O56" s="74"/>
      <c r="P56" s="496"/>
      <c r="Q56" s="497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 t="s">
        <v>228</v>
      </c>
      <c r="B57" s="493"/>
      <c r="C57" s="368" t="s">
        <v>143</v>
      </c>
      <c r="D57" s="369" t="s">
        <v>1059</v>
      </c>
      <c r="E57" s="368" t="s">
        <v>1104</v>
      </c>
      <c r="F57" s="494" t="s">
        <v>1115</v>
      </c>
      <c r="G57" s="494"/>
      <c r="H57" s="494"/>
      <c r="I57" s="494"/>
      <c r="J57" s="494"/>
      <c r="K57" s="494"/>
      <c r="L57" s="494"/>
      <c r="M57" s="495"/>
      <c r="N57" s="373"/>
      <c r="O57" s="74"/>
      <c r="P57" s="496"/>
      <c r="Q57" s="497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 t="s">
        <v>173</v>
      </c>
      <c r="B58" s="493"/>
      <c r="C58" s="368" t="s">
        <v>1071</v>
      </c>
      <c r="D58" s="369" t="s">
        <v>1072</v>
      </c>
      <c r="E58" s="368" t="s">
        <v>1073</v>
      </c>
      <c r="F58" s="494" t="s">
        <v>1116</v>
      </c>
      <c r="G58" s="494"/>
      <c r="H58" s="494"/>
      <c r="I58" s="494"/>
      <c r="J58" s="494"/>
      <c r="K58" s="494"/>
      <c r="L58" s="494"/>
      <c r="M58" s="495"/>
      <c r="N58" s="373"/>
      <c r="O58" s="74"/>
      <c r="P58" s="498"/>
      <c r="Q58" s="498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492" t="s">
        <v>133</v>
      </c>
      <c r="B59" s="493"/>
      <c r="C59" s="368" t="s">
        <v>1117</v>
      </c>
      <c r="D59" s="369" t="s">
        <v>1118</v>
      </c>
      <c r="E59" s="368" t="s">
        <v>1119</v>
      </c>
      <c r="F59" s="494" t="s">
        <v>1120</v>
      </c>
      <c r="G59" s="494"/>
      <c r="H59" s="494"/>
      <c r="I59" s="494"/>
      <c r="J59" s="494"/>
      <c r="K59" s="494"/>
      <c r="L59" s="494"/>
      <c r="M59" s="495"/>
      <c r="N59" s="373"/>
      <c r="O59" s="74"/>
      <c r="P59" s="496"/>
      <c r="Q59" s="497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</row>
    <row r="60" spans="1:32" ht="27" customHeight="1">
      <c r="A60" s="492"/>
      <c r="B60" s="493"/>
      <c r="C60" s="368"/>
      <c r="D60" s="369"/>
      <c r="E60" s="368"/>
      <c r="F60" s="494"/>
      <c r="G60" s="494"/>
      <c r="H60" s="494"/>
      <c r="I60" s="494"/>
      <c r="J60" s="494"/>
      <c r="K60" s="494"/>
      <c r="L60" s="494"/>
      <c r="M60" s="495"/>
      <c r="N60" s="373"/>
      <c r="O60" s="74"/>
      <c r="P60" s="498"/>
      <c r="Q60" s="498"/>
      <c r="R60" s="498"/>
      <c r="S60" s="498"/>
      <c r="T60" s="498"/>
      <c r="U60" s="498"/>
      <c r="V60" s="494"/>
      <c r="W60" s="494"/>
      <c r="X60" s="494"/>
      <c r="Y60" s="494"/>
      <c r="Z60" s="494"/>
      <c r="AA60" s="494"/>
      <c r="AB60" s="494"/>
      <c r="AC60" s="494"/>
      <c r="AD60" s="495"/>
    </row>
    <row r="61" spans="1:32" ht="27" customHeight="1">
      <c r="A61" s="508"/>
      <c r="B61" s="498"/>
      <c r="C61" s="369"/>
      <c r="D61" s="369"/>
      <c r="E61" s="369"/>
      <c r="F61" s="494"/>
      <c r="G61" s="494"/>
      <c r="H61" s="494"/>
      <c r="I61" s="494"/>
      <c r="J61" s="494"/>
      <c r="K61" s="494"/>
      <c r="L61" s="494"/>
      <c r="M61" s="495"/>
      <c r="N61" s="373"/>
      <c r="O61" s="74"/>
      <c r="P61" s="498"/>
      <c r="Q61" s="498"/>
      <c r="R61" s="498"/>
      <c r="S61" s="498"/>
      <c r="T61" s="498"/>
      <c r="U61" s="498"/>
      <c r="V61" s="494"/>
      <c r="W61" s="494"/>
      <c r="X61" s="494"/>
      <c r="Y61" s="494"/>
      <c r="Z61" s="494"/>
      <c r="AA61" s="494"/>
      <c r="AB61" s="494"/>
      <c r="AC61" s="494"/>
      <c r="AD61" s="495"/>
      <c r="AF61" s="94">
        <f>8*3000</f>
        <v>24000</v>
      </c>
    </row>
    <row r="62" spans="1:32" ht="27" customHeight="1" thickBot="1">
      <c r="A62" s="499"/>
      <c r="B62" s="500"/>
      <c r="C62" s="371"/>
      <c r="D62" s="371"/>
      <c r="E62" s="371"/>
      <c r="F62" s="501"/>
      <c r="G62" s="501"/>
      <c r="H62" s="501"/>
      <c r="I62" s="501"/>
      <c r="J62" s="501"/>
      <c r="K62" s="501"/>
      <c r="L62" s="501"/>
      <c r="M62" s="502"/>
      <c r="N62" s="370"/>
      <c r="O62" s="121"/>
      <c r="P62" s="500"/>
      <c r="Q62" s="500"/>
      <c r="R62" s="500"/>
      <c r="S62" s="500"/>
      <c r="T62" s="500"/>
      <c r="U62" s="500"/>
      <c r="V62" s="501"/>
      <c r="W62" s="501"/>
      <c r="X62" s="501"/>
      <c r="Y62" s="501"/>
      <c r="Z62" s="501"/>
      <c r="AA62" s="501"/>
      <c r="AB62" s="501"/>
      <c r="AC62" s="501"/>
      <c r="AD62" s="502"/>
      <c r="AF62" s="94">
        <f>16*3000</f>
        <v>48000</v>
      </c>
    </row>
    <row r="63" spans="1:32" ht="27.75" thickBot="1">
      <c r="A63" s="503" t="s">
        <v>1133</v>
      </c>
      <c r="B63" s="503"/>
      <c r="C63" s="503"/>
      <c r="D63" s="503"/>
      <c r="E63" s="503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4">
        <v>24000</v>
      </c>
    </row>
    <row r="64" spans="1:32" ht="29.25" customHeight="1" thickBot="1">
      <c r="A64" s="504" t="s">
        <v>114</v>
      </c>
      <c r="B64" s="505"/>
      <c r="C64" s="372" t="s">
        <v>2</v>
      </c>
      <c r="D64" s="372" t="s">
        <v>37</v>
      </c>
      <c r="E64" s="372" t="s">
        <v>3</v>
      </c>
      <c r="F64" s="505" t="s">
        <v>111</v>
      </c>
      <c r="G64" s="505"/>
      <c r="H64" s="505"/>
      <c r="I64" s="505"/>
      <c r="J64" s="505"/>
      <c r="K64" s="505" t="s">
        <v>39</v>
      </c>
      <c r="L64" s="505"/>
      <c r="M64" s="372" t="s">
        <v>40</v>
      </c>
      <c r="N64" s="505" t="s">
        <v>41</v>
      </c>
      <c r="O64" s="505"/>
      <c r="P64" s="506" t="s">
        <v>42</v>
      </c>
      <c r="Q64" s="507"/>
      <c r="R64" s="506" t="s">
        <v>43</v>
      </c>
      <c r="S64" s="509"/>
      <c r="T64" s="509"/>
      <c r="U64" s="509"/>
      <c r="V64" s="509"/>
      <c r="W64" s="509"/>
      <c r="X64" s="509"/>
      <c r="Y64" s="509"/>
      <c r="Z64" s="509"/>
      <c r="AA64" s="507"/>
      <c r="AB64" s="505" t="s">
        <v>44</v>
      </c>
      <c r="AC64" s="505"/>
      <c r="AD64" s="510"/>
      <c r="AF64" s="94">
        <f>SUM(AF61:AF63)</f>
        <v>96000</v>
      </c>
    </row>
    <row r="65" spans="1:32" ht="25.5" customHeight="1">
      <c r="A65" s="511">
        <v>1</v>
      </c>
      <c r="B65" s="512"/>
      <c r="C65" s="124" t="s">
        <v>228</v>
      </c>
      <c r="D65" s="376"/>
      <c r="E65" s="374" t="s">
        <v>1082</v>
      </c>
      <c r="F65" s="513" t="s">
        <v>1083</v>
      </c>
      <c r="G65" s="514"/>
      <c r="H65" s="514"/>
      <c r="I65" s="514"/>
      <c r="J65" s="514"/>
      <c r="K65" s="514" t="s">
        <v>1134</v>
      </c>
      <c r="L65" s="514"/>
      <c r="M65" s="54" t="s">
        <v>1135</v>
      </c>
      <c r="N65" s="514">
        <v>10</v>
      </c>
      <c r="O65" s="514"/>
      <c r="P65" s="515">
        <v>100</v>
      </c>
      <c r="Q65" s="515"/>
      <c r="R65" s="494" t="s">
        <v>1085</v>
      </c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2</v>
      </c>
      <c r="B66" s="512"/>
      <c r="C66" s="124"/>
      <c r="D66" s="376"/>
      <c r="E66" s="374"/>
      <c r="F66" s="513"/>
      <c r="G66" s="514"/>
      <c r="H66" s="514"/>
      <c r="I66" s="514"/>
      <c r="J66" s="514"/>
      <c r="K66" s="514"/>
      <c r="L66" s="514"/>
      <c r="M66" s="54"/>
      <c r="N66" s="514"/>
      <c r="O66" s="514"/>
      <c r="P66" s="515"/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3</v>
      </c>
      <c r="B67" s="512"/>
      <c r="C67" s="124"/>
      <c r="D67" s="376"/>
      <c r="E67" s="374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4</v>
      </c>
      <c r="B68" s="512"/>
      <c r="C68" s="124"/>
      <c r="D68" s="376"/>
      <c r="E68" s="374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5</v>
      </c>
      <c r="B69" s="512"/>
      <c r="C69" s="124"/>
      <c r="D69" s="376"/>
      <c r="E69" s="374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6</v>
      </c>
      <c r="B70" s="512"/>
      <c r="C70" s="124"/>
      <c r="D70" s="376"/>
      <c r="E70" s="374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5.5" customHeight="1">
      <c r="A71" s="511">
        <v>7</v>
      </c>
      <c r="B71" s="512"/>
      <c r="C71" s="124"/>
      <c r="D71" s="376"/>
      <c r="E71" s="374"/>
      <c r="F71" s="513"/>
      <c r="G71" s="514"/>
      <c r="H71" s="514"/>
      <c r="I71" s="514"/>
      <c r="J71" s="514"/>
      <c r="K71" s="514"/>
      <c r="L71" s="514"/>
      <c r="M71" s="54"/>
      <c r="N71" s="514"/>
      <c r="O71" s="514"/>
      <c r="P71" s="515"/>
      <c r="Q71" s="515"/>
      <c r="R71" s="494"/>
      <c r="S71" s="494"/>
      <c r="T71" s="494"/>
      <c r="U71" s="494"/>
      <c r="V71" s="494"/>
      <c r="W71" s="494"/>
      <c r="X71" s="494"/>
      <c r="Y71" s="494"/>
      <c r="Z71" s="494"/>
      <c r="AA71" s="494"/>
      <c r="AB71" s="514"/>
      <c r="AC71" s="514"/>
      <c r="AD71" s="516"/>
      <c r="AF71" s="53"/>
    </row>
    <row r="72" spans="1:32" ht="25.5" customHeight="1">
      <c r="A72" s="511">
        <v>8</v>
      </c>
      <c r="B72" s="512"/>
      <c r="C72" s="124"/>
      <c r="D72" s="376"/>
      <c r="E72" s="374"/>
      <c r="F72" s="513"/>
      <c r="G72" s="514"/>
      <c r="H72" s="514"/>
      <c r="I72" s="514"/>
      <c r="J72" s="514"/>
      <c r="K72" s="514"/>
      <c r="L72" s="514"/>
      <c r="M72" s="54"/>
      <c r="N72" s="514"/>
      <c r="O72" s="514"/>
      <c r="P72" s="515"/>
      <c r="Q72" s="515"/>
      <c r="R72" s="494"/>
      <c r="S72" s="494"/>
      <c r="T72" s="494"/>
      <c r="U72" s="494"/>
      <c r="V72" s="494"/>
      <c r="W72" s="494"/>
      <c r="X72" s="494"/>
      <c r="Y72" s="494"/>
      <c r="Z72" s="494"/>
      <c r="AA72" s="494"/>
      <c r="AB72" s="514"/>
      <c r="AC72" s="514"/>
      <c r="AD72" s="516"/>
      <c r="AF72" s="53"/>
    </row>
    <row r="73" spans="1:32" ht="26.25" customHeight="1" thickBot="1">
      <c r="A73" s="517" t="s">
        <v>1136</v>
      </c>
      <c r="B73" s="517"/>
      <c r="C73" s="517"/>
      <c r="D73" s="517"/>
      <c r="E73" s="517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518" t="s">
        <v>114</v>
      </c>
      <c r="B74" s="519"/>
      <c r="C74" s="375" t="s">
        <v>2</v>
      </c>
      <c r="D74" s="375" t="s">
        <v>37</v>
      </c>
      <c r="E74" s="375" t="s">
        <v>3</v>
      </c>
      <c r="F74" s="519" t="s">
        <v>38</v>
      </c>
      <c r="G74" s="519"/>
      <c r="H74" s="519"/>
      <c r="I74" s="519"/>
      <c r="J74" s="519"/>
      <c r="K74" s="520" t="s">
        <v>59</v>
      </c>
      <c r="L74" s="521"/>
      <c r="M74" s="521"/>
      <c r="N74" s="521"/>
      <c r="O74" s="521"/>
      <c r="P74" s="521"/>
      <c r="Q74" s="521"/>
      <c r="R74" s="521"/>
      <c r="S74" s="522"/>
      <c r="T74" s="519" t="s">
        <v>49</v>
      </c>
      <c r="U74" s="519"/>
      <c r="V74" s="520" t="s">
        <v>50</v>
      </c>
      <c r="W74" s="522"/>
      <c r="X74" s="521" t="s">
        <v>51</v>
      </c>
      <c r="Y74" s="521"/>
      <c r="Z74" s="521"/>
      <c r="AA74" s="521"/>
      <c r="AB74" s="521"/>
      <c r="AC74" s="521"/>
      <c r="AD74" s="523"/>
      <c r="AF74" s="53"/>
    </row>
    <row r="75" spans="1:32" ht="33.75" customHeight="1">
      <c r="A75" s="532">
        <v>1</v>
      </c>
      <c r="B75" s="533"/>
      <c r="C75" s="377" t="s">
        <v>117</v>
      </c>
      <c r="D75" s="377"/>
      <c r="E75" s="71" t="s">
        <v>123</v>
      </c>
      <c r="F75" s="534" t="s">
        <v>124</v>
      </c>
      <c r="G75" s="535"/>
      <c r="H75" s="535"/>
      <c r="I75" s="535"/>
      <c r="J75" s="536"/>
      <c r="K75" s="537" t="s">
        <v>119</v>
      </c>
      <c r="L75" s="538"/>
      <c r="M75" s="538"/>
      <c r="N75" s="538"/>
      <c r="O75" s="538"/>
      <c r="P75" s="538"/>
      <c r="Q75" s="538"/>
      <c r="R75" s="538"/>
      <c r="S75" s="539"/>
      <c r="T75" s="540">
        <v>42901</v>
      </c>
      <c r="U75" s="541"/>
      <c r="V75" s="542"/>
      <c r="W75" s="542"/>
      <c r="X75" s="543"/>
      <c r="Y75" s="543"/>
      <c r="Z75" s="543"/>
      <c r="AA75" s="543"/>
      <c r="AB75" s="543"/>
      <c r="AC75" s="543"/>
      <c r="AD75" s="544"/>
      <c r="AF75" s="53"/>
    </row>
    <row r="76" spans="1:32" ht="30" customHeight="1">
      <c r="A76" s="524">
        <f>A75+1</f>
        <v>2</v>
      </c>
      <c r="B76" s="525"/>
      <c r="C76" s="376" t="s">
        <v>117</v>
      </c>
      <c r="D76" s="376"/>
      <c r="E76" s="35" t="s">
        <v>120</v>
      </c>
      <c r="F76" s="525" t="s">
        <v>121</v>
      </c>
      <c r="G76" s="525"/>
      <c r="H76" s="525"/>
      <c r="I76" s="525"/>
      <c r="J76" s="525"/>
      <c r="K76" s="526" t="s">
        <v>122</v>
      </c>
      <c r="L76" s="527"/>
      <c r="M76" s="527"/>
      <c r="N76" s="527"/>
      <c r="O76" s="527"/>
      <c r="P76" s="527"/>
      <c r="Q76" s="527"/>
      <c r="R76" s="527"/>
      <c r="S76" s="528"/>
      <c r="T76" s="529">
        <v>42867</v>
      </c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ref="A77:A83" si="22">A76+1</f>
        <v>3</v>
      </c>
      <c r="B77" s="525"/>
      <c r="C77" s="376" t="s">
        <v>133</v>
      </c>
      <c r="D77" s="376"/>
      <c r="E77" s="35" t="s">
        <v>131</v>
      </c>
      <c r="F77" s="525" t="s">
        <v>134</v>
      </c>
      <c r="G77" s="525"/>
      <c r="H77" s="525"/>
      <c r="I77" s="525"/>
      <c r="J77" s="525"/>
      <c r="K77" s="526" t="s">
        <v>119</v>
      </c>
      <c r="L77" s="527"/>
      <c r="M77" s="527"/>
      <c r="N77" s="527"/>
      <c r="O77" s="527"/>
      <c r="P77" s="527"/>
      <c r="Q77" s="527"/>
      <c r="R77" s="527"/>
      <c r="S77" s="528"/>
      <c r="T77" s="529">
        <v>42937</v>
      </c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22"/>
        <v>4</v>
      </c>
      <c r="B78" s="525"/>
      <c r="C78" s="376"/>
      <c r="D78" s="376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22"/>
        <v>5</v>
      </c>
      <c r="B79" s="525"/>
      <c r="C79" s="376"/>
      <c r="D79" s="376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22"/>
        <v>6</v>
      </c>
      <c r="B80" s="525"/>
      <c r="C80" s="376"/>
      <c r="D80" s="376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22"/>
        <v>7</v>
      </c>
      <c r="B81" s="525"/>
      <c r="C81" s="376"/>
      <c r="D81" s="376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0" customHeight="1">
      <c r="A82" s="524">
        <f t="shared" si="22"/>
        <v>8</v>
      </c>
      <c r="B82" s="525"/>
      <c r="C82" s="376"/>
      <c r="D82" s="376"/>
      <c r="E82" s="35"/>
      <c r="F82" s="525"/>
      <c r="G82" s="525"/>
      <c r="H82" s="525"/>
      <c r="I82" s="525"/>
      <c r="J82" s="525"/>
      <c r="K82" s="526"/>
      <c r="L82" s="527"/>
      <c r="M82" s="527"/>
      <c r="N82" s="527"/>
      <c r="O82" s="527"/>
      <c r="P82" s="527"/>
      <c r="Q82" s="527"/>
      <c r="R82" s="527"/>
      <c r="S82" s="528"/>
      <c r="T82" s="529"/>
      <c r="U82" s="529"/>
      <c r="V82" s="529"/>
      <c r="W82" s="529"/>
      <c r="X82" s="530"/>
      <c r="Y82" s="530"/>
      <c r="Z82" s="530"/>
      <c r="AA82" s="530"/>
      <c r="AB82" s="530"/>
      <c r="AC82" s="530"/>
      <c r="AD82" s="531"/>
      <c r="AF82" s="53"/>
    </row>
    <row r="83" spans="1:32" ht="30" customHeight="1">
      <c r="A83" s="524">
        <f t="shared" si="22"/>
        <v>9</v>
      </c>
      <c r="B83" s="525"/>
      <c r="C83" s="376"/>
      <c r="D83" s="376"/>
      <c r="E83" s="35"/>
      <c r="F83" s="525"/>
      <c r="G83" s="525"/>
      <c r="H83" s="525"/>
      <c r="I83" s="525"/>
      <c r="J83" s="525"/>
      <c r="K83" s="526"/>
      <c r="L83" s="527"/>
      <c r="M83" s="527"/>
      <c r="N83" s="527"/>
      <c r="O83" s="527"/>
      <c r="P83" s="527"/>
      <c r="Q83" s="527"/>
      <c r="R83" s="527"/>
      <c r="S83" s="528"/>
      <c r="T83" s="529"/>
      <c r="U83" s="529"/>
      <c r="V83" s="529"/>
      <c r="W83" s="529"/>
      <c r="X83" s="530"/>
      <c r="Y83" s="530"/>
      <c r="Z83" s="530"/>
      <c r="AA83" s="530"/>
      <c r="AB83" s="530"/>
      <c r="AC83" s="530"/>
      <c r="AD83" s="531"/>
      <c r="AF83" s="53"/>
    </row>
    <row r="84" spans="1:32" ht="36" thickBot="1">
      <c r="A84" s="517" t="s">
        <v>1137</v>
      </c>
      <c r="B84" s="517"/>
      <c r="C84" s="517"/>
      <c r="D84" s="517"/>
      <c r="E84" s="517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518" t="s">
        <v>114</v>
      </c>
      <c r="B85" s="519"/>
      <c r="C85" s="545" t="s">
        <v>52</v>
      </c>
      <c r="D85" s="545"/>
      <c r="E85" s="545" t="s">
        <v>53</v>
      </c>
      <c r="F85" s="545"/>
      <c r="G85" s="545"/>
      <c r="H85" s="545"/>
      <c r="I85" s="545"/>
      <c r="J85" s="545"/>
      <c r="K85" s="545" t="s">
        <v>54</v>
      </c>
      <c r="L85" s="545"/>
      <c r="M85" s="545"/>
      <c r="N85" s="545"/>
      <c r="O85" s="545"/>
      <c r="P85" s="545"/>
      <c r="Q85" s="545"/>
      <c r="R85" s="545"/>
      <c r="S85" s="545"/>
      <c r="T85" s="545" t="s">
        <v>55</v>
      </c>
      <c r="U85" s="545"/>
      <c r="V85" s="545" t="s">
        <v>56</v>
      </c>
      <c r="W85" s="545"/>
      <c r="X85" s="545"/>
      <c r="Y85" s="545" t="s">
        <v>51</v>
      </c>
      <c r="Z85" s="545"/>
      <c r="AA85" s="545"/>
      <c r="AB85" s="545"/>
      <c r="AC85" s="545"/>
      <c r="AD85" s="546"/>
      <c r="AF85" s="53"/>
    </row>
    <row r="86" spans="1:32" ht="30.75" customHeight="1">
      <c r="A86" s="532">
        <v>1</v>
      </c>
      <c r="B86" s="533"/>
      <c r="C86" s="547"/>
      <c r="D86" s="547"/>
      <c r="E86" s="547"/>
      <c r="F86" s="547"/>
      <c r="G86" s="547"/>
      <c r="H86" s="547"/>
      <c r="I86" s="547"/>
      <c r="J86" s="547"/>
      <c r="K86" s="547"/>
      <c r="L86" s="547"/>
      <c r="M86" s="547"/>
      <c r="N86" s="547"/>
      <c r="O86" s="547"/>
      <c r="P86" s="547"/>
      <c r="Q86" s="547"/>
      <c r="R86" s="547"/>
      <c r="S86" s="547"/>
      <c r="T86" s="547"/>
      <c r="U86" s="547"/>
      <c r="V86" s="548"/>
      <c r="W86" s="548"/>
      <c r="X86" s="548"/>
      <c r="Y86" s="549"/>
      <c r="Z86" s="549"/>
      <c r="AA86" s="549"/>
      <c r="AB86" s="549"/>
      <c r="AC86" s="549"/>
      <c r="AD86" s="550"/>
      <c r="AF86" s="53"/>
    </row>
    <row r="87" spans="1:32" ht="30.75" customHeight="1">
      <c r="A87" s="524">
        <v>2</v>
      </c>
      <c r="B87" s="525"/>
      <c r="C87" s="558"/>
      <c r="D87" s="558"/>
      <c r="E87" s="558"/>
      <c r="F87" s="558"/>
      <c r="G87" s="558"/>
      <c r="H87" s="558"/>
      <c r="I87" s="558"/>
      <c r="J87" s="558"/>
      <c r="K87" s="558"/>
      <c r="L87" s="558"/>
      <c r="M87" s="558"/>
      <c r="N87" s="558"/>
      <c r="O87" s="558"/>
      <c r="P87" s="558"/>
      <c r="Q87" s="558"/>
      <c r="R87" s="558"/>
      <c r="S87" s="558"/>
      <c r="T87" s="559"/>
      <c r="U87" s="559"/>
      <c r="V87" s="560"/>
      <c r="W87" s="560"/>
      <c r="X87" s="560"/>
      <c r="Y87" s="551"/>
      <c r="Z87" s="551"/>
      <c r="AA87" s="551"/>
      <c r="AB87" s="551"/>
      <c r="AC87" s="551"/>
      <c r="AD87" s="552"/>
      <c r="AF87" s="53"/>
    </row>
    <row r="88" spans="1:32" ht="30.75" customHeight="1" thickBot="1">
      <c r="A88" s="553">
        <v>3</v>
      </c>
      <c r="B88" s="554"/>
      <c r="C88" s="555"/>
      <c r="D88" s="555"/>
      <c r="E88" s="555"/>
      <c r="F88" s="555"/>
      <c r="G88" s="555"/>
      <c r="H88" s="555"/>
      <c r="I88" s="555"/>
      <c r="J88" s="555"/>
      <c r="K88" s="555"/>
      <c r="L88" s="555"/>
      <c r="M88" s="555"/>
      <c r="N88" s="555"/>
      <c r="O88" s="555"/>
      <c r="P88" s="555"/>
      <c r="Q88" s="555"/>
      <c r="R88" s="555"/>
      <c r="S88" s="555"/>
      <c r="T88" s="555"/>
      <c r="U88" s="555"/>
      <c r="V88" s="555"/>
      <c r="W88" s="555"/>
      <c r="X88" s="555"/>
      <c r="Y88" s="556"/>
      <c r="Z88" s="556"/>
      <c r="AA88" s="556"/>
      <c r="AB88" s="556"/>
      <c r="AC88" s="556"/>
      <c r="AD88" s="557"/>
      <c r="AF88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9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8"/>
  <sheetViews>
    <sheetView zoomScale="72" zoomScaleNormal="72" zoomScaleSheetLayoutView="70" workbookViewId="0">
      <selection activeCell="A85" sqref="A85:B85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51" t="s">
        <v>1138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2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389" t="s">
        <v>17</v>
      </c>
      <c r="L5" s="389" t="s">
        <v>18</v>
      </c>
      <c r="M5" s="389" t="s">
        <v>19</v>
      </c>
      <c r="N5" s="38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2" ht="27" customHeight="1">
      <c r="A6" s="108">
        <v>1</v>
      </c>
      <c r="B6" s="11" t="s">
        <v>58</v>
      </c>
      <c r="C6" s="37" t="s">
        <v>133</v>
      </c>
      <c r="D6" s="55" t="s">
        <v>57</v>
      </c>
      <c r="E6" s="57" t="s">
        <v>446</v>
      </c>
      <c r="F6" s="33" t="s">
        <v>1015</v>
      </c>
      <c r="G6" s="12">
        <v>2</v>
      </c>
      <c r="H6" s="13">
        <v>25</v>
      </c>
      <c r="I6" s="34">
        <v>25000</v>
      </c>
      <c r="J6" s="5">
        <v>5650</v>
      </c>
      <c r="K6" s="15">
        <f>L6+4574+9324+9238</f>
        <v>28778</v>
      </c>
      <c r="L6" s="15">
        <f>2013*2+808*2</f>
        <v>5642</v>
      </c>
      <c r="M6" s="16">
        <f t="shared" ref="M6:M22" si="0">L6-N6</f>
        <v>5642</v>
      </c>
      <c r="N6" s="16">
        <v>0</v>
      </c>
      <c r="O6" s="62">
        <f t="shared" ref="O6:O23" si="1">IF(L6=0,"0",N6/L6)</f>
        <v>0</v>
      </c>
      <c r="P6" s="42">
        <f t="shared" ref="P6:P22" si="2">IF(L6=0,"0",(24-Q6))</f>
        <v>18</v>
      </c>
      <c r="Q6" s="43">
        <f t="shared" ref="Q6:Q22" si="3">SUM(R6:AA6)</f>
        <v>6</v>
      </c>
      <c r="R6" s="7"/>
      <c r="S6" s="6"/>
      <c r="T6" s="17"/>
      <c r="U6" s="17"/>
      <c r="V6" s="18"/>
      <c r="W6" s="19">
        <v>6</v>
      </c>
      <c r="X6" s="17"/>
      <c r="Y6" s="20"/>
      <c r="Z6" s="20"/>
      <c r="AA6" s="21"/>
      <c r="AB6" s="8">
        <f t="shared" ref="AB6:AB22" si="4">IF(J6=0,"0",(L6/J6))</f>
        <v>0.99858407079646017</v>
      </c>
      <c r="AC6" s="9">
        <f t="shared" ref="AC6:AC22" si="5">IF(P6=0,"0",(P6/24))</f>
        <v>0.75</v>
      </c>
      <c r="AD6" s="10">
        <f t="shared" ref="AD6:AD22" si="6">AC6*AB6*(1-O6)</f>
        <v>0.74893805309734507</v>
      </c>
      <c r="AE6" s="39">
        <f t="shared" ref="AE6:AE22" si="7">$AD$23</f>
        <v>0.6099758275612952</v>
      </c>
      <c r="AF6" s="94">
        <f t="shared" ref="AF6:AF22" si="8">A6</f>
        <v>1</v>
      </c>
    </row>
    <row r="7" spans="1:32" ht="27" customHeight="1">
      <c r="A7" s="108">
        <v>2</v>
      </c>
      <c r="B7" s="11" t="s">
        <v>58</v>
      </c>
      <c r="C7" s="37" t="s">
        <v>1139</v>
      </c>
      <c r="D7" s="55" t="s">
        <v>1140</v>
      </c>
      <c r="E7" s="57" t="s">
        <v>1141</v>
      </c>
      <c r="F7" s="33" t="s">
        <v>1058</v>
      </c>
      <c r="G7" s="12">
        <v>1</v>
      </c>
      <c r="H7" s="13">
        <v>25</v>
      </c>
      <c r="I7" s="34">
        <v>40000</v>
      </c>
      <c r="J7" s="5">
        <v>2540</v>
      </c>
      <c r="K7" s="15">
        <f>L7</f>
        <v>2531</v>
      </c>
      <c r="L7" s="15">
        <f>2531</f>
        <v>2531</v>
      </c>
      <c r="M7" s="16">
        <f t="shared" si="0"/>
        <v>2531</v>
      </c>
      <c r="N7" s="16">
        <v>0</v>
      </c>
      <c r="O7" s="62">
        <f t="shared" si="1"/>
        <v>0</v>
      </c>
      <c r="P7" s="42">
        <f t="shared" si="2"/>
        <v>14</v>
      </c>
      <c r="Q7" s="43">
        <f t="shared" si="3"/>
        <v>10</v>
      </c>
      <c r="R7" s="7"/>
      <c r="S7" s="6">
        <v>10</v>
      </c>
      <c r="T7" s="17"/>
      <c r="U7" s="17"/>
      <c r="V7" s="18"/>
      <c r="W7" s="19"/>
      <c r="X7" s="17"/>
      <c r="Y7" s="20"/>
      <c r="Z7" s="20"/>
      <c r="AA7" s="21"/>
      <c r="AB7" s="8">
        <f t="shared" si="4"/>
        <v>0.99645669291338579</v>
      </c>
      <c r="AC7" s="9">
        <f t="shared" si="5"/>
        <v>0.58333333333333337</v>
      </c>
      <c r="AD7" s="10">
        <f t="shared" si="6"/>
        <v>0.58126640419947506</v>
      </c>
      <c r="AE7" s="39">
        <f t="shared" si="7"/>
        <v>0.6099758275612952</v>
      </c>
      <c r="AF7" s="94">
        <f t="shared" si="8"/>
        <v>2</v>
      </c>
    </row>
    <row r="8" spans="1:32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50000</v>
      </c>
      <c r="J8" s="14">
        <v>5780</v>
      </c>
      <c r="K8" s="15">
        <f>L8+4093+2190+5474+6124+1911+2500+4543+5167</f>
        <v>37775</v>
      </c>
      <c r="L8" s="15">
        <f>2525+3248</f>
        <v>5773</v>
      </c>
      <c r="M8" s="16">
        <f t="shared" si="0"/>
        <v>5773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0.99878892733564018</v>
      </c>
      <c r="AC8" s="9">
        <f t="shared" si="5"/>
        <v>1</v>
      </c>
      <c r="AD8" s="10">
        <f t="shared" si="6"/>
        <v>0.99878892733564018</v>
      </c>
      <c r="AE8" s="39">
        <f t="shared" si="7"/>
        <v>0.6099758275612952</v>
      </c>
      <c r="AF8" s="94">
        <f>A8</f>
        <v>3</v>
      </c>
    </row>
    <row r="9" spans="1:32" ht="27" customHeight="1">
      <c r="A9" s="110">
        <v>4</v>
      </c>
      <c r="B9" s="11" t="s">
        <v>58</v>
      </c>
      <c r="C9" s="37" t="s">
        <v>118</v>
      </c>
      <c r="D9" s="55" t="s">
        <v>941</v>
      </c>
      <c r="E9" s="57" t="s">
        <v>942</v>
      </c>
      <c r="F9" s="33" t="s">
        <v>943</v>
      </c>
      <c r="G9" s="36">
        <v>1</v>
      </c>
      <c r="H9" s="38">
        <v>25</v>
      </c>
      <c r="I9" s="7">
        <v>21000</v>
      </c>
      <c r="J9" s="5">
        <v>1120</v>
      </c>
      <c r="K9" s="15">
        <f>L9+2178+2106+4113+5545+5506</f>
        <v>20560</v>
      </c>
      <c r="L9" s="15">
        <v>1112</v>
      </c>
      <c r="M9" s="16">
        <f t="shared" si="0"/>
        <v>1112</v>
      </c>
      <c r="N9" s="16">
        <v>0</v>
      </c>
      <c r="O9" s="62">
        <f t="shared" si="1"/>
        <v>0</v>
      </c>
      <c r="P9" s="42">
        <f t="shared" si="2"/>
        <v>5</v>
      </c>
      <c r="Q9" s="43">
        <f t="shared" si="3"/>
        <v>19</v>
      </c>
      <c r="R9" s="7"/>
      <c r="S9" s="6"/>
      <c r="T9" s="17"/>
      <c r="U9" s="17"/>
      <c r="V9" s="18"/>
      <c r="W9" s="19">
        <v>19</v>
      </c>
      <c r="X9" s="17"/>
      <c r="Y9" s="20"/>
      <c r="Z9" s="20"/>
      <c r="AA9" s="21"/>
      <c r="AB9" s="8">
        <f t="shared" si="4"/>
        <v>0.99285714285714288</v>
      </c>
      <c r="AC9" s="9">
        <f t="shared" si="5"/>
        <v>0.20833333333333334</v>
      </c>
      <c r="AD9" s="10">
        <f t="shared" si="6"/>
        <v>0.20684523809523811</v>
      </c>
      <c r="AE9" s="39">
        <f t="shared" si="7"/>
        <v>0.6099758275612952</v>
      </c>
      <c r="AF9" s="94">
        <f t="shared" ref="AF9:AF11" si="9">A9</f>
        <v>4</v>
      </c>
    </row>
    <row r="10" spans="1:32" ht="27" customHeight="1">
      <c r="A10" s="110">
        <v>4</v>
      </c>
      <c r="B10" s="11" t="s">
        <v>58</v>
      </c>
      <c r="C10" s="37" t="s">
        <v>118</v>
      </c>
      <c r="D10" s="55" t="s">
        <v>1142</v>
      </c>
      <c r="E10" s="57" t="s">
        <v>1143</v>
      </c>
      <c r="F10" s="33" t="s">
        <v>1144</v>
      </c>
      <c r="G10" s="36">
        <v>1</v>
      </c>
      <c r="H10" s="38">
        <v>25</v>
      </c>
      <c r="I10" s="7">
        <v>45000</v>
      </c>
      <c r="J10" s="5">
        <v>3540</v>
      </c>
      <c r="K10" s="15">
        <f>L10</f>
        <v>3535</v>
      </c>
      <c r="L10" s="15">
        <f>3374+161</f>
        <v>3535</v>
      </c>
      <c r="M10" s="16">
        <f t="shared" ref="M10" si="10">L10-N10</f>
        <v>3535</v>
      </c>
      <c r="N10" s="16">
        <v>0</v>
      </c>
      <c r="O10" s="62">
        <f t="shared" ref="O10" si="11">IF(L10=0,"0",N10/L10)</f>
        <v>0</v>
      </c>
      <c r="P10" s="42">
        <f t="shared" ref="P10" si="12">IF(L10=0,"0",(24-Q10))</f>
        <v>17</v>
      </c>
      <c r="Q10" s="43">
        <f t="shared" ref="Q10" si="13">SUM(R10:AA10)</f>
        <v>7</v>
      </c>
      <c r="R10" s="7"/>
      <c r="S10" s="6"/>
      <c r="T10" s="17">
        <v>7</v>
      </c>
      <c r="U10" s="17"/>
      <c r="V10" s="18"/>
      <c r="W10" s="19"/>
      <c r="X10" s="17"/>
      <c r="Y10" s="20"/>
      <c r="Z10" s="20"/>
      <c r="AA10" s="21"/>
      <c r="AB10" s="8">
        <f t="shared" ref="AB10" si="14">IF(J10=0,"0",(L10/J10))</f>
        <v>0.99858757062146897</v>
      </c>
      <c r="AC10" s="9">
        <f t="shared" ref="AC10" si="15">IF(P10=0,"0",(P10/24))</f>
        <v>0.70833333333333337</v>
      </c>
      <c r="AD10" s="10">
        <f t="shared" ref="AD10" si="16">AC10*AB10*(1-O10)</f>
        <v>0.70733286252354055</v>
      </c>
      <c r="AE10" s="39">
        <f t="shared" si="7"/>
        <v>0.6099758275612952</v>
      </c>
      <c r="AF10" s="94">
        <f t="shared" ref="AF10" si="17">A10</f>
        <v>4</v>
      </c>
    </row>
    <row r="11" spans="1:32" ht="27" customHeight="1">
      <c r="A11" s="110">
        <v>5</v>
      </c>
      <c r="B11" s="11" t="s">
        <v>58</v>
      </c>
      <c r="C11" s="11" t="s">
        <v>1100</v>
      </c>
      <c r="D11" s="55" t="s">
        <v>57</v>
      </c>
      <c r="E11" s="57" t="s">
        <v>1101</v>
      </c>
      <c r="F11" s="12" t="s">
        <v>135</v>
      </c>
      <c r="G11" s="12">
        <v>1</v>
      </c>
      <c r="H11" s="13">
        <v>25</v>
      </c>
      <c r="I11" s="34">
        <v>4000</v>
      </c>
      <c r="J11" s="14">
        <v>1250</v>
      </c>
      <c r="K11" s="15">
        <f>L11+4382</f>
        <v>5624</v>
      </c>
      <c r="L11" s="15">
        <v>1242</v>
      </c>
      <c r="M11" s="16">
        <f t="shared" si="0"/>
        <v>1242</v>
      </c>
      <c r="N11" s="16">
        <v>0</v>
      </c>
      <c r="O11" s="62">
        <f t="shared" si="1"/>
        <v>0</v>
      </c>
      <c r="P11" s="42">
        <f t="shared" si="2"/>
        <v>6</v>
      </c>
      <c r="Q11" s="43">
        <f t="shared" si="3"/>
        <v>18</v>
      </c>
      <c r="R11" s="7"/>
      <c r="S11" s="6"/>
      <c r="T11" s="17"/>
      <c r="U11" s="17"/>
      <c r="V11" s="18"/>
      <c r="W11" s="19">
        <v>18</v>
      </c>
      <c r="X11" s="17"/>
      <c r="Y11" s="20"/>
      <c r="Z11" s="20"/>
      <c r="AA11" s="21"/>
      <c r="AB11" s="8">
        <f t="shared" si="4"/>
        <v>0.99360000000000004</v>
      </c>
      <c r="AC11" s="9">
        <f t="shared" si="5"/>
        <v>0.25</v>
      </c>
      <c r="AD11" s="10">
        <f t="shared" si="6"/>
        <v>0.24840000000000001</v>
      </c>
      <c r="AE11" s="39">
        <f t="shared" si="7"/>
        <v>0.6099758275612952</v>
      </c>
      <c r="AF11" s="94">
        <f t="shared" si="9"/>
        <v>5</v>
      </c>
    </row>
    <row r="12" spans="1:32" ht="27" customHeight="1">
      <c r="A12" s="110">
        <v>5</v>
      </c>
      <c r="B12" s="11" t="s">
        <v>58</v>
      </c>
      <c r="C12" s="11" t="s">
        <v>1100</v>
      </c>
      <c r="D12" s="55" t="s">
        <v>1145</v>
      </c>
      <c r="E12" s="57" t="s">
        <v>1146</v>
      </c>
      <c r="F12" s="12" t="s">
        <v>135</v>
      </c>
      <c r="G12" s="12">
        <v>1</v>
      </c>
      <c r="H12" s="13">
        <v>25</v>
      </c>
      <c r="I12" s="34">
        <v>1000</v>
      </c>
      <c r="J12" s="14">
        <v>1520</v>
      </c>
      <c r="K12" s="15">
        <f>L12</f>
        <v>1520</v>
      </c>
      <c r="L12" s="15">
        <f>896+624</f>
        <v>1520</v>
      </c>
      <c r="M12" s="16">
        <f t="shared" ref="M12" si="18">L12-N12</f>
        <v>1520</v>
      </c>
      <c r="N12" s="16">
        <v>0</v>
      </c>
      <c r="O12" s="62">
        <f t="shared" ref="O12" si="19">IF(L12=0,"0",N12/L12)</f>
        <v>0</v>
      </c>
      <c r="P12" s="42">
        <f t="shared" ref="P12" si="20">IF(L12=0,"0",(24-Q12))</f>
        <v>9</v>
      </c>
      <c r="Q12" s="43">
        <f t="shared" ref="Q12" si="21">SUM(R12:AA12)</f>
        <v>15</v>
      </c>
      <c r="R12" s="7"/>
      <c r="S12" s="6"/>
      <c r="T12" s="17"/>
      <c r="U12" s="17"/>
      <c r="V12" s="18"/>
      <c r="W12" s="19">
        <v>15</v>
      </c>
      <c r="X12" s="17"/>
      <c r="Y12" s="20"/>
      <c r="Z12" s="20"/>
      <c r="AA12" s="21"/>
      <c r="AB12" s="8">
        <f t="shared" ref="AB12" si="22">IF(J12=0,"0",(L12/J12))</f>
        <v>1</v>
      </c>
      <c r="AC12" s="9">
        <f t="shared" ref="AC12" si="23">IF(P12=0,"0",(P12/24))</f>
        <v>0.375</v>
      </c>
      <c r="AD12" s="10">
        <f t="shared" ref="AD12" si="24">AC12*AB12*(1-O12)</f>
        <v>0.375</v>
      </c>
      <c r="AE12" s="39">
        <f t="shared" si="7"/>
        <v>0.6099758275612952</v>
      </c>
      <c r="AF12" s="94">
        <f t="shared" ref="AF12" si="25">A12</f>
        <v>5</v>
      </c>
    </row>
    <row r="13" spans="1:32" ht="27" customHeight="1">
      <c r="A13" s="110">
        <v>6</v>
      </c>
      <c r="B13" s="11" t="s">
        <v>58</v>
      </c>
      <c r="C13" s="11" t="s">
        <v>133</v>
      </c>
      <c r="D13" s="55" t="s">
        <v>131</v>
      </c>
      <c r="E13" s="57" t="s">
        <v>700</v>
      </c>
      <c r="F13" s="12" t="s">
        <v>166</v>
      </c>
      <c r="G13" s="12">
        <v>1</v>
      </c>
      <c r="H13" s="13">
        <v>25</v>
      </c>
      <c r="I13" s="34">
        <v>40000</v>
      </c>
      <c r="J13" s="14">
        <v>6360</v>
      </c>
      <c r="K13" s="15">
        <f>L13+2724+6303+6504+3472+2821+4925+6265+4473</f>
        <v>43846</v>
      </c>
      <c r="L13" s="15">
        <f>2770+3589</f>
        <v>6359</v>
      </c>
      <c r="M13" s="16">
        <f t="shared" si="0"/>
        <v>6359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0.99984276729559751</v>
      </c>
      <c r="AC13" s="9">
        <f t="shared" si="5"/>
        <v>1</v>
      </c>
      <c r="AD13" s="10">
        <f t="shared" si="6"/>
        <v>0.99984276729559751</v>
      </c>
      <c r="AE13" s="39">
        <f t="shared" si="7"/>
        <v>0.6099758275612952</v>
      </c>
      <c r="AF13" s="94">
        <f t="shared" si="8"/>
        <v>6</v>
      </c>
    </row>
    <row r="14" spans="1:32" ht="27" customHeight="1">
      <c r="A14" s="110">
        <v>7</v>
      </c>
      <c r="B14" s="11" t="s">
        <v>58</v>
      </c>
      <c r="C14" s="11" t="s">
        <v>1100</v>
      </c>
      <c r="D14" s="55" t="s">
        <v>136</v>
      </c>
      <c r="E14" s="57" t="s">
        <v>1102</v>
      </c>
      <c r="F14" s="12" t="s">
        <v>1103</v>
      </c>
      <c r="G14" s="12">
        <v>1</v>
      </c>
      <c r="H14" s="13">
        <v>25</v>
      </c>
      <c r="I14" s="7">
        <v>25000</v>
      </c>
      <c r="J14" s="14">
        <v>4080</v>
      </c>
      <c r="K14" s="15">
        <f>L14+2195</f>
        <v>6274</v>
      </c>
      <c r="L14" s="15">
        <f>1443+2636</f>
        <v>4079</v>
      </c>
      <c r="M14" s="16">
        <f t="shared" si="0"/>
        <v>4079</v>
      </c>
      <c r="N14" s="16">
        <v>0</v>
      </c>
      <c r="O14" s="62">
        <f t="shared" si="1"/>
        <v>0</v>
      </c>
      <c r="P14" s="42">
        <f t="shared" si="2"/>
        <v>22</v>
      </c>
      <c r="Q14" s="43">
        <f t="shared" si="3"/>
        <v>2</v>
      </c>
      <c r="R14" s="7"/>
      <c r="S14" s="6">
        <v>2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0.99975490196078431</v>
      </c>
      <c r="AC14" s="9">
        <f t="shared" si="5"/>
        <v>0.91666666666666663</v>
      </c>
      <c r="AD14" s="10">
        <f t="shared" si="6"/>
        <v>0.9164419934640522</v>
      </c>
      <c r="AE14" s="39">
        <f t="shared" si="7"/>
        <v>0.6099758275612952</v>
      </c>
      <c r="AF14" s="94">
        <f t="shared" si="8"/>
        <v>7</v>
      </c>
    </row>
    <row r="15" spans="1:32" ht="27" customHeight="1">
      <c r="A15" s="110">
        <v>8</v>
      </c>
      <c r="B15" s="11" t="s">
        <v>58</v>
      </c>
      <c r="C15" s="11" t="s">
        <v>133</v>
      </c>
      <c r="D15" s="55" t="s">
        <v>164</v>
      </c>
      <c r="E15" s="57" t="s">
        <v>1017</v>
      </c>
      <c r="F15" s="12" t="s">
        <v>142</v>
      </c>
      <c r="G15" s="12">
        <v>2</v>
      </c>
      <c r="H15" s="13">
        <v>25</v>
      </c>
      <c r="I15" s="7">
        <v>25000</v>
      </c>
      <c r="J15" s="14">
        <v>6060</v>
      </c>
      <c r="K15" s="15">
        <f>L15+7902+10038+2630</f>
        <v>26630</v>
      </c>
      <c r="L15" s="15">
        <f>3030*2</f>
        <v>6060</v>
      </c>
      <c r="M15" s="16">
        <f t="shared" ref="M15" si="26">L15-N15</f>
        <v>6060</v>
      </c>
      <c r="N15" s="16">
        <v>0</v>
      </c>
      <c r="O15" s="62">
        <f t="shared" ref="O15" si="27">IF(L15=0,"0",N15/L15)</f>
        <v>0</v>
      </c>
      <c r="P15" s="42">
        <f t="shared" ref="P15" si="28">IF(L15=0,"0",(24-Q15))</f>
        <v>18</v>
      </c>
      <c r="Q15" s="43">
        <f t="shared" ref="Q15" si="29">SUM(R15:AA15)</f>
        <v>6</v>
      </c>
      <c r="R15" s="7"/>
      <c r="S15" s="6"/>
      <c r="T15" s="17">
        <v>6</v>
      </c>
      <c r="U15" s="17"/>
      <c r="V15" s="18"/>
      <c r="W15" s="19"/>
      <c r="X15" s="17"/>
      <c r="Y15" s="20"/>
      <c r="Z15" s="20"/>
      <c r="AA15" s="21"/>
      <c r="AB15" s="8">
        <f t="shared" ref="AB15" si="30">IF(J15=0,"0",(L15/J15))</f>
        <v>1</v>
      </c>
      <c r="AC15" s="9">
        <f t="shared" ref="AC15" si="31">IF(P15=0,"0",(P15/24))</f>
        <v>0.75</v>
      </c>
      <c r="AD15" s="10">
        <f t="shared" ref="AD15" si="32">AC15*AB15*(1-O15)</f>
        <v>0.75</v>
      </c>
      <c r="AE15" s="39">
        <f t="shared" si="7"/>
        <v>0.6099758275612952</v>
      </c>
      <c r="AF15" s="94">
        <f t="shared" ref="AF15" si="33">A15</f>
        <v>8</v>
      </c>
    </row>
    <row r="16" spans="1:32" ht="27" customHeight="1">
      <c r="A16" s="109">
        <v>9</v>
      </c>
      <c r="B16" s="11" t="s">
        <v>58</v>
      </c>
      <c r="C16" s="37" t="s">
        <v>228</v>
      </c>
      <c r="D16" s="55" t="s">
        <v>1059</v>
      </c>
      <c r="E16" s="57" t="s">
        <v>1104</v>
      </c>
      <c r="F16" s="33" t="s">
        <v>1105</v>
      </c>
      <c r="G16" s="36">
        <v>1</v>
      </c>
      <c r="H16" s="38">
        <v>25</v>
      </c>
      <c r="I16" s="7">
        <v>300</v>
      </c>
      <c r="J16" s="5">
        <v>76</v>
      </c>
      <c r="K16" s="15">
        <f>L16+76</f>
        <v>76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>
        <v>24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0.6099758275612952</v>
      </c>
      <c r="AF16" s="94">
        <f t="shared" si="8"/>
        <v>9</v>
      </c>
    </row>
    <row r="17" spans="1:36" ht="27" customHeight="1">
      <c r="A17" s="109">
        <v>10</v>
      </c>
      <c r="B17" s="11" t="s">
        <v>58</v>
      </c>
      <c r="C17" s="11" t="s">
        <v>195</v>
      </c>
      <c r="D17" s="55" t="s">
        <v>967</v>
      </c>
      <c r="E17" s="57" t="s">
        <v>968</v>
      </c>
      <c r="F17" s="12">
        <v>8301</v>
      </c>
      <c r="G17" s="12">
        <v>1</v>
      </c>
      <c r="H17" s="13">
        <v>20</v>
      </c>
      <c r="I17" s="34">
        <v>500</v>
      </c>
      <c r="J17" s="14">
        <v>1590</v>
      </c>
      <c r="K17" s="15">
        <f>L17+1585</f>
        <v>1585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0.6099758275612952</v>
      </c>
      <c r="AF17" s="94">
        <f t="shared" si="8"/>
        <v>10</v>
      </c>
    </row>
    <row r="18" spans="1:36" ht="27.75" customHeight="1">
      <c r="A18" s="109">
        <v>11</v>
      </c>
      <c r="B18" s="11" t="s">
        <v>58</v>
      </c>
      <c r="C18" s="11" t="s">
        <v>133</v>
      </c>
      <c r="D18" s="55" t="s">
        <v>900</v>
      </c>
      <c r="E18" s="56" t="s">
        <v>901</v>
      </c>
      <c r="F18" s="12">
        <v>7301</v>
      </c>
      <c r="G18" s="36">
        <v>1</v>
      </c>
      <c r="H18" s="38">
        <v>25</v>
      </c>
      <c r="I18" s="7">
        <v>40000</v>
      </c>
      <c r="J18" s="14">
        <v>4160</v>
      </c>
      <c r="K18" s="15">
        <f>L18+1291+540+704</f>
        <v>6691</v>
      </c>
      <c r="L18" s="15">
        <f>1065+3091</f>
        <v>4156</v>
      </c>
      <c r="M18" s="16">
        <f t="shared" si="0"/>
        <v>4156</v>
      </c>
      <c r="N18" s="16">
        <v>0</v>
      </c>
      <c r="O18" s="62">
        <f t="shared" si="1"/>
        <v>0</v>
      </c>
      <c r="P18" s="42">
        <f t="shared" si="2"/>
        <v>21</v>
      </c>
      <c r="Q18" s="43">
        <f t="shared" si="3"/>
        <v>3</v>
      </c>
      <c r="R18" s="7"/>
      <c r="S18" s="6">
        <v>3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0.99903846153846154</v>
      </c>
      <c r="AC18" s="9">
        <f t="shared" si="5"/>
        <v>0.875</v>
      </c>
      <c r="AD18" s="10">
        <f t="shared" si="6"/>
        <v>0.87415865384615388</v>
      </c>
      <c r="AE18" s="39">
        <f t="shared" si="7"/>
        <v>0.6099758275612952</v>
      </c>
      <c r="AF18" s="94">
        <f>A18</f>
        <v>11</v>
      </c>
      <c r="AJ18" s="15"/>
    </row>
    <row r="19" spans="1:36" ht="27" customHeight="1">
      <c r="A19" s="109">
        <v>12</v>
      </c>
      <c r="B19" s="11" t="s">
        <v>58</v>
      </c>
      <c r="C19" s="37" t="s">
        <v>133</v>
      </c>
      <c r="D19" s="55" t="s">
        <v>190</v>
      </c>
      <c r="E19" s="56" t="s">
        <v>1063</v>
      </c>
      <c r="F19" s="12" t="s">
        <v>281</v>
      </c>
      <c r="G19" s="12">
        <v>1</v>
      </c>
      <c r="H19" s="13">
        <v>25</v>
      </c>
      <c r="I19" s="34">
        <v>25000</v>
      </c>
      <c r="J19" s="5">
        <v>7920</v>
      </c>
      <c r="K19" s="15">
        <f>L19+20832+7920</f>
        <v>28752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0.6099758275612952</v>
      </c>
      <c r="AF19" s="94">
        <f t="shared" ref="AF19" si="34">A19</f>
        <v>12</v>
      </c>
    </row>
    <row r="20" spans="1:36" ht="27" customHeight="1">
      <c r="A20" s="110">
        <v>13</v>
      </c>
      <c r="B20" s="11" t="s">
        <v>58</v>
      </c>
      <c r="C20" s="37" t="s">
        <v>118</v>
      </c>
      <c r="D20" s="55" t="s">
        <v>904</v>
      </c>
      <c r="E20" s="57" t="s">
        <v>905</v>
      </c>
      <c r="F20" s="33" t="s">
        <v>142</v>
      </c>
      <c r="G20" s="36">
        <v>1</v>
      </c>
      <c r="H20" s="38">
        <v>25</v>
      </c>
      <c r="I20" s="7">
        <v>50000</v>
      </c>
      <c r="J20" s="5">
        <v>5530</v>
      </c>
      <c r="K20" s="15">
        <f>L20+4454+5087+5573+4618+2034+3753</f>
        <v>31040</v>
      </c>
      <c r="L20" s="15">
        <f>2413+3108</f>
        <v>5521</v>
      </c>
      <c r="M20" s="16">
        <f t="shared" si="0"/>
        <v>5521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0.99837251356238699</v>
      </c>
      <c r="AC20" s="9">
        <f t="shared" si="5"/>
        <v>1</v>
      </c>
      <c r="AD20" s="10">
        <f t="shared" si="6"/>
        <v>0.99837251356238699</v>
      </c>
      <c r="AE20" s="39">
        <f t="shared" si="7"/>
        <v>0.6099758275612952</v>
      </c>
      <c r="AF20" s="94">
        <f t="shared" si="8"/>
        <v>13</v>
      </c>
    </row>
    <row r="21" spans="1:36" ht="27" customHeight="1">
      <c r="A21" s="110">
        <v>14</v>
      </c>
      <c r="B21" s="11" t="s">
        <v>58</v>
      </c>
      <c r="C21" s="11" t="s">
        <v>118</v>
      </c>
      <c r="D21" s="55" t="s">
        <v>57</v>
      </c>
      <c r="E21" s="57" t="s">
        <v>160</v>
      </c>
      <c r="F21" s="12" t="s">
        <v>145</v>
      </c>
      <c r="G21" s="12">
        <v>1</v>
      </c>
      <c r="H21" s="13">
        <v>25</v>
      </c>
      <c r="I21" s="7">
        <v>52000</v>
      </c>
      <c r="J21" s="14">
        <v>3000</v>
      </c>
      <c r="K21" s="15">
        <f>L21+4424+5402+3684+3104+5222+5230+5262</f>
        <v>35305</v>
      </c>
      <c r="L21" s="15">
        <f>2264+713</f>
        <v>2977</v>
      </c>
      <c r="M21" s="16">
        <f t="shared" si="0"/>
        <v>2977</v>
      </c>
      <c r="N21" s="16">
        <v>0</v>
      </c>
      <c r="O21" s="62">
        <f t="shared" si="1"/>
        <v>0</v>
      </c>
      <c r="P21" s="42">
        <f t="shared" si="2"/>
        <v>18</v>
      </c>
      <c r="Q21" s="43">
        <f t="shared" si="3"/>
        <v>6</v>
      </c>
      <c r="R21" s="7"/>
      <c r="S21" s="6">
        <v>6</v>
      </c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0.99233333333333329</v>
      </c>
      <c r="AC21" s="9">
        <f t="shared" si="5"/>
        <v>0.75</v>
      </c>
      <c r="AD21" s="10">
        <f t="shared" si="6"/>
        <v>0.74424999999999997</v>
      </c>
      <c r="AE21" s="39">
        <f t="shared" si="7"/>
        <v>0.6099758275612952</v>
      </c>
      <c r="AF21" s="94">
        <f t="shared" si="8"/>
        <v>14</v>
      </c>
    </row>
    <row r="22" spans="1:36" ht="27" customHeight="1" thickBot="1">
      <c r="A22" s="110">
        <v>15</v>
      </c>
      <c r="B22" s="11" t="s">
        <v>58</v>
      </c>
      <c r="C22" s="11" t="s">
        <v>115</v>
      </c>
      <c r="D22" s="55"/>
      <c r="E22" s="56" t="s">
        <v>906</v>
      </c>
      <c r="F22" s="12" t="s">
        <v>116</v>
      </c>
      <c r="G22" s="12">
        <v>4</v>
      </c>
      <c r="H22" s="38">
        <v>15</v>
      </c>
      <c r="I22" s="7">
        <v>100000</v>
      </c>
      <c r="J22" s="14">
        <v>57600</v>
      </c>
      <c r="K22" s="15">
        <f>L22+60468+60904+70332+57924+57588</f>
        <v>307216</v>
      </c>
      <c r="L22" s="15"/>
      <c r="M22" s="16">
        <f t="shared" si="0"/>
        <v>0</v>
      </c>
      <c r="N22" s="16">
        <v>0</v>
      </c>
      <c r="O22" s="62" t="str">
        <f t="shared" si="1"/>
        <v>0</v>
      </c>
      <c r="P22" s="42" t="str">
        <f t="shared" si="2"/>
        <v>0</v>
      </c>
      <c r="Q22" s="43">
        <f t="shared" si="3"/>
        <v>24</v>
      </c>
      <c r="R22" s="7"/>
      <c r="S22" s="6"/>
      <c r="T22" s="17"/>
      <c r="U22" s="17"/>
      <c r="V22" s="18"/>
      <c r="W22" s="19">
        <v>24</v>
      </c>
      <c r="X22" s="17"/>
      <c r="Y22" s="20"/>
      <c r="Z22" s="20"/>
      <c r="AA22" s="21"/>
      <c r="AB22" s="8">
        <f t="shared" si="4"/>
        <v>0</v>
      </c>
      <c r="AC22" s="9">
        <f t="shared" si="5"/>
        <v>0</v>
      </c>
      <c r="AD22" s="10">
        <f t="shared" si="6"/>
        <v>0</v>
      </c>
      <c r="AE22" s="39">
        <f t="shared" si="7"/>
        <v>0.6099758275612952</v>
      </c>
      <c r="AF22" s="94">
        <f t="shared" si="8"/>
        <v>15</v>
      </c>
    </row>
    <row r="23" spans="1:36" ht="31.5" customHeight="1" thickBot="1">
      <c r="A23" s="465" t="s">
        <v>34</v>
      </c>
      <c r="B23" s="466"/>
      <c r="C23" s="466"/>
      <c r="D23" s="466"/>
      <c r="E23" s="466"/>
      <c r="F23" s="466"/>
      <c r="G23" s="466"/>
      <c r="H23" s="467"/>
      <c r="I23" s="25">
        <f t="shared" ref="I23:N23" si="35">SUM(I6:I22)</f>
        <v>543800</v>
      </c>
      <c r="J23" s="22">
        <f t="shared" si="35"/>
        <v>117776</v>
      </c>
      <c r="K23" s="23">
        <f t="shared" si="35"/>
        <v>587738</v>
      </c>
      <c r="L23" s="24">
        <f t="shared" si="35"/>
        <v>50507</v>
      </c>
      <c r="M23" s="23">
        <f t="shared" si="35"/>
        <v>50507</v>
      </c>
      <c r="N23" s="24">
        <f t="shared" si="35"/>
        <v>0</v>
      </c>
      <c r="O23" s="44">
        <f t="shared" si="1"/>
        <v>0</v>
      </c>
      <c r="P23" s="45">
        <f t="shared" ref="P23:AA23" si="36">SUM(P6:P22)</f>
        <v>220</v>
      </c>
      <c r="Q23" s="46">
        <f t="shared" si="36"/>
        <v>188</v>
      </c>
      <c r="R23" s="26">
        <f t="shared" si="36"/>
        <v>0</v>
      </c>
      <c r="S23" s="27">
        <f t="shared" si="36"/>
        <v>45</v>
      </c>
      <c r="T23" s="27">
        <f t="shared" si="36"/>
        <v>13</v>
      </c>
      <c r="U23" s="27">
        <f t="shared" si="36"/>
        <v>0</v>
      </c>
      <c r="V23" s="28">
        <f t="shared" si="36"/>
        <v>0</v>
      </c>
      <c r="W23" s="29">
        <f t="shared" si="36"/>
        <v>130</v>
      </c>
      <c r="X23" s="30">
        <f t="shared" si="36"/>
        <v>0</v>
      </c>
      <c r="Y23" s="30">
        <f t="shared" si="36"/>
        <v>0</v>
      </c>
      <c r="Z23" s="30">
        <f t="shared" si="36"/>
        <v>0</v>
      </c>
      <c r="AA23" s="30">
        <f t="shared" si="36"/>
        <v>0</v>
      </c>
      <c r="AB23" s="31">
        <f>SUM(AB6:AB22)/15</f>
        <v>0.86454775881431078</v>
      </c>
      <c r="AC23" s="4">
        <f>SUM(AC6:AC22)/15</f>
        <v>0.61111111111111116</v>
      </c>
      <c r="AD23" s="4">
        <f>SUM(AD6:AD22)/15</f>
        <v>0.6099758275612952</v>
      </c>
      <c r="AE23" s="32"/>
    </row>
    <row r="25" spans="1:36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6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6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6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6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6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5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468" t="s">
        <v>45</v>
      </c>
      <c r="B50" s="468"/>
      <c r="C50" s="468"/>
      <c r="D50" s="468"/>
      <c r="E50" s="468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469" t="s">
        <v>1147</v>
      </c>
      <c r="B51" s="470"/>
      <c r="C51" s="470"/>
      <c r="D51" s="470"/>
      <c r="E51" s="470"/>
      <c r="F51" s="470"/>
      <c r="G51" s="470"/>
      <c r="H51" s="470"/>
      <c r="I51" s="470"/>
      <c r="J51" s="470"/>
      <c r="K51" s="470"/>
      <c r="L51" s="470"/>
      <c r="M51" s="471"/>
      <c r="N51" s="472" t="s">
        <v>1164</v>
      </c>
      <c r="O51" s="473"/>
      <c r="P51" s="473"/>
      <c r="Q51" s="473"/>
      <c r="R51" s="473"/>
      <c r="S51" s="473"/>
      <c r="T51" s="473"/>
      <c r="U51" s="473"/>
      <c r="V51" s="473"/>
      <c r="W51" s="473"/>
      <c r="X51" s="473"/>
      <c r="Y51" s="473"/>
      <c r="Z51" s="473"/>
      <c r="AA51" s="473"/>
      <c r="AB51" s="473"/>
      <c r="AC51" s="473"/>
      <c r="AD51" s="474"/>
    </row>
    <row r="52" spans="1:32" ht="27" customHeight="1">
      <c r="A52" s="475" t="s">
        <v>2</v>
      </c>
      <c r="B52" s="476"/>
      <c r="C52" s="388" t="s">
        <v>46</v>
      </c>
      <c r="D52" s="388" t="s">
        <v>47</v>
      </c>
      <c r="E52" s="388" t="s">
        <v>109</v>
      </c>
      <c r="F52" s="476" t="s">
        <v>108</v>
      </c>
      <c r="G52" s="476"/>
      <c r="H52" s="476"/>
      <c r="I52" s="476"/>
      <c r="J52" s="476"/>
      <c r="K52" s="476"/>
      <c r="L52" s="476"/>
      <c r="M52" s="477"/>
      <c r="N52" s="73" t="s">
        <v>113</v>
      </c>
      <c r="O52" s="388" t="s">
        <v>46</v>
      </c>
      <c r="P52" s="478" t="s">
        <v>47</v>
      </c>
      <c r="Q52" s="479"/>
      <c r="R52" s="478" t="s">
        <v>38</v>
      </c>
      <c r="S52" s="480"/>
      <c r="T52" s="480"/>
      <c r="U52" s="479"/>
      <c r="V52" s="478" t="s">
        <v>48</v>
      </c>
      <c r="W52" s="480"/>
      <c r="X52" s="480"/>
      <c r="Y52" s="480"/>
      <c r="Z52" s="480"/>
      <c r="AA52" s="480"/>
      <c r="AB52" s="480"/>
      <c r="AC52" s="480"/>
      <c r="AD52" s="481"/>
    </row>
    <row r="53" spans="1:32" ht="27" customHeight="1">
      <c r="A53" s="492" t="s">
        <v>1148</v>
      </c>
      <c r="B53" s="493"/>
      <c r="C53" s="387" t="s">
        <v>1149</v>
      </c>
      <c r="D53" s="384" t="s">
        <v>1150</v>
      </c>
      <c r="E53" s="387" t="s">
        <v>1141</v>
      </c>
      <c r="F53" s="494" t="s">
        <v>1151</v>
      </c>
      <c r="G53" s="494"/>
      <c r="H53" s="494"/>
      <c r="I53" s="494"/>
      <c r="J53" s="494"/>
      <c r="K53" s="494"/>
      <c r="L53" s="494"/>
      <c r="M53" s="495"/>
      <c r="N53" s="383" t="s">
        <v>173</v>
      </c>
      <c r="O53" s="74" t="s">
        <v>1165</v>
      </c>
      <c r="P53" s="496" t="s">
        <v>1123</v>
      </c>
      <c r="Q53" s="497"/>
      <c r="R53" s="498" t="s">
        <v>1166</v>
      </c>
      <c r="S53" s="498"/>
      <c r="T53" s="498"/>
      <c r="U53" s="498"/>
      <c r="V53" s="494" t="s">
        <v>1078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1148</v>
      </c>
      <c r="B54" s="493"/>
      <c r="C54" s="387" t="s">
        <v>222</v>
      </c>
      <c r="D54" s="384" t="s">
        <v>1069</v>
      </c>
      <c r="E54" s="387" t="s">
        <v>1109</v>
      </c>
      <c r="F54" s="494" t="s">
        <v>1153</v>
      </c>
      <c r="G54" s="494"/>
      <c r="H54" s="494"/>
      <c r="I54" s="494"/>
      <c r="J54" s="494"/>
      <c r="K54" s="494"/>
      <c r="L54" s="494"/>
      <c r="M54" s="495"/>
      <c r="N54" s="383" t="s">
        <v>173</v>
      </c>
      <c r="O54" s="74" t="s">
        <v>1158</v>
      </c>
      <c r="P54" s="496" t="s">
        <v>1167</v>
      </c>
      <c r="Q54" s="497"/>
      <c r="R54" s="498" t="s">
        <v>160</v>
      </c>
      <c r="S54" s="498"/>
      <c r="T54" s="498"/>
      <c r="U54" s="498"/>
      <c r="V54" s="494" t="s">
        <v>1168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1152</v>
      </c>
      <c r="B55" s="493"/>
      <c r="C55" s="387" t="s">
        <v>1154</v>
      </c>
      <c r="D55" s="384" t="s">
        <v>1142</v>
      </c>
      <c r="E55" s="387" t="s">
        <v>1143</v>
      </c>
      <c r="F55" s="494" t="s">
        <v>1066</v>
      </c>
      <c r="G55" s="494"/>
      <c r="H55" s="494"/>
      <c r="I55" s="494"/>
      <c r="J55" s="494"/>
      <c r="K55" s="494"/>
      <c r="L55" s="494"/>
      <c r="M55" s="495"/>
      <c r="N55" s="383"/>
      <c r="O55" s="74"/>
      <c r="P55" s="496"/>
      <c r="Q55" s="497"/>
      <c r="R55" s="498"/>
      <c r="S55" s="498"/>
      <c r="T55" s="498"/>
      <c r="U55" s="498"/>
      <c r="V55" s="494"/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1111</v>
      </c>
      <c r="B56" s="493"/>
      <c r="C56" s="387" t="s">
        <v>1113</v>
      </c>
      <c r="D56" s="384" t="s">
        <v>136</v>
      </c>
      <c r="E56" s="387" t="s">
        <v>1102</v>
      </c>
      <c r="F56" s="494" t="s">
        <v>1155</v>
      </c>
      <c r="G56" s="494"/>
      <c r="H56" s="494"/>
      <c r="I56" s="494"/>
      <c r="J56" s="494"/>
      <c r="K56" s="494"/>
      <c r="L56" s="494"/>
      <c r="M56" s="495"/>
      <c r="N56" s="383"/>
      <c r="O56" s="74"/>
      <c r="P56" s="496"/>
      <c r="Q56" s="497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 t="s">
        <v>228</v>
      </c>
      <c r="B57" s="493"/>
      <c r="C57" s="387" t="s">
        <v>1156</v>
      </c>
      <c r="D57" s="384" t="s">
        <v>1145</v>
      </c>
      <c r="E57" s="387" t="s">
        <v>1146</v>
      </c>
      <c r="F57" s="494" t="s">
        <v>1157</v>
      </c>
      <c r="G57" s="494"/>
      <c r="H57" s="494"/>
      <c r="I57" s="494"/>
      <c r="J57" s="494"/>
      <c r="K57" s="494"/>
      <c r="L57" s="494"/>
      <c r="M57" s="495"/>
      <c r="N57" s="383"/>
      <c r="O57" s="74"/>
      <c r="P57" s="496"/>
      <c r="Q57" s="497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 t="s">
        <v>173</v>
      </c>
      <c r="B58" s="493"/>
      <c r="C58" s="387" t="s">
        <v>1158</v>
      </c>
      <c r="D58" s="384" t="s">
        <v>1159</v>
      </c>
      <c r="E58" s="387" t="s">
        <v>1160</v>
      </c>
      <c r="F58" s="494" t="s">
        <v>1161</v>
      </c>
      <c r="G58" s="494"/>
      <c r="H58" s="494"/>
      <c r="I58" s="494"/>
      <c r="J58" s="494"/>
      <c r="K58" s="494"/>
      <c r="L58" s="494"/>
      <c r="M58" s="495"/>
      <c r="N58" s="383"/>
      <c r="O58" s="74"/>
      <c r="P58" s="498"/>
      <c r="Q58" s="498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492" t="s">
        <v>1139</v>
      </c>
      <c r="B59" s="493"/>
      <c r="C59" s="387" t="s">
        <v>1162</v>
      </c>
      <c r="D59" s="384" t="s">
        <v>1145</v>
      </c>
      <c r="E59" s="387" t="s">
        <v>1163</v>
      </c>
      <c r="F59" s="494" t="s">
        <v>150</v>
      </c>
      <c r="G59" s="494"/>
      <c r="H59" s="494"/>
      <c r="I59" s="494"/>
      <c r="J59" s="494"/>
      <c r="K59" s="494"/>
      <c r="L59" s="494"/>
      <c r="M59" s="495"/>
      <c r="N59" s="383"/>
      <c r="O59" s="74"/>
      <c r="P59" s="496"/>
      <c r="Q59" s="497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</row>
    <row r="60" spans="1:32" ht="27" customHeight="1">
      <c r="A60" s="492"/>
      <c r="B60" s="493"/>
      <c r="C60" s="387"/>
      <c r="D60" s="384"/>
      <c r="E60" s="387"/>
      <c r="F60" s="494"/>
      <c r="G60" s="494"/>
      <c r="H60" s="494"/>
      <c r="I60" s="494"/>
      <c r="J60" s="494"/>
      <c r="K60" s="494"/>
      <c r="L60" s="494"/>
      <c r="M60" s="495"/>
      <c r="N60" s="383"/>
      <c r="O60" s="74"/>
      <c r="P60" s="498"/>
      <c r="Q60" s="498"/>
      <c r="R60" s="498"/>
      <c r="S60" s="498"/>
      <c r="T60" s="498"/>
      <c r="U60" s="498"/>
      <c r="V60" s="494"/>
      <c r="W60" s="494"/>
      <c r="X60" s="494"/>
      <c r="Y60" s="494"/>
      <c r="Z60" s="494"/>
      <c r="AA60" s="494"/>
      <c r="AB60" s="494"/>
      <c r="AC60" s="494"/>
      <c r="AD60" s="495"/>
    </row>
    <row r="61" spans="1:32" ht="27" customHeight="1">
      <c r="A61" s="508"/>
      <c r="B61" s="498"/>
      <c r="C61" s="384"/>
      <c r="D61" s="384"/>
      <c r="E61" s="384"/>
      <c r="F61" s="494"/>
      <c r="G61" s="494"/>
      <c r="H61" s="494"/>
      <c r="I61" s="494"/>
      <c r="J61" s="494"/>
      <c r="K61" s="494"/>
      <c r="L61" s="494"/>
      <c r="M61" s="495"/>
      <c r="N61" s="383"/>
      <c r="O61" s="74"/>
      <c r="P61" s="498"/>
      <c r="Q61" s="498"/>
      <c r="R61" s="498"/>
      <c r="S61" s="498"/>
      <c r="T61" s="498"/>
      <c r="U61" s="498"/>
      <c r="V61" s="494"/>
      <c r="W61" s="494"/>
      <c r="X61" s="494"/>
      <c r="Y61" s="494"/>
      <c r="Z61" s="494"/>
      <c r="AA61" s="494"/>
      <c r="AB61" s="494"/>
      <c r="AC61" s="494"/>
      <c r="AD61" s="495"/>
      <c r="AF61" s="94">
        <f>8*3000</f>
        <v>24000</v>
      </c>
    </row>
    <row r="62" spans="1:32" ht="27" customHeight="1" thickBot="1">
      <c r="A62" s="499"/>
      <c r="B62" s="500"/>
      <c r="C62" s="386"/>
      <c r="D62" s="386"/>
      <c r="E62" s="386"/>
      <c r="F62" s="501"/>
      <c r="G62" s="501"/>
      <c r="H62" s="501"/>
      <c r="I62" s="501"/>
      <c r="J62" s="501"/>
      <c r="K62" s="501"/>
      <c r="L62" s="501"/>
      <c r="M62" s="502"/>
      <c r="N62" s="385"/>
      <c r="O62" s="121"/>
      <c r="P62" s="500"/>
      <c r="Q62" s="500"/>
      <c r="R62" s="500"/>
      <c r="S62" s="500"/>
      <c r="T62" s="500"/>
      <c r="U62" s="500"/>
      <c r="V62" s="501"/>
      <c r="W62" s="501"/>
      <c r="X62" s="501"/>
      <c r="Y62" s="501"/>
      <c r="Z62" s="501"/>
      <c r="AA62" s="501"/>
      <c r="AB62" s="501"/>
      <c r="AC62" s="501"/>
      <c r="AD62" s="502"/>
      <c r="AF62" s="94">
        <f>16*3000</f>
        <v>48000</v>
      </c>
    </row>
    <row r="63" spans="1:32" ht="27.75" thickBot="1">
      <c r="A63" s="503" t="s">
        <v>1169</v>
      </c>
      <c r="B63" s="503"/>
      <c r="C63" s="503"/>
      <c r="D63" s="503"/>
      <c r="E63" s="503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4">
        <v>24000</v>
      </c>
    </row>
    <row r="64" spans="1:32" ht="29.25" customHeight="1" thickBot="1">
      <c r="A64" s="504" t="s">
        <v>114</v>
      </c>
      <c r="B64" s="505"/>
      <c r="C64" s="382" t="s">
        <v>2</v>
      </c>
      <c r="D64" s="382" t="s">
        <v>37</v>
      </c>
      <c r="E64" s="382" t="s">
        <v>3</v>
      </c>
      <c r="F64" s="505" t="s">
        <v>111</v>
      </c>
      <c r="G64" s="505"/>
      <c r="H64" s="505"/>
      <c r="I64" s="505"/>
      <c r="J64" s="505"/>
      <c r="K64" s="505" t="s">
        <v>39</v>
      </c>
      <c r="L64" s="505"/>
      <c r="M64" s="382" t="s">
        <v>40</v>
      </c>
      <c r="N64" s="505" t="s">
        <v>41</v>
      </c>
      <c r="O64" s="505"/>
      <c r="P64" s="506" t="s">
        <v>42</v>
      </c>
      <c r="Q64" s="507"/>
      <c r="R64" s="506" t="s">
        <v>43</v>
      </c>
      <c r="S64" s="509"/>
      <c r="T64" s="509"/>
      <c r="U64" s="509"/>
      <c r="V64" s="509"/>
      <c r="W64" s="509"/>
      <c r="X64" s="509"/>
      <c r="Y64" s="509"/>
      <c r="Z64" s="509"/>
      <c r="AA64" s="507"/>
      <c r="AB64" s="505" t="s">
        <v>44</v>
      </c>
      <c r="AC64" s="505"/>
      <c r="AD64" s="510"/>
      <c r="AF64" s="94">
        <f>SUM(AF61:AF63)</f>
        <v>96000</v>
      </c>
    </row>
    <row r="65" spans="1:32" ht="25.5" customHeight="1">
      <c r="A65" s="511">
        <v>1</v>
      </c>
      <c r="B65" s="512"/>
      <c r="C65" s="124" t="s">
        <v>228</v>
      </c>
      <c r="D65" s="378"/>
      <c r="E65" s="381" t="s">
        <v>1170</v>
      </c>
      <c r="F65" s="513" t="s">
        <v>1171</v>
      </c>
      <c r="G65" s="514"/>
      <c r="H65" s="514"/>
      <c r="I65" s="514"/>
      <c r="J65" s="514"/>
      <c r="K65" s="514" t="s">
        <v>1172</v>
      </c>
      <c r="L65" s="514"/>
      <c r="M65" s="54" t="s">
        <v>1173</v>
      </c>
      <c r="N65" s="514">
        <v>12</v>
      </c>
      <c r="O65" s="514"/>
      <c r="P65" s="515">
        <v>50</v>
      </c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2</v>
      </c>
      <c r="B66" s="512"/>
      <c r="C66" s="124" t="s">
        <v>1174</v>
      </c>
      <c r="D66" s="378"/>
      <c r="E66" s="381" t="s">
        <v>1175</v>
      </c>
      <c r="F66" s="513" t="s">
        <v>1176</v>
      </c>
      <c r="G66" s="514"/>
      <c r="H66" s="514"/>
      <c r="I66" s="514"/>
      <c r="J66" s="514"/>
      <c r="K66" s="514" t="s">
        <v>1177</v>
      </c>
      <c r="L66" s="514"/>
      <c r="M66" s="54" t="s">
        <v>1173</v>
      </c>
      <c r="N66" s="514">
        <v>4</v>
      </c>
      <c r="O66" s="514"/>
      <c r="P66" s="515"/>
      <c r="Q66" s="515"/>
      <c r="R66" s="494" t="s">
        <v>1178</v>
      </c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3</v>
      </c>
      <c r="B67" s="512"/>
      <c r="C67" s="124"/>
      <c r="D67" s="378"/>
      <c r="E67" s="381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4</v>
      </c>
      <c r="B68" s="512"/>
      <c r="C68" s="124"/>
      <c r="D68" s="378"/>
      <c r="E68" s="381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5</v>
      </c>
      <c r="B69" s="512"/>
      <c r="C69" s="124"/>
      <c r="D69" s="378"/>
      <c r="E69" s="381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6</v>
      </c>
      <c r="B70" s="512"/>
      <c r="C70" s="124"/>
      <c r="D70" s="378"/>
      <c r="E70" s="381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5.5" customHeight="1">
      <c r="A71" s="511">
        <v>7</v>
      </c>
      <c r="B71" s="512"/>
      <c r="C71" s="124"/>
      <c r="D71" s="378"/>
      <c r="E71" s="381"/>
      <c r="F71" s="513"/>
      <c r="G71" s="514"/>
      <c r="H71" s="514"/>
      <c r="I71" s="514"/>
      <c r="J71" s="514"/>
      <c r="K71" s="514"/>
      <c r="L71" s="514"/>
      <c r="M71" s="54"/>
      <c r="N71" s="514"/>
      <c r="O71" s="514"/>
      <c r="P71" s="515"/>
      <c r="Q71" s="515"/>
      <c r="R71" s="494"/>
      <c r="S71" s="494"/>
      <c r="T71" s="494"/>
      <c r="U71" s="494"/>
      <c r="V71" s="494"/>
      <c r="W71" s="494"/>
      <c r="X71" s="494"/>
      <c r="Y71" s="494"/>
      <c r="Z71" s="494"/>
      <c r="AA71" s="494"/>
      <c r="AB71" s="514"/>
      <c r="AC71" s="514"/>
      <c r="AD71" s="516"/>
      <c r="AF71" s="53"/>
    </row>
    <row r="72" spans="1:32" ht="25.5" customHeight="1">
      <c r="A72" s="511">
        <v>8</v>
      </c>
      <c r="B72" s="512"/>
      <c r="C72" s="124"/>
      <c r="D72" s="378"/>
      <c r="E72" s="381"/>
      <c r="F72" s="513"/>
      <c r="G72" s="514"/>
      <c r="H72" s="514"/>
      <c r="I72" s="514"/>
      <c r="J72" s="514"/>
      <c r="K72" s="514"/>
      <c r="L72" s="514"/>
      <c r="M72" s="54"/>
      <c r="N72" s="514"/>
      <c r="O72" s="514"/>
      <c r="P72" s="515"/>
      <c r="Q72" s="515"/>
      <c r="R72" s="494"/>
      <c r="S72" s="494"/>
      <c r="T72" s="494"/>
      <c r="U72" s="494"/>
      <c r="V72" s="494"/>
      <c r="W72" s="494"/>
      <c r="X72" s="494"/>
      <c r="Y72" s="494"/>
      <c r="Z72" s="494"/>
      <c r="AA72" s="494"/>
      <c r="AB72" s="514"/>
      <c r="AC72" s="514"/>
      <c r="AD72" s="516"/>
      <c r="AF72" s="53"/>
    </row>
    <row r="73" spans="1:32" ht="26.25" customHeight="1" thickBot="1">
      <c r="A73" s="517" t="s">
        <v>1179</v>
      </c>
      <c r="B73" s="517"/>
      <c r="C73" s="517"/>
      <c r="D73" s="517"/>
      <c r="E73" s="517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518" t="s">
        <v>114</v>
      </c>
      <c r="B74" s="519"/>
      <c r="C74" s="380" t="s">
        <v>2</v>
      </c>
      <c r="D74" s="380" t="s">
        <v>37</v>
      </c>
      <c r="E74" s="380" t="s">
        <v>3</v>
      </c>
      <c r="F74" s="519" t="s">
        <v>38</v>
      </c>
      <c r="G74" s="519"/>
      <c r="H74" s="519"/>
      <c r="I74" s="519"/>
      <c r="J74" s="519"/>
      <c r="K74" s="520" t="s">
        <v>59</v>
      </c>
      <c r="L74" s="521"/>
      <c r="M74" s="521"/>
      <c r="N74" s="521"/>
      <c r="O74" s="521"/>
      <c r="P74" s="521"/>
      <c r="Q74" s="521"/>
      <c r="R74" s="521"/>
      <c r="S74" s="522"/>
      <c r="T74" s="519" t="s">
        <v>49</v>
      </c>
      <c r="U74" s="519"/>
      <c r="V74" s="520" t="s">
        <v>50</v>
      </c>
      <c r="W74" s="522"/>
      <c r="X74" s="521" t="s">
        <v>51</v>
      </c>
      <c r="Y74" s="521"/>
      <c r="Z74" s="521"/>
      <c r="AA74" s="521"/>
      <c r="AB74" s="521"/>
      <c r="AC74" s="521"/>
      <c r="AD74" s="523"/>
      <c r="AF74" s="53"/>
    </row>
    <row r="75" spans="1:32" ht="33.75" customHeight="1">
      <c r="A75" s="532">
        <v>1</v>
      </c>
      <c r="B75" s="533"/>
      <c r="C75" s="379" t="s">
        <v>117</v>
      </c>
      <c r="D75" s="379"/>
      <c r="E75" s="71" t="s">
        <v>123</v>
      </c>
      <c r="F75" s="534" t="s">
        <v>124</v>
      </c>
      <c r="G75" s="535"/>
      <c r="H75" s="535"/>
      <c r="I75" s="535"/>
      <c r="J75" s="536"/>
      <c r="K75" s="537" t="s">
        <v>119</v>
      </c>
      <c r="L75" s="538"/>
      <c r="M75" s="538"/>
      <c r="N75" s="538"/>
      <c r="O75" s="538"/>
      <c r="P75" s="538"/>
      <c r="Q75" s="538"/>
      <c r="R75" s="538"/>
      <c r="S75" s="539"/>
      <c r="T75" s="540">
        <v>42901</v>
      </c>
      <c r="U75" s="541"/>
      <c r="V75" s="542"/>
      <c r="W75" s="542"/>
      <c r="X75" s="543"/>
      <c r="Y75" s="543"/>
      <c r="Z75" s="543"/>
      <c r="AA75" s="543"/>
      <c r="AB75" s="543"/>
      <c r="AC75" s="543"/>
      <c r="AD75" s="544"/>
      <c r="AF75" s="53"/>
    </row>
    <row r="76" spans="1:32" ht="30" customHeight="1">
      <c r="A76" s="524">
        <f>A75+1</f>
        <v>2</v>
      </c>
      <c r="B76" s="525"/>
      <c r="C76" s="378" t="s">
        <v>117</v>
      </c>
      <c r="D76" s="378"/>
      <c r="E76" s="35" t="s">
        <v>120</v>
      </c>
      <c r="F76" s="525" t="s">
        <v>121</v>
      </c>
      <c r="G76" s="525"/>
      <c r="H76" s="525"/>
      <c r="I76" s="525"/>
      <c r="J76" s="525"/>
      <c r="K76" s="526" t="s">
        <v>122</v>
      </c>
      <c r="L76" s="527"/>
      <c r="M76" s="527"/>
      <c r="N76" s="527"/>
      <c r="O76" s="527"/>
      <c r="P76" s="527"/>
      <c r="Q76" s="527"/>
      <c r="R76" s="527"/>
      <c r="S76" s="528"/>
      <c r="T76" s="529">
        <v>42867</v>
      </c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ref="A77:A83" si="37">A76+1</f>
        <v>3</v>
      </c>
      <c r="B77" s="525"/>
      <c r="C77" s="378" t="s">
        <v>133</v>
      </c>
      <c r="D77" s="378"/>
      <c r="E77" s="35" t="s">
        <v>131</v>
      </c>
      <c r="F77" s="525" t="s">
        <v>134</v>
      </c>
      <c r="G77" s="525"/>
      <c r="H77" s="525"/>
      <c r="I77" s="525"/>
      <c r="J77" s="525"/>
      <c r="K77" s="526" t="s">
        <v>119</v>
      </c>
      <c r="L77" s="527"/>
      <c r="M77" s="527"/>
      <c r="N77" s="527"/>
      <c r="O77" s="527"/>
      <c r="P77" s="527"/>
      <c r="Q77" s="527"/>
      <c r="R77" s="527"/>
      <c r="S77" s="528"/>
      <c r="T77" s="529">
        <v>42937</v>
      </c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37"/>
        <v>4</v>
      </c>
      <c r="B78" s="525"/>
      <c r="C78" s="378"/>
      <c r="D78" s="378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37"/>
        <v>5</v>
      </c>
      <c r="B79" s="525"/>
      <c r="C79" s="378"/>
      <c r="D79" s="378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37"/>
        <v>6</v>
      </c>
      <c r="B80" s="525"/>
      <c r="C80" s="378"/>
      <c r="D80" s="378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37"/>
        <v>7</v>
      </c>
      <c r="B81" s="525"/>
      <c r="C81" s="378"/>
      <c r="D81" s="378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0" customHeight="1">
      <c r="A82" s="524">
        <f t="shared" si="37"/>
        <v>8</v>
      </c>
      <c r="B82" s="525"/>
      <c r="C82" s="378"/>
      <c r="D82" s="378"/>
      <c r="E82" s="35"/>
      <c r="F82" s="525"/>
      <c r="G82" s="525"/>
      <c r="H82" s="525"/>
      <c r="I82" s="525"/>
      <c r="J82" s="525"/>
      <c r="K82" s="526"/>
      <c r="L82" s="527"/>
      <c r="M82" s="527"/>
      <c r="N82" s="527"/>
      <c r="O82" s="527"/>
      <c r="P82" s="527"/>
      <c r="Q82" s="527"/>
      <c r="R82" s="527"/>
      <c r="S82" s="528"/>
      <c r="T82" s="529"/>
      <c r="U82" s="529"/>
      <c r="V82" s="529"/>
      <c r="W82" s="529"/>
      <c r="X82" s="530"/>
      <c r="Y82" s="530"/>
      <c r="Z82" s="530"/>
      <c r="AA82" s="530"/>
      <c r="AB82" s="530"/>
      <c r="AC82" s="530"/>
      <c r="AD82" s="531"/>
      <c r="AF82" s="53"/>
    </row>
    <row r="83" spans="1:32" ht="30" customHeight="1">
      <c r="A83" s="524">
        <f t="shared" si="37"/>
        <v>9</v>
      </c>
      <c r="B83" s="525"/>
      <c r="C83" s="378"/>
      <c r="D83" s="378"/>
      <c r="E83" s="35"/>
      <c r="F83" s="525"/>
      <c r="G83" s="525"/>
      <c r="H83" s="525"/>
      <c r="I83" s="525"/>
      <c r="J83" s="525"/>
      <c r="K83" s="526"/>
      <c r="L83" s="527"/>
      <c r="M83" s="527"/>
      <c r="N83" s="527"/>
      <c r="O83" s="527"/>
      <c r="P83" s="527"/>
      <c r="Q83" s="527"/>
      <c r="R83" s="527"/>
      <c r="S83" s="528"/>
      <c r="T83" s="529"/>
      <c r="U83" s="529"/>
      <c r="V83" s="529"/>
      <c r="W83" s="529"/>
      <c r="X83" s="530"/>
      <c r="Y83" s="530"/>
      <c r="Z83" s="530"/>
      <c r="AA83" s="530"/>
      <c r="AB83" s="530"/>
      <c r="AC83" s="530"/>
      <c r="AD83" s="531"/>
      <c r="AF83" s="53"/>
    </row>
    <row r="84" spans="1:32" ht="36" thickBot="1">
      <c r="A84" s="517" t="s">
        <v>1180</v>
      </c>
      <c r="B84" s="517"/>
      <c r="C84" s="517"/>
      <c r="D84" s="517"/>
      <c r="E84" s="517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518" t="s">
        <v>114</v>
      </c>
      <c r="B85" s="519"/>
      <c r="C85" s="545" t="s">
        <v>52</v>
      </c>
      <c r="D85" s="545"/>
      <c r="E85" s="545" t="s">
        <v>53</v>
      </c>
      <c r="F85" s="545"/>
      <c r="G85" s="545"/>
      <c r="H85" s="545"/>
      <c r="I85" s="545"/>
      <c r="J85" s="545"/>
      <c r="K85" s="545" t="s">
        <v>54</v>
      </c>
      <c r="L85" s="545"/>
      <c r="M85" s="545"/>
      <c r="N85" s="545"/>
      <c r="O85" s="545"/>
      <c r="P85" s="545"/>
      <c r="Q85" s="545"/>
      <c r="R85" s="545"/>
      <c r="S85" s="545"/>
      <c r="T85" s="545" t="s">
        <v>55</v>
      </c>
      <c r="U85" s="545"/>
      <c r="V85" s="545" t="s">
        <v>56</v>
      </c>
      <c r="W85" s="545"/>
      <c r="X85" s="545"/>
      <c r="Y85" s="545" t="s">
        <v>51</v>
      </c>
      <c r="Z85" s="545"/>
      <c r="AA85" s="545"/>
      <c r="AB85" s="545"/>
      <c r="AC85" s="545"/>
      <c r="AD85" s="546"/>
      <c r="AF85" s="53"/>
    </row>
    <row r="86" spans="1:32" ht="30.75" customHeight="1">
      <c r="A86" s="532">
        <v>1</v>
      </c>
      <c r="B86" s="533"/>
      <c r="C86" s="547"/>
      <c r="D86" s="547"/>
      <c r="E86" s="547"/>
      <c r="F86" s="547"/>
      <c r="G86" s="547"/>
      <c r="H86" s="547"/>
      <c r="I86" s="547"/>
      <c r="J86" s="547"/>
      <c r="K86" s="547"/>
      <c r="L86" s="547"/>
      <c r="M86" s="547"/>
      <c r="N86" s="547"/>
      <c r="O86" s="547"/>
      <c r="P86" s="547"/>
      <c r="Q86" s="547"/>
      <c r="R86" s="547"/>
      <c r="S86" s="547"/>
      <c r="T86" s="547"/>
      <c r="U86" s="547"/>
      <c r="V86" s="548"/>
      <c r="W86" s="548"/>
      <c r="X86" s="548"/>
      <c r="Y86" s="549"/>
      <c r="Z86" s="549"/>
      <c r="AA86" s="549"/>
      <c r="AB86" s="549"/>
      <c r="AC86" s="549"/>
      <c r="AD86" s="550"/>
      <c r="AF86" s="53"/>
    </row>
    <row r="87" spans="1:32" ht="30.75" customHeight="1">
      <c r="A87" s="524">
        <v>2</v>
      </c>
      <c r="B87" s="525"/>
      <c r="C87" s="558"/>
      <c r="D87" s="558"/>
      <c r="E87" s="558"/>
      <c r="F87" s="558"/>
      <c r="G87" s="558"/>
      <c r="H87" s="558"/>
      <c r="I87" s="558"/>
      <c r="J87" s="558"/>
      <c r="K87" s="558"/>
      <c r="L87" s="558"/>
      <c r="M87" s="558"/>
      <c r="N87" s="558"/>
      <c r="O87" s="558"/>
      <c r="P87" s="558"/>
      <c r="Q87" s="558"/>
      <c r="R87" s="558"/>
      <c r="S87" s="558"/>
      <c r="T87" s="559"/>
      <c r="U87" s="559"/>
      <c r="V87" s="560"/>
      <c r="W87" s="560"/>
      <c r="X87" s="560"/>
      <c r="Y87" s="551"/>
      <c r="Z87" s="551"/>
      <c r="AA87" s="551"/>
      <c r="AB87" s="551"/>
      <c r="AC87" s="551"/>
      <c r="AD87" s="552"/>
      <c r="AF87" s="53"/>
    </row>
    <row r="88" spans="1:32" ht="30.75" customHeight="1" thickBot="1">
      <c r="A88" s="553">
        <v>3</v>
      </c>
      <c r="B88" s="554"/>
      <c r="C88" s="555"/>
      <c r="D88" s="555"/>
      <c r="E88" s="555"/>
      <c r="F88" s="555"/>
      <c r="G88" s="555"/>
      <c r="H88" s="555"/>
      <c r="I88" s="555"/>
      <c r="J88" s="555"/>
      <c r="K88" s="555"/>
      <c r="L88" s="555"/>
      <c r="M88" s="555"/>
      <c r="N88" s="555"/>
      <c r="O88" s="555"/>
      <c r="P88" s="555"/>
      <c r="Q88" s="555"/>
      <c r="R88" s="555"/>
      <c r="S88" s="555"/>
      <c r="T88" s="555"/>
      <c r="U88" s="555"/>
      <c r="V88" s="555"/>
      <c r="W88" s="555"/>
      <c r="X88" s="555"/>
      <c r="Y88" s="556"/>
      <c r="Z88" s="556"/>
      <c r="AA88" s="556"/>
      <c r="AB88" s="556"/>
      <c r="AC88" s="556"/>
      <c r="AD88" s="557"/>
      <c r="AF88" s="53"/>
    </row>
  </sheetData>
  <mergeCells count="230"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9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zoomScale="72" zoomScaleNormal="72" zoomScaleSheetLayoutView="70" workbookViewId="0">
      <selection activeCell="A3" sqref="A3:G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51" t="s">
        <v>1211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6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390" t="s">
        <v>17</v>
      </c>
      <c r="L5" s="390" t="s">
        <v>18</v>
      </c>
      <c r="M5" s="390" t="s">
        <v>19</v>
      </c>
      <c r="N5" s="390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6" ht="27" customHeight="1">
      <c r="A6" s="108">
        <v>1</v>
      </c>
      <c r="B6" s="11" t="s">
        <v>58</v>
      </c>
      <c r="C6" s="37" t="s">
        <v>230</v>
      </c>
      <c r="D6" s="55" t="s">
        <v>1181</v>
      </c>
      <c r="E6" s="57" t="s">
        <v>1182</v>
      </c>
      <c r="F6" s="33" t="s">
        <v>1183</v>
      </c>
      <c r="G6" s="12">
        <v>1</v>
      </c>
      <c r="H6" s="13">
        <v>25</v>
      </c>
      <c r="I6" s="34">
        <v>45000</v>
      </c>
      <c r="J6" s="5">
        <v>1430</v>
      </c>
      <c r="K6" s="15">
        <f>L6</f>
        <v>1421</v>
      </c>
      <c r="L6" s="15">
        <f>1421</f>
        <v>1421</v>
      </c>
      <c r="M6" s="16">
        <f t="shared" ref="M6:M20" si="0">L6-N6</f>
        <v>1421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9</v>
      </c>
      <c r="Q6" s="43">
        <f t="shared" ref="Q6:Q20" si="3">SUM(R6:AA6)</f>
        <v>15</v>
      </c>
      <c r="R6" s="7"/>
      <c r="S6" s="6"/>
      <c r="T6" s="17">
        <v>1</v>
      </c>
      <c r="U6" s="17"/>
      <c r="V6" s="18">
        <v>14</v>
      </c>
      <c r="W6" s="19"/>
      <c r="X6" s="17"/>
      <c r="Y6" s="20"/>
      <c r="Z6" s="20"/>
      <c r="AA6" s="21"/>
      <c r="AB6" s="8">
        <f t="shared" ref="AB6:AB20" si="4">IF(J6=0,"0",(L6/J6))</f>
        <v>0.99370629370629371</v>
      </c>
      <c r="AC6" s="9">
        <f t="shared" ref="AC6:AC20" si="5">IF(P6=0,"0",(P6/24))</f>
        <v>0.375</v>
      </c>
      <c r="AD6" s="10">
        <f t="shared" ref="AD6:AD20" si="6">AC6*AB6*(1-O6)</f>
        <v>0.37263986013986017</v>
      </c>
      <c r="AE6" s="39">
        <f t="shared" ref="AE6:AE20" si="7">$AD$21</f>
        <v>0.24388994647918052</v>
      </c>
      <c r="AF6" s="94">
        <f t="shared" ref="AF6:AF20" si="8">A6</f>
        <v>1</v>
      </c>
    </row>
    <row r="7" spans="1:36" ht="27" customHeight="1">
      <c r="A7" s="108">
        <v>2</v>
      </c>
      <c r="B7" s="11" t="s">
        <v>58</v>
      </c>
      <c r="C7" s="37" t="s">
        <v>1139</v>
      </c>
      <c r="D7" s="55" t="s">
        <v>1140</v>
      </c>
      <c r="E7" s="57" t="s">
        <v>1141</v>
      </c>
      <c r="F7" s="33" t="s">
        <v>1058</v>
      </c>
      <c r="G7" s="12">
        <v>1</v>
      </c>
      <c r="H7" s="13">
        <v>25</v>
      </c>
      <c r="I7" s="34">
        <v>40000</v>
      </c>
      <c r="J7" s="5">
        <v>2320</v>
      </c>
      <c r="K7" s="15">
        <f>L7+2531</f>
        <v>4842</v>
      </c>
      <c r="L7" s="15">
        <f>2311</f>
        <v>2311</v>
      </c>
      <c r="M7" s="16">
        <f t="shared" si="0"/>
        <v>2311</v>
      </c>
      <c r="N7" s="16">
        <v>0</v>
      </c>
      <c r="O7" s="62">
        <f t="shared" si="1"/>
        <v>0</v>
      </c>
      <c r="P7" s="42">
        <f t="shared" si="2"/>
        <v>10</v>
      </c>
      <c r="Q7" s="43">
        <f t="shared" si="3"/>
        <v>14</v>
      </c>
      <c r="R7" s="7"/>
      <c r="S7" s="6"/>
      <c r="T7" s="17"/>
      <c r="U7" s="17"/>
      <c r="V7" s="18">
        <v>14</v>
      </c>
      <c r="W7" s="19"/>
      <c r="X7" s="17"/>
      <c r="Y7" s="20"/>
      <c r="Z7" s="20"/>
      <c r="AA7" s="21"/>
      <c r="AB7" s="8">
        <f t="shared" si="4"/>
        <v>0.99612068965517242</v>
      </c>
      <c r="AC7" s="9">
        <f t="shared" si="5"/>
        <v>0.41666666666666669</v>
      </c>
      <c r="AD7" s="10">
        <f t="shared" si="6"/>
        <v>0.41505028735632188</v>
      </c>
      <c r="AE7" s="39">
        <f t="shared" si="7"/>
        <v>0.24388994647918052</v>
      </c>
      <c r="AF7" s="94">
        <f t="shared" si="8"/>
        <v>2</v>
      </c>
    </row>
    <row r="8" spans="1:36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50000</v>
      </c>
      <c r="J8" s="14">
        <v>2690</v>
      </c>
      <c r="K8" s="15">
        <f>L8+4093+2190+5474+6124+1911+2500+4543+5167+5773</f>
        <v>40457</v>
      </c>
      <c r="L8" s="15">
        <v>2682</v>
      </c>
      <c r="M8" s="16">
        <f t="shared" si="0"/>
        <v>2682</v>
      </c>
      <c r="N8" s="16">
        <v>0</v>
      </c>
      <c r="O8" s="62">
        <f t="shared" si="1"/>
        <v>0</v>
      </c>
      <c r="P8" s="42">
        <f t="shared" si="2"/>
        <v>10</v>
      </c>
      <c r="Q8" s="43">
        <f t="shared" si="3"/>
        <v>14</v>
      </c>
      <c r="R8" s="7"/>
      <c r="S8" s="6"/>
      <c r="T8" s="17"/>
      <c r="U8" s="17"/>
      <c r="V8" s="18">
        <v>14</v>
      </c>
      <c r="W8" s="19"/>
      <c r="X8" s="17"/>
      <c r="Y8" s="20"/>
      <c r="Z8" s="20"/>
      <c r="AA8" s="21"/>
      <c r="AB8" s="8">
        <f t="shared" si="4"/>
        <v>0.99702602230483273</v>
      </c>
      <c r="AC8" s="9">
        <f t="shared" si="5"/>
        <v>0.41666666666666669</v>
      </c>
      <c r="AD8" s="10">
        <f t="shared" si="6"/>
        <v>0.41542750929368033</v>
      </c>
      <c r="AE8" s="39">
        <f t="shared" si="7"/>
        <v>0.24388994647918052</v>
      </c>
      <c r="AF8" s="94">
        <f>A8</f>
        <v>3</v>
      </c>
    </row>
    <row r="9" spans="1:36" ht="27" customHeight="1">
      <c r="A9" s="110">
        <v>4</v>
      </c>
      <c r="B9" s="11" t="s">
        <v>58</v>
      </c>
      <c r="C9" s="37" t="s">
        <v>118</v>
      </c>
      <c r="D9" s="55" t="s">
        <v>1142</v>
      </c>
      <c r="E9" s="57" t="s">
        <v>1143</v>
      </c>
      <c r="F9" s="33" t="s">
        <v>1144</v>
      </c>
      <c r="G9" s="36">
        <v>1</v>
      </c>
      <c r="H9" s="38">
        <v>25</v>
      </c>
      <c r="I9" s="7">
        <v>45000</v>
      </c>
      <c r="J9" s="5">
        <v>1240</v>
      </c>
      <c r="K9" s="15">
        <f>L9+3535</f>
        <v>4774</v>
      </c>
      <c r="L9" s="15">
        <v>1239</v>
      </c>
      <c r="M9" s="16">
        <f t="shared" si="0"/>
        <v>1239</v>
      </c>
      <c r="N9" s="16">
        <v>0</v>
      </c>
      <c r="O9" s="62">
        <f t="shared" si="1"/>
        <v>0</v>
      </c>
      <c r="P9" s="42">
        <f t="shared" si="2"/>
        <v>7</v>
      </c>
      <c r="Q9" s="43">
        <f t="shared" si="3"/>
        <v>17</v>
      </c>
      <c r="R9" s="7"/>
      <c r="S9" s="6">
        <v>17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0.99919354838709673</v>
      </c>
      <c r="AC9" s="9">
        <f t="shared" si="5"/>
        <v>0.29166666666666669</v>
      </c>
      <c r="AD9" s="10">
        <f t="shared" si="6"/>
        <v>0.29143145161290324</v>
      </c>
      <c r="AE9" s="39">
        <f t="shared" si="7"/>
        <v>0.24388994647918052</v>
      </c>
      <c r="AF9" s="94">
        <f t="shared" ref="AF9:AF10" si="9">A9</f>
        <v>4</v>
      </c>
    </row>
    <row r="10" spans="1:36" ht="27" customHeight="1">
      <c r="A10" s="110">
        <v>5</v>
      </c>
      <c r="B10" s="11" t="s">
        <v>58</v>
      </c>
      <c r="C10" s="11" t="s">
        <v>1100</v>
      </c>
      <c r="D10" s="55" t="s">
        <v>1145</v>
      </c>
      <c r="E10" s="57" t="s">
        <v>1146</v>
      </c>
      <c r="F10" s="12" t="s">
        <v>135</v>
      </c>
      <c r="G10" s="12">
        <v>1</v>
      </c>
      <c r="H10" s="13">
        <v>25</v>
      </c>
      <c r="I10" s="34">
        <v>1000</v>
      </c>
      <c r="J10" s="14">
        <v>1520</v>
      </c>
      <c r="K10" s="15">
        <f>L10+1520</f>
        <v>1520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0.24388994647918052</v>
      </c>
      <c r="AF10" s="94">
        <f t="shared" si="9"/>
        <v>5</v>
      </c>
    </row>
    <row r="11" spans="1:36" ht="27" customHeight="1">
      <c r="A11" s="110">
        <v>6</v>
      </c>
      <c r="B11" s="11" t="s">
        <v>58</v>
      </c>
      <c r="C11" s="11" t="s">
        <v>133</v>
      </c>
      <c r="D11" s="55" t="s">
        <v>131</v>
      </c>
      <c r="E11" s="57" t="s">
        <v>700</v>
      </c>
      <c r="F11" s="12" t="s">
        <v>166</v>
      </c>
      <c r="G11" s="12">
        <v>1</v>
      </c>
      <c r="H11" s="13">
        <v>25</v>
      </c>
      <c r="I11" s="34">
        <v>40000</v>
      </c>
      <c r="J11" s="14">
        <v>2920</v>
      </c>
      <c r="K11" s="15">
        <f>L11+2724+6303+6504+3472+2821+4925+6265+4473+6359</f>
        <v>46761</v>
      </c>
      <c r="L11" s="15">
        <v>2915</v>
      </c>
      <c r="M11" s="16">
        <f t="shared" si="0"/>
        <v>2915</v>
      </c>
      <c r="N11" s="16">
        <v>0</v>
      </c>
      <c r="O11" s="62">
        <f t="shared" si="1"/>
        <v>0</v>
      </c>
      <c r="P11" s="42">
        <f t="shared" si="2"/>
        <v>10</v>
      </c>
      <c r="Q11" s="43">
        <f t="shared" si="3"/>
        <v>14</v>
      </c>
      <c r="R11" s="7"/>
      <c r="S11" s="6"/>
      <c r="T11" s="17"/>
      <c r="U11" s="17"/>
      <c r="V11" s="18">
        <v>14</v>
      </c>
      <c r="W11" s="19"/>
      <c r="X11" s="17"/>
      <c r="Y11" s="20"/>
      <c r="Z11" s="20"/>
      <c r="AA11" s="21"/>
      <c r="AB11" s="8">
        <f t="shared" si="4"/>
        <v>0.99828767123287676</v>
      </c>
      <c r="AC11" s="9">
        <f t="shared" si="5"/>
        <v>0.41666666666666669</v>
      </c>
      <c r="AD11" s="10">
        <f t="shared" si="6"/>
        <v>0.41595319634703198</v>
      </c>
      <c r="AE11" s="39">
        <f t="shared" si="7"/>
        <v>0.24388994647918052</v>
      </c>
      <c r="AF11" s="94">
        <f t="shared" si="8"/>
        <v>6</v>
      </c>
    </row>
    <row r="12" spans="1:36" ht="27" customHeight="1">
      <c r="A12" s="110">
        <v>7</v>
      </c>
      <c r="B12" s="11" t="s">
        <v>58</v>
      </c>
      <c r="C12" s="11" t="s">
        <v>1100</v>
      </c>
      <c r="D12" s="55" t="s">
        <v>136</v>
      </c>
      <c r="E12" s="57" t="s">
        <v>1102</v>
      </c>
      <c r="F12" s="12" t="s">
        <v>1103</v>
      </c>
      <c r="G12" s="12">
        <v>1</v>
      </c>
      <c r="H12" s="13">
        <v>25</v>
      </c>
      <c r="I12" s="7">
        <v>25000</v>
      </c>
      <c r="J12" s="14">
        <v>2160</v>
      </c>
      <c r="K12" s="15">
        <f>L12+2195+4079</f>
        <v>8427</v>
      </c>
      <c r="L12" s="15">
        <v>2153</v>
      </c>
      <c r="M12" s="16">
        <f t="shared" si="0"/>
        <v>2153</v>
      </c>
      <c r="N12" s="16">
        <v>0</v>
      </c>
      <c r="O12" s="62">
        <f t="shared" si="1"/>
        <v>0</v>
      </c>
      <c r="P12" s="42">
        <f t="shared" si="2"/>
        <v>10</v>
      </c>
      <c r="Q12" s="43">
        <f t="shared" si="3"/>
        <v>14</v>
      </c>
      <c r="R12" s="7"/>
      <c r="S12" s="6"/>
      <c r="T12" s="17"/>
      <c r="U12" s="17"/>
      <c r="V12" s="18">
        <v>14</v>
      </c>
      <c r="W12" s="19"/>
      <c r="X12" s="17"/>
      <c r="Y12" s="20"/>
      <c r="Z12" s="20"/>
      <c r="AA12" s="21"/>
      <c r="AB12" s="8">
        <f t="shared" si="4"/>
        <v>0.99675925925925923</v>
      </c>
      <c r="AC12" s="9">
        <f t="shared" si="5"/>
        <v>0.41666666666666669</v>
      </c>
      <c r="AD12" s="10">
        <f t="shared" si="6"/>
        <v>0.41531635802469136</v>
      </c>
      <c r="AE12" s="39">
        <f t="shared" si="7"/>
        <v>0.24388994647918052</v>
      </c>
      <c r="AF12" s="94">
        <f t="shared" si="8"/>
        <v>7</v>
      </c>
    </row>
    <row r="13" spans="1:36" ht="27" customHeight="1">
      <c r="A13" s="110">
        <v>8</v>
      </c>
      <c r="B13" s="11" t="s">
        <v>58</v>
      </c>
      <c r="C13" s="11" t="s">
        <v>133</v>
      </c>
      <c r="D13" s="55" t="s">
        <v>164</v>
      </c>
      <c r="E13" s="57" t="s">
        <v>1017</v>
      </c>
      <c r="F13" s="12" t="s">
        <v>142</v>
      </c>
      <c r="G13" s="12">
        <v>2</v>
      </c>
      <c r="H13" s="13">
        <v>25</v>
      </c>
      <c r="I13" s="7">
        <v>25000</v>
      </c>
      <c r="J13" s="14">
        <v>4270</v>
      </c>
      <c r="K13" s="15">
        <f>L13+7902+10038+2630+6060</f>
        <v>30898</v>
      </c>
      <c r="L13" s="15">
        <f>2134*2</f>
        <v>4268</v>
      </c>
      <c r="M13" s="16">
        <f t="shared" si="0"/>
        <v>4268</v>
      </c>
      <c r="N13" s="16">
        <v>0</v>
      </c>
      <c r="O13" s="62">
        <f t="shared" si="1"/>
        <v>0</v>
      </c>
      <c r="P13" s="42">
        <f t="shared" si="2"/>
        <v>10</v>
      </c>
      <c r="Q13" s="43">
        <f t="shared" si="3"/>
        <v>14</v>
      </c>
      <c r="R13" s="7"/>
      <c r="S13" s="6"/>
      <c r="T13" s="17"/>
      <c r="U13" s="17"/>
      <c r="V13" s="18">
        <v>14</v>
      </c>
      <c r="W13" s="19"/>
      <c r="X13" s="17"/>
      <c r="Y13" s="20"/>
      <c r="Z13" s="20"/>
      <c r="AA13" s="21"/>
      <c r="AB13" s="8">
        <f t="shared" si="4"/>
        <v>0.99953161592505857</v>
      </c>
      <c r="AC13" s="9">
        <f t="shared" si="5"/>
        <v>0.41666666666666669</v>
      </c>
      <c r="AD13" s="10">
        <f t="shared" si="6"/>
        <v>0.41647150663544108</v>
      </c>
      <c r="AE13" s="39">
        <f t="shared" si="7"/>
        <v>0.24388994647918052</v>
      </c>
      <c r="AF13" s="94">
        <f t="shared" si="8"/>
        <v>8</v>
      </c>
    </row>
    <row r="14" spans="1:36" ht="27" customHeight="1">
      <c r="A14" s="109">
        <v>9</v>
      </c>
      <c r="B14" s="11" t="s">
        <v>58</v>
      </c>
      <c r="C14" s="37" t="s">
        <v>228</v>
      </c>
      <c r="D14" s="55" t="s">
        <v>1059</v>
      </c>
      <c r="E14" s="57" t="s">
        <v>1104</v>
      </c>
      <c r="F14" s="33" t="s">
        <v>1105</v>
      </c>
      <c r="G14" s="36">
        <v>1</v>
      </c>
      <c r="H14" s="38">
        <v>25</v>
      </c>
      <c r="I14" s="7">
        <v>300</v>
      </c>
      <c r="J14" s="5">
        <v>76</v>
      </c>
      <c r="K14" s="15">
        <f>L14+76</f>
        <v>76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>
        <v>24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0.24388994647918052</v>
      </c>
      <c r="AF14" s="94">
        <f t="shared" si="8"/>
        <v>9</v>
      </c>
    </row>
    <row r="15" spans="1:36" ht="27" customHeight="1">
      <c r="A15" s="109">
        <v>10</v>
      </c>
      <c r="B15" s="11" t="s">
        <v>58</v>
      </c>
      <c r="C15" s="11" t="s">
        <v>195</v>
      </c>
      <c r="D15" s="55" t="s">
        <v>967</v>
      </c>
      <c r="E15" s="57" t="s">
        <v>968</v>
      </c>
      <c r="F15" s="12">
        <v>8301</v>
      </c>
      <c r="G15" s="12">
        <v>1</v>
      </c>
      <c r="H15" s="13">
        <v>20</v>
      </c>
      <c r="I15" s="34">
        <v>500</v>
      </c>
      <c r="J15" s="14">
        <v>1590</v>
      </c>
      <c r="K15" s="15">
        <f>L15+1585</f>
        <v>1585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0.24388994647918052</v>
      </c>
      <c r="AF15" s="94">
        <f t="shared" si="8"/>
        <v>10</v>
      </c>
    </row>
    <row r="16" spans="1:36" ht="27.75" customHeight="1">
      <c r="A16" s="109">
        <v>11</v>
      </c>
      <c r="B16" s="11" t="s">
        <v>58</v>
      </c>
      <c r="C16" s="11" t="s">
        <v>133</v>
      </c>
      <c r="D16" s="55" t="s">
        <v>900</v>
      </c>
      <c r="E16" s="56" t="s">
        <v>901</v>
      </c>
      <c r="F16" s="12">
        <v>7301</v>
      </c>
      <c r="G16" s="36">
        <v>1</v>
      </c>
      <c r="H16" s="38">
        <v>25</v>
      </c>
      <c r="I16" s="7">
        <v>40000</v>
      </c>
      <c r="J16" s="14">
        <v>1920</v>
      </c>
      <c r="K16" s="15">
        <f>L16+1291+540+704+4156</f>
        <v>8609</v>
      </c>
      <c r="L16" s="15">
        <v>1918</v>
      </c>
      <c r="M16" s="16">
        <f t="shared" si="0"/>
        <v>1918</v>
      </c>
      <c r="N16" s="16">
        <v>0</v>
      </c>
      <c r="O16" s="62">
        <f t="shared" si="1"/>
        <v>0</v>
      </c>
      <c r="P16" s="42">
        <f t="shared" si="2"/>
        <v>8</v>
      </c>
      <c r="Q16" s="43">
        <f t="shared" si="3"/>
        <v>16</v>
      </c>
      <c r="R16" s="7"/>
      <c r="S16" s="6">
        <v>16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0.99895833333333328</v>
      </c>
      <c r="AC16" s="9">
        <f t="shared" si="5"/>
        <v>0.33333333333333331</v>
      </c>
      <c r="AD16" s="10">
        <f t="shared" si="6"/>
        <v>0.33298611111111109</v>
      </c>
      <c r="AE16" s="39">
        <f t="shared" si="7"/>
        <v>0.24388994647918052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58</v>
      </c>
      <c r="C17" s="37" t="s">
        <v>133</v>
      </c>
      <c r="D17" s="55" t="s">
        <v>190</v>
      </c>
      <c r="E17" s="56" t="s">
        <v>1063</v>
      </c>
      <c r="F17" s="12" t="s">
        <v>281</v>
      </c>
      <c r="G17" s="12">
        <v>1</v>
      </c>
      <c r="H17" s="13">
        <v>25</v>
      </c>
      <c r="I17" s="34">
        <v>25000</v>
      </c>
      <c r="J17" s="5">
        <v>7920</v>
      </c>
      <c r="K17" s="15">
        <f>L17+20832+7920</f>
        <v>28752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0.24388994647918052</v>
      </c>
      <c r="AF17" s="94">
        <f t="shared" ref="AF17" si="10">A17</f>
        <v>12</v>
      </c>
    </row>
    <row r="18" spans="1:32" ht="27" customHeight="1">
      <c r="A18" s="110">
        <v>13</v>
      </c>
      <c r="B18" s="11" t="s">
        <v>58</v>
      </c>
      <c r="C18" s="37" t="s">
        <v>118</v>
      </c>
      <c r="D18" s="55" t="s">
        <v>904</v>
      </c>
      <c r="E18" s="57" t="s">
        <v>905</v>
      </c>
      <c r="F18" s="33" t="s">
        <v>142</v>
      </c>
      <c r="G18" s="36">
        <v>1</v>
      </c>
      <c r="H18" s="38">
        <v>25</v>
      </c>
      <c r="I18" s="7">
        <v>50000</v>
      </c>
      <c r="J18" s="5">
        <v>2081</v>
      </c>
      <c r="K18" s="15">
        <f>L18+4454+5087+5573+4618+2034+3753+5521</f>
        <v>33121</v>
      </c>
      <c r="L18" s="15">
        <v>2081</v>
      </c>
      <c r="M18" s="16">
        <f t="shared" si="0"/>
        <v>2081</v>
      </c>
      <c r="N18" s="16">
        <v>0</v>
      </c>
      <c r="O18" s="62">
        <f t="shared" si="1"/>
        <v>0</v>
      </c>
      <c r="P18" s="42">
        <f t="shared" si="2"/>
        <v>10</v>
      </c>
      <c r="Q18" s="43">
        <f t="shared" si="3"/>
        <v>14</v>
      </c>
      <c r="R18" s="7"/>
      <c r="S18" s="6"/>
      <c r="T18" s="17"/>
      <c r="U18" s="17"/>
      <c r="V18" s="18">
        <v>14</v>
      </c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0.41666666666666669</v>
      </c>
      <c r="AD18" s="10">
        <f t="shared" si="6"/>
        <v>0.41666666666666669</v>
      </c>
      <c r="AE18" s="39">
        <f t="shared" si="7"/>
        <v>0.24388994647918052</v>
      </c>
      <c r="AF18" s="94">
        <f t="shared" si="8"/>
        <v>13</v>
      </c>
    </row>
    <row r="19" spans="1:32" ht="27" customHeight="1">
      <c r="A19" s="110">
        <v>14</v>
      </c>
      <c r="B19" s="11" t="s">
        <v>58</v>
      </c>
      <c r="C19" s="11" t="s">
        <v>118</v>
      </c>
      <c r="D19" s="55" t="s">
        <v>57</v>
      </c>
      <c r="E19" s="57" t="s">
        <v>160</v>
      </c>
      <c r="F19" s="12" t="s">
        <v>145</v>
      </c>
      <c r="G19" s="12">
        <v>1</v>
      </c>
      <c r="H19" s="13">
        <v>25</v>
      </c>
      <c r="I19" s="7">
        <v>52000</v>
      </c>
      <c r="J19" s="14">
        <v>640</v>
      </c>
      <c r="K19" s="15">
        <f>L19+4424+5402+3684+3104+5222+5230+5262+2977</f>
        <v>35944</v>
      </c>
      <c r="L19" s="15">
        <v>639</v>
      </c>
      <c r="M19" s="16">
        <f t="shared" si="0"/>
        <v>639</v>
      </c>
      <c r="N19" s="16">
        <v>0</v>
      </c>
      <c r="O19" s="62">
        <f t="shared" si="1"/>
        <v>0</v>
      </c>
      <c r="P19" s="42">
        <f t="shared" si="2"/>
        <v>4</v>
      </c>
      <c r="Q19" s="43">
        <f t="shared" si="3"/>
        <v>20</v>
      </c>
      <c r="R19" s="7"/>
      <c r="S19" s="6">
        <v>20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0.99843749999999998</v>
      </c>
      <c r="AC19" s="9">
        <f t="shared" si="5"/>
        <v>0.16666666666666666</v>
      </c>
      <c r="AD19" s="10">
        <f t="shared" si="6"/>
        <v>0.16640624999999998</v>
      </c>
      <c r="AE19" s="39">
        <f t="shared" si="7"/>
        <v>0.24388994647918052</v>
      </c>
      <c r="AF19" s="94">
        <f t="shared" si="8"/>
        <v>14</v>
      </c>
    </row>
    <row r="20" spans="1:32" ht="27" customHeight="1" thickBot="1">
      <c r="A20" s="110">
        <v>15</v>
      </c>
      <c r="B20" s="11" t="s">
        <v>58</v>
      </c>
      <c r="C20" s="11" t="s">
        <v>115</v>
      </c>
      <c r="D20" s="55"/>
      <c r="E20" s="56" t="s">
        <v>906</v>
      </c>
      <c r="F20" s="12" t="s">
        <v>116</v>
      </c>
      <c r="G20" s="12">
        <v>4</v>
      </c>
      <c r="H20" s="38">
        <v>15</v>
      </c>
      <c r="I20" s="7">
        <v>100000</v>
      </c>
      <c r="J20" s="14">
        <v>57600</v>
      </c>
      <c r="K20" s="15">
        <f>L20+60468+60904+70332+57924+57588</f>
        <v>307216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0.24388994647918052</v>
      </c>
      <c r="AF20" s="94">
        <f t="shared" si="8"/>
        <v>15</v>
      </c>
    </row>
    <row r="21" spans="1:32" ht="31.5" customHeight="1" thickBot="1">
      <c r="A21" s="465" t="s">
        <v>34</v>
      </c>
      <c r="B21" s="466"/>
      <c r="C21" s="466"/>
      <c r="D21" s="466"/>
      <c r="E21" s="466"/>
      <c r="F21" s="466"/>
      <c r="G21" s="466"/>
      <c r="H21" s="467"/>
      <c r="I21" s="25">
        <f t="shared" ref="I21:N21" si="11">SUM(I6:I20)</f>
        <v>538800</v>
      </c>
      <c r="J21" s="22">
        <f t="shared" si="11"/>
        <v>90377</v>
      </c>
      <c r="K21" s="23">
        <f t="shared" si="11"/>
        <v>554403</v>
      </c>
      <c r="L21" s="24">
        <f t="shared" si="11"/>
        <v>21627</v>
      </c>
      <c r="M21" s="23">
        <f t="shared" si="11"/>
        <v>21627</v>
      </c>
      <c r="N21" s="24">
        <f t="shared" si="11"/>
        <v>0</v>
      </c>
      <c r="O21" s="44">
        <f t="shared" si="1"/>
        <v>0</v>
      </c>
      <c r="P21" s="45">
        <f t="shared" ref="P21:AA21" si="12">SUM(P6:P20)</f>
        <v>88</v>
      </c>
      <c r="Q21" s="46">
        <f t="shared" si="12"/>
        <v>272</v>
      </c>
      <c r="R21" s="26">
        <f t="shared" si="12"/>
        <v>0</v>
      </c>
      <c r="S21" s="27">
        <f t="shared" si="12"/>
        <v>77</v>
      </c>
      <c r="T21" s="27">
        <f t="shared" si="12"/>
        <v>1</v>
      </c>
      <c r="U21" s="27">
        <f t="shared" si="12"/>
        <v>0</v>
      </c>
      <c r="V21" s="28">
        <f t="shared" si="12"/>
        <v>98</v>
      </c>
      <c r="W21" s="29">
        <f t="shared" si="12"/>
        <v>96</v>
      </c>
      <c r="X21" s="30">
        <f t="shared" si="12"/>
        <v>0</v>
      </c>
      <c r="Y21" s="30">
        <f t="shared" si="12"/>
        <v>0</v>
      </c>
      <c r="Z21" s="30">
        <f t="shared" si="12"/>
        <v>0</v>
      </c>
      <c r="AA21" s="30">
        <f t="shared" si="12"/>
        <v>0</v>
      </c>
      <c r="AB21" s="31">
        <f>SUM(AB6:AB20)/15</f>
        <v>0.66520139558692826</v>
      </c>
      <c r="AC21" s="4">
        <f>SUM(AC6:AC20)/15</f>
        <v>0.24444444444444444</v>
      </c>
      <c r="AD21" s="4">
        <f>SUM(AD6:AD20)/15</f>
        <v>0.24388994647918052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68" t="s">
        <v>45</v>
      </c>
      <c r="B48" s="468"/>
      <c r="C48" s="468"/>
      <c r="D48" s="468"/>
      <c r="E48" s="468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69" t="s">
        <v>1184</v>
      </c>
      <c r="B49" s="470"/>
      <c r="C49" s="470"/>
      <c r="D49" s="470"/>
      <c r="E49" s="470"/>
      <c r="F49" s="470"/>
      <c r="G49" s="470"/>
      <c r="H49" s="470"/>
      <c r="I49" s="470"/>
      <c r="J49" s="470"/>
      <c r="K49" s="470"/>
      <c r="L49" s="470"/>
      <c r="M49" s="471"/>
      <c r="N49" s="472" t="s">
        <v>1192</v>
      </c>
      <c r="O49" s="473"/>
      <c r="P49" s="473"/>
      <c r="Q49" s="473"/>
      <c r="R49" s="473"/>
      <c r="S49" s="473"/>
      <c r="T49" s="473"/>
      <c r="U49" s="473"/>
      <c r="V49" s="473"/>
      <c r="W49" s="473"/>
      <c r="X49" s="473"/>
      <c r="Y49" s="473"/>
      <c r="Z49" s="473"/>
      <c r="AA49" s="473"/>
      <c r="AB49" s="473"/>
      <c r="AC49" s="473"/>
      <c r="AD49" s="474"/>
    </row>
    <row r="50" spans="1:32" ht="27" customHeight="1">
      <c r="A50" s="475" t="s">
        <v>2</v>
      </c>
      <c r="B50" s="476"/>
      <c r="C50" s="391" t="s">
        <v>46</v>
      </c>
      <c r="D50" s="391" t="s">
        <v>47</v>
      </c>
      <c r="E50" s="391" t="s">
        <v>109</v>
      </c>
      <c r="F50" s="476" t="s">
        <v>108</v>
      </c>
      <c r="G50" s="476"/>
      <c r="H50" s="476"/>
      <c r="I50" s="476"/>
      <c r="J50" s="476"/>
      <c r="K50" s="476"/>
      <c r="L50" s="476"/>
      <c r="M50" s="477"/>
      <c r="N50" s="73" t="s">
        <v>113</v>
      </c>
      <c r="O50" s="391" t="s">
        <v>46</v>
      </c>
      <c r="P50" s="478" t="s">
        <v>47</v>
      </c>
      <c r="Q50" s="479"/>
      <c r="R50" s="478" t="s">
        <v>38</v>
      </c>
      <c r="S50" s="480"/>
      <c r="T50" s="480"/>
      <c r="U50" s="479"/>
      <c r="V50" s="478" t="s">
        <v>48</v>
      </c>
      <c r="W50" s="480"/>
      <c r="X50" s="480"/>
      <c r="Y50" s="480"/>
      <c r="Z50" s="480"/>
      <c r="AA50" s="480"/>
      <c r="AB50" s="480"/>
      <c r="AC50" s="480"/>
      <c r="AD50" s="481"/>
    </row>
    <row r="51" spans="1:32" ht="27" customHeight="1">
      <c r="A51" s="492" t="s">
        <v>1185</v>
      </c>
      <c r="B51" s="493"/>
      <c r="C51" s="392" t="s">
        <v>1186</v>
      </c>
      <c r="D51" s="393" t="s">
        <v>1187</v>
      </c>
      <c r="E51" s="392" t="s">
        <v>1182</v>
      </c>
      <c r="F51" s="494" t="s">
        <v>1188</v>
      </c>
      <c r="G51" s="494"/>
      <c r="H51" s="494"/>
      <c r="I51" s="494"/>
      <c r="J51" s="494"/>
      <c r="K51" s="494"/>
      <c r="L51" s="494"/>
      <c r="M51" s="495"/>
      <c r="N51" s="397" t="s">
        <v>1193</v>
      </c>
      <c r="O51" s="74" t="s">
        <v>1194</v>
      </c>
      <c r="P51" s="496" t="s">
        <v>1195</v>
      </c>
      <c r="Q51" s="497"/>
      <c r="R51" s="498" t="s">
        <v>1196</v>
      </c>
      <c r="S51" s="498"/>
      <c r="T51" s="498"/>
      <c r="U51" s="498"/>
      <c r="V51" s="494" t="s">
        <v>1197</v>
      </c>
      <c r="W51" s="494"/>
      <c r="X51" s="494"/>
      <c r="Y51" s="494"/>
      <c r="Z51" s="494"/>
      <c r="AA51" s="494"/>
      <c r="AB51" s="494"/>
      <c r="AC51" s="494"/>
      <c r="AD51" s="495"/>
    </row>
    <row r="52" spans="1:32" ht="27" customHeight="1">
      <c r="A52" s="492" t="s">
        <v>1148</v>
      </c>
      <c r="B52" s="493"/>
      <c r="C52" s="392" t="s">
        <v>222</v>
      </c>
      <c r="D52" s="393" t="s">
        <v>1069</v>
      </c>
      <c r="E52" s="392" t="s">
        <v>1109</v>
      </c>
      <c r="F52" s="494" t="s">
        <v>1189</v>
      </c>
      <c r="G52" s="494"/>
      <c r="H52" s="494"/>
      <c r="I52" s="494"/>
      <c r="J52" s="494"/>
      <c r="K52" s="494"/>
      <c r="L52" s="494"/>
      <c r="M52" s="495"/>
      <c r="N52" s="397" t="s">
        <v>173</v>
      </c>
      <c r="O52" s="74" t="s">
        <v>1198</v>
      </c>
      <c r="P52" s="496" t="s">
        <v>1167</v>
      </c>
      <c r="Q52" s="497"/>
      <c r="R52" s="498" t="s">
        <v>1199</v>
      </c>
      <c r="S52" s="498"/>
      <c r="T52" s="498"/>
      <c r="U52" s="498"/>
      <c r="V52" s="494" t="s">
        <v>1188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1152</v>
      </c>
      <c r="B53" s="493"/>
      <c r="C53" s="392" t="s">
        <v>1154</v>
      </c>
      <c r="D53" s="393" t="s">
        <v>1142</v>
      </c>
      <c r="E53" s="392" t="s">
        <v>1143</v>
      </c>
      <c r="F53" s="494" t="s">
        <v>1190</v>
      </c>
      <c r="G53" s="494"/>
      <c r="H53" s="494"/>
      <c r="I53" s="494"/>
      <c r="J53" s="494"/>
      <c r="K53" s="494"/>
      <c r="L53" s="494"/>
      <c r="M53" s="495"/>
      <c r="N53" s="397" t="s">
        <v>1200</v>
      </c>
      <c r="O53" s="74" t="s">
        <v>1201</v>
      </c>
      <c r="P53" s="496" t="s">
        <v>1202</v>
      </c>
      <c r="Q53" s="497"/>
      <c r="R53" s="498" t="s">
        <v>1203</v>
      </c>
      <c r="S53" s="498"/>
      <c r="T53" s="498"/>
      <c r="U53" s="498"/>
      <c r="V53" s="494" t="s">
        <v>1188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173</v>
      </c>
      <c r="B54" s="493"/>
      <c r="C54" s="392" t="s">
        <v>1158</v>
      </c>
      <c r="D54" s="393" t="s">
        <v>1159</v>
      </c>
      <c r="E54" s="392" t="s">
        <v>1160</v>
      </c>
      <c r="F54" s="494" t="s">
        <v>1191</v>
      </c>
      <c r="G54" s="494"/>
      <c r="H54" s="494"/>
      <c r="I54" s="494"/>
      <c r="J54" s="494"/>
      <c r="K54" s="494"/>
      <c r="L54" s="494"/>
      <c r="M54" s="495"/>
      <c r="N54" s="397" t="s">
        <v>133</v>
      </c>
      <c r="O54" s="74" t="s">
        <v>252</v>
      </c>
      <c r="P54" s="496" t="s">
        <v>1204</v>
      </c>
      <c r="Q54" s="497"/>
      <c r="R54" s="498" t="s">
        <v>1205</v>
      </c>
      <c r="S54" s="498"/>
      <c r="T54" s="498"/>
      <c r="U54" s="498"/>
      <c r="V54" s="494" t="s">
        <v>1206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/>
      <c r="B55" s="493"/>
      <c r="C55" s="392"/>
      <c r="D55" s="393"/>
      <c r="E55" s="392"/>
      <c r="F55" s="494"/>
      <c r="G55" s="494"/>
      <c r="H55" s="494"/>
      <c r="I55" s="494"/>
      <c r="J55" s="494"/>
      <c r="K55" s="494"/>
      <c r="L55" s="494"/>
      <c r="M55" s="495"/>
      <c r="N55" s="397"/>
      <c r="O55" s="74"/>
      <c r="P55" s="496"/>
      <c r="Q55" s="497"/>
      <c r="R55" s="498"/>
      <c r="S55" s="498"/>
      <c r="T55" s="498"/>
      <c r="U55" s="498"/>
      <c r="V55" s="494"/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/>
      <c r="B56" s="493"/>
      <c r="C56" s="392"/>
      <c r="D56" s="393"/>
      <c r="E56" s="392"/>
      <c r="F56" s="494"/>
      <c r="G56" s="494"/>
      <c r="H56" s="494"/>
      <c r="I56" s="494"/>
      <c r="J56" s="494"/>
      <c r="K56" s="494"/>
      <c r="L56" s="494"/>
      <c r="M56" s="495"/>
      <c r="N56" s="397"/>
      <c r="O56" s="74"/>
      <c r="P56" s="498"/>
      <c r="Q56" s="498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/>
      <c r="B57" s="493"/>
      <c r="C57" s="392"/>
      <c r="D57" s="393"/>
      <c r="E57" s="392"/>
      <c r="F57" s="494"/>
      <c r="G57" s="494"/>
      <c r="H57" s="494"/>
      <c r="I57" s="494"/>
      <c r="J57" s="494"/>
      <c r="K57" s="494"/>
      <c r="L57" s="494"/>
      <c r="M57" s="495"/>
      <c r="N57" s="397"/>
      <c r="O57" s="74"/>
      <c r="P57" s="496"/>
      <c r="Q57" s="497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/>
      <c r="B58" s="493"/>
      <c r="C58" s="392"/>
      <c r="D58" s="393"/>
      <c r="E58" s="392"/>
      <c r="F58" s="494"/>
      <c r="G58" s="494"/>
      <c r="H58" s="494"/>
      <c r="I58" s="494"/>
      <c r="J58" s="494"/>
      <c r="K58" s="494"/>
      <c r="L58" s="494"/>
      <c r="M58" s="495"/>
      <c r="N58" s="397"/>
      <c r="O58" s="74"/>
      <c r="P58" s="498"/>
      <c r="Q58" s="498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508"/>
      <c r="B59" s="498"/>
      <c r="C59" s="393"/>
      <c r="D59" s="393"/>
      <c r="E59" s="393"/>
      <c r="F59" s="494"/>
      <c r="G59" s="494"/>
      <c r="H59" s="494"/>
      <c r="I59" s="494"/>
      <c r="J59" s="494"/>
      <c r="K59" s="494"/>
      <c r="L59" s="494"/>
      <c r="M59" s="495"/>
      <c r="N59" s="397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  <c r="AF59" s="94">
        <f>8*3000</f>
        <v>24000</v>
      </c>
    </row>
    <row r="60" spans="1:32" ht="27" customHeight="1" thickBot="1">
      <c r="A60" s="499"/>
      <c r="B60" s="500"/>
      <c r="C60" s="395"/>
      <c r="D60" s="395"/>
      <c r="E60" s="395"/>
      <c r="F60" s="501"/>
      <c r="G60" s="501"/>
      <c r="H60" s="501"/>
      <c r="I60" s="501"/>
      <c r="J60" s="501"/>
      <c r="K60" s="501"/>
      <c r="L60" s="501"/>
      <c r="M60" s="502"/>
      <c r="N60" s="394"/>
      <c r="O60" s="121"/>
      <c r="P60" s="500"/>
      <c r="Q60" s="500"/>
      <c r="R60" s="500"/>
      <c r="S60" s="500"/>
      <c r="T60" s="500"/>
      <c r="U60" s="500"/>
      <c r="V60" s="501"/>
      <c r="W60" s="501"/>
      <c r="X60" s="501"/>
      <c r="Y60" s="501"/>
      <c r="Z60" s="501"/>
      <c r="AA60" s="501"/>
      <c r="AB60" s="501"/>
      <c r="AC60" s="501"/>
      <c r="AD60" s="502"/>
      <c r="AF60" s="94">
        <f>16*3000</f>
        <v>48000</v>
      </c>
    </row>
    <row r="61" spans="1:32" ht="27.75" thickBot="1">
      <c r="A61" s="503" t="s">
        <v>1207</v>
      </c>
      <c r="B61" s="503"/>
      <c r="C61" s="503"/>
      <c r="D61" s="503"/>
      <c r="E61" s="503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504" t="s">
        <v>114</v>
      </c>
      <c r="B62" s="505"/>
      <c r="C62" s="396" t="s">
        <v>2</v>
      </c>
      <c r="D62" s="396" t="s">
        <v>37</v>
      </c>
      <c r="E62" s="396" t="s">
        <v>3</v>
      </c>
      <c r="F62" s="505" t="s">
        <v>111</v>
      </c>
      <c r="G62" s="505"/>
      <c r="H62" s="505"/>
      <c r="I62" s="505"/>
      <c r="J62" s="505"/>
      <c r="K62" s="505" t="s">
        <v>39</v>
      </c>
      <c r="L62" s="505"/>
      <c r="M62" s="396" t="s">
        <v>40</v>
      </c>
      <c r="N62" s="505" t="s">
        <v>41</v>
      </c>
      <c r="O62" s="505"/>
      <c r="P62" s="506" t="s">
        <v>42</v>
      </c>
      <c r="Q62" s="507"/>
      <c r="R62" s="506" t="s">
        <v>43</v>
      </c>
      <c r="S62" s="509"/>
      <c r="T62" s="509"/>
      <c r="U62" s="509"/>
      <c r="V62" s="509"/>
      <c r="W62" s="509"/>
      <c r="X62" s="509"/>
      <c r="Y62" s="509"/>
      <c r="Z62" s="509"/>
      <c r="AA62" s="507"/>
      <c r="AB62" s="505" t="s">
        <v>44</v>
      </c>
      <c r="AC62" s="505"/>
      <c r="AD62" s="510"/>
      <c r="AF62" s="94">
        <f>SUM(AF59:AF61)</f>
        <v>96000</v>
      </c>
    </row>
    <row r="63" spans="1:32" ht="25.5" customHeight="1">
      <c r="A63" s="511">
        <v>1</v>
      </c>
      <c r="B63" s="512"/>
      <c r="C63" s="124" t="s">
        <v>1174</v>
      </c>
      <c r="D63" s="400"/>
      <c r="E63" s="398" t="s">
        <v>1175</v>
      </c>
      <c r="F63" s="513" t="s">
        <v>1176</v>
      </c>
      <c r="G63" s="514"/>
      <c r="H63" s="514"/>
      <c r="I63" s="514"/>
      <c r="J63" s="514"/>
      <c r="K63" s="514" t="s">
        <v>1177</v>
      </c>
      <c r="L63" s="514"/>
      <c r="M63" s="54" t="s">
        <v>1173</v>
      </c>
      <c r="N63" s="514">
        <v>4</v>
      </c>
      <c r="O63" s="514"/>
      <c r="P63" s="515">
        <v>50</v>
      </c>
      <c r="Q63" s="515"/>
      <c r="R63" s="494"/>
      <c r="S63" s="494"/>
      <c r="T63" s="494"/>
      <c r="U63" s="494"/>
      <c r="V63" s="494"/>
      <c r="W63" s="494"/>
      <c r="X63" s="494"/>
      <c r="Y63" s="494"/>
      <c r="Z63" s="494"/>
      <c r="AA63" s="494"/>
      <c r="AB63" s="514"/>
      <c r="AC63" s="514"/>
      <c r="AD63" s="516"/>
      <c r="AF63" s="53"/>
    </row>
    <row r="64" spans="1:32" ht="25.5" customHeight="1">
      <c r="A64" s="511">
        <v>2</v>
      </c>
      <c r="B64" s="512"/>
      <c r="C64" s="124"/>
      <c r="D64" s="400"/>
      <c r="E64" s="398"/>
      <c r="F64" s="513"/>
      <c r="G64" s="514"/>
      <c r="H64" s="514"/>
      <c r="I64" s="514"/>
      <c r="J64" s="514"/>
      <c r="K64" s="514"/>
      <c r="L64" s="514"/>
      <c r="M64" s="54"/>
      <c r="N64" s="514"/>
      <c r="O64" s="514"/>
      <c r="P64" s="515"/>
      <c r="Q64" s="515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3</v>
      </c>
      <c r="B65" s="512"/>
      <c r="C65" s="124"/>
      <c r="D65" s="400"/>
      <c r="E65" s="398"/>
      <c r="F65" s="513"/>
      <c r="G65" s="514"/>
      <c r="H65" s="514"/>
      <c r="I65" s="514"/>
      <c r="J65" s="514"/>
      <c r="K65" s="514"/>
      <c r="L65" s="514"/>
      <c r="M65" s="54"/>
      <c r="N65" s="514"/>
      <c r="O65" s="514"/>
      <c r="P65" s="515"/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4</v>
      </c>
      <c r="B66" s="512"/>
      <c r="C66" s="124"/>
      <c r="D66" s="400"/>
      <c r="E66" s="398"/>
      <c r="F66" s="513"/>
      <c r="G66" s="514"/>
      <c r="H66" s="514"/>
      <c r="I66" s="514"/>
      <c r="J66" s="514"/>
      <c r="K66" s="514"/>
      <c r="L66" s="514"/>
      <c r="M66" s="54"/>
      <c r="N66" s="514"/>
      <c r="O66" s="514"/>
      <c r="P66" s="515"/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5</v>
      </c>
      <c r="B67" s="512"/>
      <c r="C67" s="124"/>
      <c r="D67" s="400"/>
      <c r="E67" s="398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6</v>
      </c>
      <c r="B68" s="512"/>
      <c r="C68" s="124"/>
      <c r="D68" s="400"/>
      <c r="E68" s="398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7</v>
      </c>
      <c r="B69" s="512"/>
      <c r="C69" s="124"/>
      <c r="D69" s="400"/>
      <c r="E69" s="398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8</v>
      </c>
      <c r="B70" s="512"/>
      <c r="C70" s="124"/>
      <c r="D70" s="400"/>
      <c r="E70" s="398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6.25" customHeight="1" thickBot="1">
      <c r="A71" s="517" t="s">
        <v>1208</v>
      </c>
      <c r="B71" s="517"/>
      <c r="C71" s="517"/>
      <c r="D71" s="517"/>
      <c r="E71" s="51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518" t="s">
        <v>114</v>
      </c>
      <c r="B72" s="519"/>
      <c r="C72" s="399" t="s">
        <v>2</v>
      </c>
      <c r="D72" s="399" t="s">
        <v>37</v>
      </c>
      <c r="E72" s="399" t="s">
        <v>3</v>
      </c>
      <c r="F72" s="519" t="s">
        <v>38</v>
      </c>
      <c r="G72" s="519"/>
      <c r="H72" s="519"/>
      <c r="I72" s="519"/>
      <c r="J72" s="519"/>
      <c r="K72" s="520" t="s">
        <v>59</v>
      </c>
      <c r="L72" s="521"/>
      <c r="M72" s="521"/>
      <c r="N72" s="521"/>
      <c r="O72" s="521"/>
      <c r="P72" s="521"/>
      <c r="Q72" s="521"/>
      <c r="R72" s="521"/>
      <c r="S72" s="522"/>
      <c r="T72" s="519" t="s">
        <v>49</v>
      </c>
      <c r="U72" s="519"/>
      <c r="V72" s="520" t="s">
        <v>50</v>
      </c>
      <c r="W72" s="522"/>
      <c r="X72" s="521" t="s">
        <v>51</v>
      </c>
      <c r="Y72" s="521"/>
      <c r="Z72" s="521"/>
      <c r="AA72" s="521"/>
      <c r="AB72" s="521"/>
      <c r="AC72" s="521"/>
      <c r="AD72" s="523"/>
      <c r="AF72" s="53"/>
    </row>
    <row r="73" spans="1:32" ht="33.75" customHeight="1">
      <c r="A73" s="532">
        <v>1</v>
      </c>
      <c r="B73" s="533"/>
      <c r="C73" s="401" t="s">
        <v>117</v>
      </c>
      <c r="D73" s="401"/>
      <c r="E73" s="71" t="s">
        <v>123</v>
      </c>
      <c r="F73" s="534" t="s">
        <v>124</v>
      </c>
      <c r="G73" s="535"/>
      <c r="H73" s="535"/>
      <c r="I73" s="535"/>
      <c r="J73" s="536"/>
      <c r="K73" s="537" t="s">
        <v>119</v>
      </c>
      <c r="L73" s="538"/>
      <c r="M73" s="538"/>
      <c r="N73" s="538"/>
      <c r="O73" s="538"/>
      <c r="P73" s="538"/>
      <c r="Q73" s="538"/>
      <c r="R73" s="538"/>
      <c r="S73" s="539"/>
      <c r="T73" s="540">
        <v>42901</v>
      </c>
      <c r="U73" s="541"/>
      <c r="V73" s="542"/>
      <c r="W73" s="542"/>
      <c r="X73" s="543"/>
      <c r="Y73" s="543"/>
      <c r="Z73" s="543"/>
      <c r="AA73" s="543"/>
      <c r="AB73" s="543"/>
      <c r="AC73" s="543"/>
      <c r="AD73" s="544"/>
      <c r="AF73" s="53"/>
    </row>
    <row r="74" spans="1:32" ht="30" customHeight="1">
      <c r="A74" s="524">
        <f>A73+1</f>
        <v>2</v>
      </c>
      <c r="B74" s="525"/>
      <c r="C74" s="400" t="s">
        <v>117</v>
      </c>
      <c r="D74" s="400"/>
      <c r="E74" s="35" t="s">
        <v>120</v>
      </c>
      <c r="F74" s="525" t="s">
        <v>121</v>
      </c>
      <c r="G74" s="525"/>
      <c r="H74" s="525"/>
      <c r="I74" s="525"/>
      <c r="J74" s="525"/>
      <c r="K74" s="526" t="s">
        <v>122</v>
      </c>
      <c r="L74" s="527"/>
      <c r="M74" s="527"/>
      <c r="N74" s="527"/>
      <c r="O74" s="527"/>
      <c r="P74" s="527"/>
      <c r="Q74" s="527"/>
      <c r="R74" s="527"/>
      <c r="S74" s="528"/>
      <c r="T74" s="529">
        <v>42867</v>
      </c>
      <c r="U74" s="529"/>
      <c r="V74" s="529"/>
      <c r="W74" s="529"/>
      <c r="X74" s="530"/>
      <c r="Y74" s="530"/>
      <c r="Z74" s="530"/>
      <c r="AA74" s="530"/>
      <c r="AB74" s="530"/>
      <c r="AC74" s="530"/>
      <c r="AD74" s="531"/>
      <c r="AF74" s="53"/>
    </row>
    <row r="75" spans="1:32" ht="30" customHeight="1">
      <c r="A75" s="524">
        <f t="shared" ref="A75:A81" si="13">A74+1</f>
        <v>3</v>
      </c>
      <c r="B75" s="525"/>
      <c r="C75" s="400" t="s">
        <v>133</v>
      </c>
      <c r="D75" s="400"/>
      <c r="E75" s="35" t="s">
        <v>131</v>
      </c>
      <c r="F75" s="525" t="s">
        <v>134</v>
      </c>
      <c r="G75" s="525"/>
      <c r="H75" s="525"/>
      <c r="I75" s="525"/>
      <c r="J75" s="525"/>
      <c r="K75" s="526" t="s">
        <v>119</v>
      </c>
      <c r="L75" s="527"/>
      <c r="M75" s="527"/>
      <c r="N75" s="527"/>
      <c r="O75" s="527"/>
      <c r="P75" s="527"/>
      <c r="Q75" s="527"/>
      <c r="R75" s="527"/>
      <c r="S75" s="528"/>
      <c r="T75" s="529">
        <v>42937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si="13"/>
        <v>4</v>
      </c>
      <c r="B76" s="525"/>
      <c r="C76" s="400"/>
      <c r="D76" s="400"/>
      <c r="E76" s="35"/>
      <c r="F76" s="525"/>
      <c r="G76" s="525"/>
      <c r="H76" s="525"/>
      <c r="I76" s="525"/>
      <c r="J76" s="525"/>
      <c r="K76" s="526"/>
      <c r="L76" s="527"/>
      <c r="M76" s="527"/>
      <c r="N76" s="527"/>
      <c r="O76" s="527"/>
      <c r="P76" s="527"/>
      <c r="Q76" s="527"/>
      <c r="R76" s="527"/>
      <c r="S76" s="528"/>
      <c r="T76" s="529"/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13"/>
        <v>5</v>
      </c>
      <c r="B77" s="525"/>
      <c r="C77" s="400"/>
      <c r="D77" s="400"/>
      <c r="E77" s="35"/>
      <c r="F77" s="525"/>
      <c r="G77" s="525"/>
      <c r="H77" s="525"/>
      <c r="I77" s="525"/>
      <c r="J77" s="525"/>
      <c r="K77" s="526"/>
      <c r="L77" s="527"/>
      <c r="M77" s="527"/>
      <c r="N77" s="527"/>
      <c r="O77" s="527"/>
      <c r="P77" s="527"/>
      <c r="Q77" s="527"/>
      <c r="R77" s="527"/>
      <c r="S77" s="528"/>
      <c r="T77" s="529"/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13"/>
        <v>6</v>
      </c>
      <c r="B78" s="525"/>
      <c r="C78" s="400"/>
      <c r="D78" s="400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13"/>
        <v>7</v>
      </c>
      <c r="B79" s="525"/>
      <c r="C79" s="400"/>
      <c r="D79" s="400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13"/>
        <v>8</v>
      </c>
      <c r="B80" s="525"/>
      <c r="C80" s="400"/>
      <c r="D80" s="400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13"/>
        <v>9</v>
      </c>
      <c r="B81" s="525"/>
      <c r="C81" s="400"/>
      <c r="D81" s="400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6" thickBot="1">
      <c r="A82" s="517" t="s">
        <v>1209</v>
      </c>
      <c r="B82" s="517"/>
      <c r="C82" s="517"/>
      <c r="D82" s="517"/>
      <c r="E82" s="51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518" t="s">
        <v>114</v>
      </c>
      <c r="B83" s="519"/>
      <c r="C83" s="545" t="s">
        <v>52</v>
      </c>
      <c r="D83" s="545"/>
      <c r="E83" s="545" t="s">
        <v>53</v>
      </c>
      <c r="F83" s="545"/>
      <c r="G83" s="545"/>
      <c r="H83" s="545"/>
      <c r="I83" s="545"/>
      <c r="J83" s="545"/>
      <c r="K83" s="545" t="s">
        <v>54</v>
      </c>
      <c r="L83" s="545"/>
      <c r="M83" s="545"/>
      <c r="N83" s="545"/>
      <c r="O83" s="545"/>
      <c r="P83" s="545"/>
      <c r="Q83" s="545"/>
      <c r="R83" s="545"/>
      <c r="S83" s="545"/>
      <c r="T83" s="545" t="s">
        <v>55</v>
      </c>
      <c r="U83" s="545"/>
      <c r="V83" s="545" t="s">
        <v>56</v>
      </c>
      <c r="W83" s="545"/>
      <c r="X83" s="545"/>
      <c r="Y83" s="545" t="s">
        <v>51</v>
      </c>
      <c r="Z83" s="545"/>
      <c r="AA83" s="545"/>
      <c r="AB83" s="545"/>
      <c r="AC83" s="545"/>
      <c r="AD83" s="546"/>
      <c r="AF83" s="53"/>
    </row>
    <row r="84" spans="1:32" ht="30.75" customHeight="1">
      <c r="A84" s="532">
        <v>1</v>
      </c>
      <c r="B84" s="533"/>
      <c r="C84" s="547"/>
      <c r="D84" s="547"/>
      <c r="E84" s="547"/>
      <c r="F84" s="547"/>
      <c r="G84" s="547"/>
      <c r="H84" s="547"/>
      <c r="I84" s="547"/>
      <c r="J84" s="547"/>
      <c r="K84" s="547"/>
      <c r="L84" s="547"/>
      <c r="M84" s="547"/>
      <c r="N84" s="547"/>
      <c r="O84" s="547"/>
      <c r="P84" s="547"/>
      <c r="Q84" s="547"/>
      <c r="R84" s="547"/>
      <c r="S84" s="547"/>
      <c r="T84" s="547"/>
      <c r="U84" s="547"/>
      <c r="V84" s="548"/>
      <c r="W84" s="548"/>
      <c r="X84" s="548"/>
      <c r="Y84" s="549"/>
      <c r="Z84" s="549"/>
      <c r="AA84" s="549"/>
      <c r="AB84" s="549"/>
      <c r="AC84" s="549"/>
      <c r="AD84" s="550"/>
      <c r="AF84" s="53"/>
    </row>
    <row r="85" spans="1:32" ht="30.75" customHeight="1">
      <c r="A85" s="524">
        <v>2</v>
      </c>
      <c r="B85" s="525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9"/>
      <c r="U85" s="559"/>
      <c r="V85" s="560"/>
      <c r="W85" s="560"/>
      <c r="X85" s="560"/>
      <c r="Y85" s="551"/>
      <c r="Z85" s="551"/>
      <c r="AA85" s="551"/>
      <c r="AB85" s="551"/>
      <c r="AC85" s="551"/>
      <c r="AD85" s="552"/>
      <c r="AF85" s="53"/>
    </row>
    <row r="86" spans="1:32" ht="30.75" customHeight="1" thickBot="1">
      <c r="A86" s="553">
        <v>3</v>
      </c>
      <c r="B86" s="554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6"/>
      <c r="Z86" s="556"/>
      <c r="AA86" s="556"/>
      <c r="AB86" s="556"/>
      <c r="AC86" s="556"/>
      <c r="AD86" s="55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51" t="s">
        <v>1210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6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413" t="s">
        <v>17</v>
      </c>
      <c r="L5" s="413" t="s">
        <v>18</v>
      </c>
      <c r="M5" s="413" t="s">
        <v>19</v>
      </c>
      <c r="N5" s="41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6" ht="27" customHeight="1">
      <c r="A6" s="108">
        <v>1</v>
      </c>
      <c r="B6" s="11" t="s">
        <v>58</v>
      </c>
      <c r="C6" s="37" t="s">
        <v>230</v>
      </c>
      <c r="D6" s="55" t="s">
        <v>1181</v>
      </c>
      <c r="E6" s="57" t="s">
        <v>1182</v>
      </c>
      <c r="F6" s="33" t="s">
        <v>1183</v>
      </c>
      <c r="G6" s="12">
        <v>1</v>
      </c>
      <c r="H6" s="13">
        <v>25</v>
      </c>
      <c r="I6" s="34">
        <v>45000</v>
      </c>
      <c r="J6" s="5">
        <v>4760</v>
      </c>
      <c r="K6" s="15">
        <f>L6+1421</f>
        <v>6179</v>
      </c>
      <c r="L6" s="15">
        <f>2633+2125</f>
        <v>4758</v>
      </c>
      <c r="M6" s="16">
        <f t="shared" ref="M6:M20" si="0">L6-N6</f>
        <v>4758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24</v>
      </c>
      <c r="Q6" s="43">
        <f t="shared" ref="Q6:Q20" si="3">SUM(R6:AA6)</f>
        <v>0</v>
      </c>
      <c r="R6" s="7"/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0.99957983193277311</v>
      </c>
      <c r="AC6" s="9">
        <f t="shared" ref="AC6:AC20" si="5">IF(P6=0,"0",(P6/24))</f>
        <v>1</v>
      </c>
      <c r="AD6" s="10">
        <f t="shared" ref="AD6:AD20" si="6">AC6*AB6*(1-O6)</f>
        <v>0.99957983193277311</v>
      </c>
      <c r="AE6" s="39">
        <f t="shared" ref="AE6:AE20" si="7">$AD$21</f>
        <v>0.38810792167637398</v>
      </c>
      <c r="AF6" s="94">
        <f t="shared" ref="AF6:AF20" si="8">A6</f>
        <v>1</v>
      </c>
    </row>
    <row r="7" spans="1:36" ht="27" customHeight="1">
      <c r="A7" s="108">
        <v>2</v>
      </c>
      <c r="B7" s="11" t="s">
        <v>58</v>
      </c>
      <c r="C7" s="37" t="s">
        <v>1139</v>
      </c>
      <c r="D7" s="55" t="s">
        <v>1140</v>
      </c>
      <c r="E7" s="57" t="s">
        <v>1141</v>
      </c>
      <c r="F7" s="33" t="s">
        <v>1058</v>
      </c>
      <c r="G7" s="12">
        <v>1</v>
      </c>
      <c r="H7" s="13">
        <v>25</v>
      </c>
      <c r="I7" s="34">
        <v>40000</v>
      </c>
      <c r="J7" s="5">
        <v>3000</v>
      </c>
      <c r="K7" s="15">
        <f>L7+2531+2311</f>
        <v>7836</v>
      </c>
      <c r="L7" s="15">
        <f>1100+1894</f>
        <v>2994</v>
      </c>
      <c r="M7" s="16">
        <f t="shared" si="0"/>
        <v>2994</v>
      </c>
      <c r="N7" s="16">
        <v>0</v>
      </c>
      <c r="O7" s="62">
        <f t="shared" si="1"/>
        <v>0</v>
      </c>
      <c r="P7" s="42">
        <f t="shared" si="2"/>
        <v>19</v>
      </c>
      <c r="Q7" s="43">
        <f t="shared" si="3"/>
        <v>5</v>
      </c>
      <c r="R7" s="7"/>
      <c r="S7" s="6">
        <v>5</v>
      </c>
      <c r="T7" s="17"/>
      <c r="U7" s="17"/>
      <c r="V7" s="18"/>
      <c r="W7" s="19"/>
      <c r="X7" s="17"/>
      <c r="Y7" s="20"/>
      <c r="Z7" s="20"/>
      <c r="AA7" s="21"/>
      <c r="AB7" s="8">
        <f t="shared" si="4"/>
        <v>0.998</v>
      </c>
      <c r="AC7" s="9">
        <f t="shared" si="5"/>
        <v>0.79166666666666663</v>
      </c>
      <c r="AD7" s="10">
        <f t="shared" si="6"/>
        <v>0.79008333333333325</v>
      </c>
      <c r="AE7" s="39">
        <f t="shared" si="7"/>
        <v>0.38810792167637398</v>
      </c>
      <c r="AF7" s="94">
        <f t="shared" si="8"/>
        <v>2</v>
      </c>
    </row>
    <row r="8" spans="1:36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50000</v>
      </c>
      <c r="J8" s="14">
        <v>500</v>
      </c>
      <c r="K8" s="15">
        <f>L8+4093+2190+5474+6124+1911+2500+4543+5167+5773+2682</f>
        <v>40949</v>
      </c>
      <c r="L8" s="15">
        <v>492</v>
      </c>
      <c r="M8" s="16">
        <f t="shared" si="0"/>
        <v>492</v>
      </c>
      <c r="N8" s="16">
        <v>0</v>
      </c>
      <c r="O8" s="62">
        <f t="shared" si="1"/>
        <v>0</v>
      </c>
      <c r="P8" s="42">
        <f t="shared" si="2"/>
        <v>4</v>
      </c>
      <c r="Q8" s="43">
        <f t="shared" si="3"/>
        <v>20</v>
      </c>
      <c r="R8" s="7"/>
      <c r="S8" s="6">
        <v>20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0.98399999999999999</v>
      </c>
      <c r="AC8" s="9">
        <f t="shared" si="5"/>
        <v>0.16666666666666666</v>
      </c>
      <c r="AD8" s="10">
        <f t="shared" si="6"/>
        <v>0.16399999999999998</v>
      </c>
      <c r="AE8" s="39">
        <f t="shared" si="7"/>
        <v>0.38810792167637398</v>
      </c>
      <c r="AF8" s="94">
        <f>A8</f>
        <v>3</v>
      </c>
    </row>
    <row r="9" spans="1:36" ht="27" customHeight="1">
      <c r="A9" s="110">
        <v>4</v>
      </c>
      <c r="B9" s="11" t="s">
        <v>58</v>
      </c>
      <c r="C9" s="37" t="s">
        <v>118</v>
      </c>
      <c r="D9" s="55" t="s">
        <v>1142</v>
      </c>
      <c r="E9" s="57" t="s">
        <v>1143</v>
      </c>
      <c r="F9" s="33" t="s">
        <v>1144</v>
      </c>
      <c r="G9" s="36">
        <v>1</v>
      </c>
      <c r="H9" s="38">
        <v>25</v>
      </c>
      <c r="I9" s="7">
        <v>45000</v>
      </c>
      <c r="J9" s="5">
        <v>1240</v>
      </c>
      <c r="K9" s="15">
        <f>L9+3535+1239</f>
        <v>4774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>
        <v>24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0.38810792167637398</v>
      </c>
      <c r="AF9" s="94">
        <f t="shared" ref="AF9:AF10" si="9">A9</f>
        <v>4</v>
      </c>
    </row>
    <row r="10" spans="1:36" ht="27" customHeight="1">
      <c r="A10" s="110">
        <v>5</v>
      </c>
      <c r="B10" s="11" t="s">
        <v>58</v>
      </c>
      <c r="C10" s="37" t="s">
        <v>118</v>
      </c>
      <c r="D10" s="55" t="s">
        <v>904</v>
      </c>
      <c r="E10" s="57" t="s">
        <v>905</v>
      </c>
      <c r="F10" s="33" t="s">
        <v>142</v>
      </c>
      <c r="G10" s="36">
        <v>1</v>
      </c>
      <c r="H10" s="38">
        <v>25</v>
      </c>
      <c r="I10" s="7">
        <v>50000</v>
      </c>
      <c r="J10" s="5">
        <v>2570</v>
      </c>
      <c r="K10" s="15">
        <f>L10+4454+5087+5573+4618+2034+3753+5521+2081</f>
        <v>35683</v>
      </c>
      <c r="L10" s="15">
        <f>485+2077</f>
        <v>2562</v>
      </c>
      <c r="M10" s="16">
        <f t="shared" ref="M10" si="10">L10-N10</f>
        <v>2562</v>
      </c>
      <c r="N10" s="16">
        <v>0</v>
      </c>
      <c r="O10" s="62">
        <f t="shared" ref="O10" si="11">IF(L10=0,"0",N10/L10)</f>
        <v>0</v>
      </c>
      <c r="P10" s="42">
        <f t="shared" ref="P10" si="12">IF(L10=0,"0",(24-Q10))</f>
        <v>16</v>
      </c>
      <c r="Q10" s="43">
        <f t="shared" ref="Q10" si="13">SUM(R10:AA10)</f>
        <v>8</v>
      </c>
      <c r="R10" s="7"/>
      <c r="S10" s="6">
        <v>8</v>
      </c>
      <c r="T10" s="17"/>
      <c r="U10" s="17"/>
      <c r="V10" s="18"/>
      <c r="W10" s="19"/>
      <c r="X10" s="17"/>
      <c r="Y10" s="20"/>
      <c r="Z10" s="20"/>
      <c r="AA10" s="21"/>
      <c r="AB10" s="8">
        <f t="shared" ref="AB10" si="14">IF(J10=0,"0",(L10/J10))</f>
        <v>0.99688715953307394</v>
      </c>
      <c r="AC10" s="9">
        <f t="shared" ref="AC10" si="15">IF(P10=0,"0",(P10/24))</f>
        <v>0.66666666666666663</v>
      </c>
      <c r="AD10" s="10">
        <f t="shared" ref="AD10" si="16">AC10*AB10*(1-O10)</f>
        <v>0.66459143968871592</v>
      </c>
      <c r="AE10" s="39">
        <f t="shared" si="7"/>
        <v>0.38810792167637398</v>
      </c>
      <c r="AF10" s="94">
        <f t="shared" si="9"/>
        <v>5</v>
      </c>
    </row>
    <row r="11" spans="1:36" ht="27" customHeight="1">
      <c r="A11" s="110">
        <v>6</v>
      </c>
      <c r="B11" s="11" t="s">
        <v>58</v>
      </c>
      <c r="C11" s="11" t="s">
        <v>133</v>
      </c>
      <c r="D11" s="55" t="s">
        <v>131</v>
      </c>
      <c r="E11" s="57" t="s">
        <v>700</v>
      </c>
      <c r="F11" s="12" t="s">
        <v>166</v>
      </c>
      <c r="G11" s="12">
        <v>1</v>
      </c>
      <c r="H11" s="13">
        <v>25</v>
      </c>
      <c r="I11" s="34">
        <v>40000</v>
      </c>
      <c r="J11" s="14">
        <v>3340</v>
      </c>
      <c r="K11" s="15">
        <f>L11+2724+6303+6504+3472+2821+4925+6265+4473+6359+2915</f>
        <v>50095</v>
      </c>
      <c r="L11" s="15">
        <f>3172+162</f>
        <v>3334</v>
      </c>
      <c r="M11" s="16">
        <f t="shared" si="0"/>
        <v>3334</v>
      </c>
      <c r="N11" s="16">
        <v>0</v>
      </c>
      <c r="O11" s="62">
        <f t="shared" si="1"/>
        <v>0</v>
      </c>
      <c r="P11" s="42">
        <f t="shared" si="2"/>
        <v>17</v>
      </c>
      <c r="Q11" s="43">
        <f t="shared" si="3"/>
        <v>7</v>
      </c>
      <c r="R11" s="7"/>
      <c r="S11" s="6">
        <v>7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0.99820359281437121</v>
      </c>
      <c r="AC11" s="9">
        <f t="shared" si="5"/>
        <v>0.70833333333333337</v>
      </c>
      <c r="AD11" s="10">
        <f t="shared" si="6"/>
        <v>0.70706087824351294</v>
      </c>
      <c r="AE11" s="39">
        <f t="shared" si="7"/>
        <v>0.38810792167637398</v>
      </c>
      <c r="AF11" s="94">
        <f t="shared" si="8"/>
        <v>6</v>
      </c>
    </row>
    <row r="12" spans="1:36" ht="27" customHeight="1">
      <c r="A12" s="110">
        <v>7</v>
      </c>
      <c r="B12" s="11" t="s">
        <v>58</v>
      </c>
      <c r="C12" s="11" t="s">
        <v>1100</v>
      </c>
      <c r="D12" s="55" t="s">
        <v>136</v>
      </c>
      <c r="E12" s="57" t="s">
        <v>1102</v>
      </c>
      <c r="F12" s="12" t="s">
        <v>1103</v>
      </c>
      <c r="G12" s="12">
        <v>1</v>
      </c>
      <c r="H12" s="13">
        <v>25</v>
      </c>
      <c r="I12" s="7">
        <v>25000</v>
      </c>
      <c r="J12" s="14">
        <v>1170</v>
      </c>
      <c r="K12" s="15">
        <f>L12+2195+4079+2153</f>
        <v>9594</v>
      </c>
      <c r="L12" s="15">
        <v>1167</v>
      </c>
      <c r="M12" s="16">
        <f t="shared" si="0"/>
        <v>1167</v>
      </c>
      <c r="N12" s="16">
        <v>0</v>
      </c>
      <c r="O12" s="62">
        <f t="shared" si="1"/>
        <v>0</v>
      </c>
      <c r="P12" s="42">
        <f t="shared" si="2"/>
        <v>6</v>
      </c>
      <c r="Q12" s="43">
        <f t="shared" si="3"/>
        <v>18</v>
      </c>
      <c r="R12" s="7"/>
      <c r="S12" s="6">
        <v>18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0.99743589743589745</v>
      </c>
      <c r="AC12" s="9">
        <f t="shared" si="5"/>
        <v>0.25</v>
      </c>
      <c r="AD12" s="10">
        <f t="shared" si="6"/>
        <v>0.24935897435897436</v>
      </c>
      <c r="AE12" s="39">
        <f t="shared" si="7"/>
        <v>0.38810792167637398</v>
      </c>
      <c r="AF12" s="94">
        <f t="shared" si="8"/>
        <v>7</v>
      </c>
    </row>
    <row r="13" spans="1:36" ht="27" customHeight="1">
      <c r="A13" s="110">
        <v>8</v>
      </c>
      <c r="B13" s="11" t="s">
        <v>58</v>
      </c>
      <c r="C13" s="11" t="s">
        <v>118</v>
      </c>
      <c r="D13" s="55" t="s">
        <v>1212</v>
      </c>
      <c r="E13" s="57" t="s">
        <v>1213</v>
      </c>
      <c r="F13" s="12" t="s">
        <v>1214</v>
      </c>
      <c r="G13" s="12">
        <v>1</v>
      </c>
      <c r="H13" s="13">
        <v>25</v>
      </c>
      <c r="I13" s="7">
        <v>45000</v>
      </c>
      <c r="J13" s="14">
        <v>2610</v>
      </c>
      <c r="K13" s="15">
        <f>L13</f>
        <v>2601</v>
      </c>
      <c r="L13" s="15">
        <f>2601</f>
        <v>2601</v>
      </c>
      <c r="M13" s="16">
        <f t="shared" si="0"/>
        <v>2601</v>
      </c>
      <c r="N13" s="16">
        <v>0</v>
      </c>
      <c r="O13" s="62">
        <f t="shared" si="1"/>
        <v>0</v>
      </c>
      <c r="P13" s="42">
        <f t="shared" si="2"/>
        <v>15</v>
      </c>
      <c r="Q13" s="43">
        <f t="shared" si="3"/>
        <v>9</v>
      </c>
      <c r="R13" s="7"/>
      <c r="S13" s="6"/>
      <c r="T13" s="17">
        <v>9</v>
      </c>
      <c r="U13" s="17"/>
      <c r="V13" s="18"/>
      <c r="W13" s="19"/>
      <c r="X13" s="17"/>
      <c r="Y13" s="20"/>
      <c r="Z13" s="20"/>
      <c r="AA13" s="21"/>
      <c r="AB13" s="8">
        <f t="shared" si="4"/>
        <v>0.99655172413793103</v>
      </c>
      <c r="AC13" s="9">
        <f t="shared" si="5"/>
        <v>0.625</v>
      </c>
      <c r="AD13" s="10">
        <f t="shared" si="6"/>
        <v>0.62284482758620685</v>
      </c>
      <c r="AE13" s="39">
        <f t="shared" si="7"/>
        <v>0.38810792167637398</v>
      </c>
      <c r="AF13" s="94">
        <f t="shared" si="8"/>
        <v>8</v>
      </c>
    </row>
    <row r="14" spans="1:36" ht="27" customHeight="1">
      <c r="A14" s="109">
        <v>9</v>
      </c>
      <c r="B14" s="11" t="s">
        <v>58</v>
      </c>
      <c r="C14" s="37" t="s">
        <v>117</v>
      </c>
      <c r="D14" s="55" t="s">
        <v>1059</v>
      </c>
      <c r="E14" s="57" t="s">
        <v>1104</v>
      </c>
      <c r="F14" s="33" t="s">
        <v>1105</v>
      </c>
      <c r="G14" s="36">
        <v>1</v>
      </c>
      <c r="H14" s="38">
        <v>25</v>
      </c>
      <c r="I14" s="7">
        <v>300</v>
      </c>
      <c r="J14" s="5">
        <v>76</v>
      </c>
      <c r="K14" s="15">
        <f>L14+76</f>
        <v>76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>
        <v>24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0.38810792167637398</v>
      </c>
      <c r="AF14" s="94">
        <f t="shared" si="8"/>
        <v>9</v>
      </c>
    </row>
    <row r="15" spans="1:36" ht="27" customHeight="1">
      <c r="A15" s="109">
        <v>10</v>
      </c>
      <c r="B15" s="11" t="s">
        <v>58</v>
      </c>
      <c r="C15" s="11" t="s">
        <v>195</v>
      </c>
      <c r="D15" s="55" t="s">
        <v>967</v>
      </c>
      <c r="E15" s="57" t="s">
        <v>968</v>
      </c>
      <c r="F15" s="12">
        <v>8301</v>
      </c>
      <c r="G15" s="12">
        <v>1</v>
      </c>
      <c r="H15" s="13">
        <v>20</v>
      </c>
      <c r="I15" s="34">
        <v>500</v>
      </c>
      <c r="J15" s="14">
        <v>1590</v>
      </c>
      <c r="K15" s="15">
        <f>L15+1585</f>
        <v>1585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0.38810792167637398</v>
      </c>
      <c r="AF15" s="94">
        <f t="shared" si="8"/>
        <v>10</v>
      </c>
    </row>
    <row r="16" spans="1:36" ht="27.75" customHeight="1">
      <c r="A16" s="109">
        <v>11</v>
      </c>
      <c r="B16" s="11" t="s">
        <v>58</v>
      </c>
      <c r="C16" s="11" t="s">
        <v>133</v>
      </c>
      <c r="D16" s="55" t="s">
        <v>900</v>
      </c>
      <c r="E16" s="56" t="s">
        <v>901</v>
      </c>
      <c r="F16" s="12">
        <v>7301</v>
      </c>
      <c r="G16" s="36">
        <v>1</v>
      </c>
      <c r="H16" s="38">
        <v>25</v>
      </c>
      <c r="I16" s="7">
        <v>40000</v>
      </c>
      <c r="J16" s="14">
        <v>1920</v>
      </c>
      <c r="K16" s="15">
        <f>L16+1291+540+704+4156+1918</f>
        <v>8609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>
        <v>24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0.38810792167637398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58</v>
      </c>
      <c r="C17" s="37" t="s">
        <v>133</v>
      </c>
      <c r="D17" s="55" t="s">
        <v>190</v>
      </c>
      <c r="E17" s="56" t="s">
        <v>1063</v>
      </c>
      <c r="F17" s="12" t="s">
        <v>281</v>
      </c>
      <c r="G17" s="12">
        <v>1</v>
      </c>
      <c r="H17" s="13">
        <v>25</v>
      </c>
      <c r="I17" s="34">
        <v>25000</v>
      </c>
      <c r="J17" s="5">
        <v>7920</v>
      </c>
      <c r="K17" s="15">
        <f>L17+20832+7920</f>
        <v>28752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0.38810792167637398</v>
      </c>
      <c r="AF17" s="94">
        <f t="shared" ref="AF17" si="17">A17</f>
        <v>12</v>
      </c>
    </row>
    <row r="18" spans="1:32" ht="27" customHeight="1">
      <c r="A18" s="110">
        <v>13</v>
      </c>
      <c r="B18" s="11" t="s">
        <v>58</v>
      </c>
      <c r="C18" s="37" t="s">
        <v>117</v>
      </c>
      <c r="D18" s="55" t="s">
        <v>1215</v>
      </c>
      <c r="E18" s="57" t="s">
        <v>1216</v>
      </c>
      <c r="F18" s="33" t="s">
        <v>142</v>
      </c>
      <c r="G18" s="36">
        <v>1</v>
      </c>
      <c r="H18" s="38">
        <v>25</v>
      </c>
      <c r="I18" s="7">
        <v>22000</v>
      </c>
      <c r="J18" s="5">
        <v>2570</v>
      </c>
      <c r="K18" s="15">
        <f>L18</f>
        <v>2568</v>
      </c>
      <c r="L18" s="15">
        <f>2568</f>
        <v>2568</v>
      </c>
      <c r="M18" s="16">
        <f t="shared" si="0"/>
        <v>2568</v>
      </c>
      <c r="N18" s="16">
        <v>0</v>
      </c>
      <c r="O18" s="62">
        <f t="shared" si="1"/>
        <v>0</v>
      </c>
      <c r="P18" s="42">
        <f t="shared" si="2"/>
        <v>15</v>
      </c>
      <c r="Q18" s="43">
        <f t="shared" si="3"/>
        <v>9</v>
      </c>
      <c r="R18" s="7"/>
      <c r="S18" s="6">
        <v>9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0.99922178988326849</v>
      </c>
      <c r="AC18" s="9">
        <f t="shared" si="5"/>
        <v>0.625</v>
      </c>
      <c r="AD18" s="10">
        <f t="shared" si="6"/>
        <v>0.6245136186770428</v>
      </c>
      <c r="AE18" s="39">
        <f t="shared" si="7"/>
        <v>0.38810792167637398</v>
      </c>
      <c r="AF18" s="94">
        <f t="shared" si="8"/>
        <v>13</v>
      </c>
    </row>
    <row r="19" spans="1:32" ht="27" customHeight="1">
      <c r="A19" s="110">
        <v>14</v>
      </c>
      <c r="B19" s="11" t="s">
        <v>58</v>
      </c>
      <c r="C19" s="11" t="s">
        <v>118</v>
      </c>
      <c r="D19" s="55" t="s">
        <v>57</v>
      </c>
      <c r="E19" s="57" t="s">
        <v>160</v>
      </c>
      <c r="F19" s="12" t="s">
        <v>145</v>
      </c>
      <c r="G19" s="12">
        <v>1</v>
      </c>
      <c r="H19" s="13">
        <v>25</v>
      </c>
      <c r="I19" s="7">
        <v>52000</v>
      </c>
      <c r="J19" s="14">
        <v>4830</v>
      </c>
      <c r="K19" s="15">
        <f>L19+4424+5402+3684+3104+5222+5230+5262+2977+639</f>
        <v>40772</v>
      </c>
      <c r="L19" s="15">
        <f>2640+2188</f>
        <v>4828</v>
      </c>
      <c r="M19" s="16">
        <f t="shared" si="0"/>
        <v>4828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0.99958592132505175</v>
      </c>
      <c r="AC19" s="9">
        <f t="shared" si="5"/>
        <v>1</v>
      </c>
      <c r="AD19" s="10">
        <f t="shared" si="6"/>
        <v>0.99958592132505175</v>
      </c>
      <c r="AE19" s="39">
        <f t="shared" si="7"/>
        <v>0.38810792167637398</v>
      </c>
      <c r="AF19" s="94">
        <f t="shared" si="8"/>
        <v>14</v>
      </c>
    </row>
    <row r="20" spans="1:32" ht="27" customHeight="1" thickBot="1">
      <c r="A20" s="110">
        <v>15</v>
      </c>
      <c r="B20" s="11" t="s">
        <v>58</v>
      </c>
      <c r="C20" s="11" t="s">
        <v>115</v>
      </c>
      <c r="D20" s="55"/>
      <c r="E20" s="56" t="s">
        <v>906</v>
      </c>
      <c r="F20" s="12" t="s">
        <v>116</v>
      </c>
      <c r="G20" s="12">
        <v>4</v>
      </c>
      <c r="H20" s="38">
        <v>15</v>
      </c>
      <c r="I20" s="7">
        <v>100000</v>
      </c>
      <c r="J20" s="14">
        <v>57600</v>
      </c>
      <c r="K20" s="15">
        <f>L20+60468+60904+70332+57924+57588</f>
        <v>307216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0.38810792167637398</v>
      </c>
      <c r="AF20" s="94">
        <f t="shared" si="8"/>
        <v>15</v>
      </c>
    </row>
    <row r="21" spans="1:32" ht="31.5" customHeight="1" thickBot="1">
      <c r="A21" s="465" t="s">
        <v>34</v>
      </c>
      <c r="B21" s="466"/>
      <c r="C21" s="466"/>
      <c r="D21" s="466"/>
      <c r="E21" s="466"/>
      <c r="F21" s="466"/>
      <c r="G21" s="466"/>
      <c r="H21" s="467"/>
      <c r="I21" s="25">
        <f t="shared" ref="I21:N21" si="18">SUM(I6:I20)</f>
        <v>579800</v>
      </c>
      <c r="J21" s="22">
        <f t="shared" si="18"/>
        <v>95696</v>
      </c>
      <c r="K21" s="23">
        <f t="shared" si="18"/>
        <v>547289</v>
      </c>
      <c r="L21" s="24">
        <f t="shared" si="18"/>
        <v>25304</v>
      </c>
      <c r="M21" s="23">
        <f t="shared" si="18"/>
        <v>25304</v>
      </c>
      <c r="N21" s="24">
        <f t="shared" si="18"/>
        <v>0</v>
      </c>
      <c r="O21" s="44">
        <f t="shared" si="1"/>
        <v>0</v>
      </c>
      <c r="P21" s="45">
        <f t="shared" ref="P21:AA21" si="19">SUM(P6:P20)</f>
        <v>140</v>
      </c>
      <c r="Q21" s="46">
        <f t="shared" si="19"/>
        <v>220</v>
      </c>
      <c r="R21" s="26">
        <f t="shared" si="19"/>
        <v>0</v>
      </c>
      <c r="S21" s="27">
        <f t="shared" si="19"/>
        <v>139</v>
      </c>
      <c r="T21" s="27">
        <f t="shared" si="19"/>
        <v>9</v>
      </c>
      <c r="U21" s="27">
        <f t="shared" si="19"/>
        <v>0</v>
      </c>
      <c r="V21" s="28">
        <f t="shared" si="19"/>
        <v>0</v>
      </c>
      <c r="W21" s="29">
        <f t="shared" si="19"/>
        <v>72</v>
      </c>
      <c r="X21" s="30">
        <f t="shared" si="19"/>
        <v>0</v>
      </c>
      <c r="Y21" s="30">
        <f t="shared" si="19"/>
        <v>0</v>
      </c>
      <c r="Z21" s="30">
        <f t="shared" si="19"/>
        <v>0</v>
      </c>
      <c r="AA21" s="30">
        <f t="shared" si="19"/>
        <v>0</v>
      </c>
      <c r="AB21" s="31">
        <f>SUM(AB6:AB20)/15</f>
        <v>0.5979643944708245</v>
      </c>
      <c r="AC21" s="4">
        <f>SUM(AC6:AC20)/15</f>
        <v>0.38888888888888895</v>
      </c>
      <c r="AD21" s="4">
        <f>SUM(AD6:AD20)/15</f>
        <v>0.38810792167637398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68" t="s">
        <v>45</v>
      </c>
      <c r="B48" s="468"/>
      <c r="C48" s="468"/>
      <c r="D48" s="468"/>
      <c r="E48" s="468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69" t="s">
        <v>1217</v>
      </c>
      <c r="B49" s="470"/>
      <c r="C49" s="470"/>
      <c r="D49" s="470"/>
      <c r="E49" s="470"/>
      <c r="F49" s="470"/>
      <c r="G49" s="470"/>
      <c r="H49" s="470"/>
      <c r="I49" s="470"/>
      <c r="J49" s="470"/>
      <c r="K49" s="470"/>
      <c r="L49" s="470"/>
      <c r="M49" s="471"/>
      <c r="N49" s="472" t="s">
        <v>1218</v>
      </c>
      <c r="O49" s="473"/>
      <c r="P49" s="473"/>
      <c r="Q49" s="473"/>
      <c r="R49" s="473"/>
      <c r="S49" s="473"/>
      <c r="T49" s="473"/>
      <c r="U49" s="473"/>
      <c r="V49" s="473"/>
      <c r="W49" s="473"/>
      <c r="X49" s="473"/>
      <c r="Y49" s="473"/>
      <c r="Z49" s="473"/>
      <c r="AA49" s="473"/>
      <c r="AB49" s="473"/>
      <c r="AC49" s="473"/>
      <c r="AD49" s="474"/>
    </row>
    <row r="50" spans="1:32" ht="27" customHeight="1">
      <c r="A50" s="475" t="s">
        <v>2</v>
      </c>
      <c r="B50" s="476"/>
      <c r="C50" s="412" t="s">
        <v>46</v>
      </c>
      <c r="D50" s="412" t="s">
        <v>47</v>
      </c>
      <c r="E50" s="412" t="s">
        <v>109</v>
      </c>
      <c r="F50" s="476" t="s">
        <v>108</v>
      </c>
      <c r="G50" s="476"/>
      <c r="H50" s="476"/>
      <c r="I50" s="476"/>
      <c r="J50" s="476"/>
      <c r="K50" s="476"/>
      <c r="L50" s="476"/>
      <c r="M50" s="477"/>
      <c r="N50" s="73" t="s">
        <v>113</v>
      </c>
      <c r="O50" s="412" t="s">
        <v>46</v>
      </c>
      <c r="P50" s="478" t="s">
        <v>47</v>
      </c>
      <c r="Q50" s="479"/>
      <c r="R50" s="478" t="s">
        <v>38</v>
      </c>
      <c r="S50" s="480"/>
      <c r="T50" s="480"/>
      <c r="U50" s="479"/>
      <c r="V50" s="478" t="s">
        <v>48</v>
      </c>
      <c r="W50" s="480"/>
      <c r="X50" s="480"/>
      <c r="Y50" s="480"/>
      <c r="Z50" s="480"/>
      <c r="AA50" s="480"/>
      <c r="AB50" s="480"/>
      <c r="AC50" s="480"/>
      <c r="AD50" s="481"/>
    </row>
    <row r="51" spans="1:32" ht="27" customHeight="1">
      <c r="A51" s="492" t="s">
        <v>1219</v>
      </c>
      <c r="B51" s="493"/>
      <c r="C51" s="411" t="s">
        <v>686</v>
      </c>
      <c r="D51" s="408" t="s">
        <v>1220</v>
      </c>
      <c r="E51" s="411" t="s">
        <v>1221</v>
      </c>
      <c r="F51" s="494" t="s">
        <v>1222</v>
      </c>
      <c r="G51" s="494"/>
      <c r="H51" s="494"/>
      <c r="I51" s="494"/>
      <c r="J51" s="494"/>
      <c r="K51" s="494"/>
      <c r="L51" s="494"/>
      <c r="M51" s="495"/>
      <c r="N51" s="407" t="s">
        <v>1193</v>
      </c>
      <c r="O51" s="74" t="s">
        <v>686</v>
      </c>
      <c r="P51" s="496" t="s">
        <v>1238</v>
      </c>
      <c r="Q51" s="497"/>
      <c r="R51" s="498" t="s">
        <v>1239</v>
      </c>
      <c r="S51" s="498"/>
      <c r="T51" s="498"/>
      <c r="U51" s="498"/>
      <c r="V51" s="494" t="s">
        <v>1240</v>
      </c>
      <c r="W51" s="494"/>
      <c r="X51" s="494"/>
      <c r="Y51" s="494"/>
      <c r="Z51" s="494"/>
      <c r="AA51" s="494"/>
      <c r="AB51" s="494"/>
      <c r="AC51" s="494"/>
      <c r="AD51" s="495"/>
    </row>
    <row r="52" spans="1:32" ht="27" customHeight="1">
      <c r="A52" s="492" t="s">
        <v>1223</v>
      </c>
      <c r="B52" s="493"/>
      <c r="C52" s="411" t="s">
        <v>725</v>
      </c>
      <c r="D52" s="408" t="s">
        <v>1069</v>
      </c>
      <c r="E52" s="411" t="s">
        <v>1224</v>
      </c>
      <c r="F52" s="494" t="s">
        <v>1189</v>
      </c>
      <c r="G52" s="494"/>
      <c r="H52" s="494"/>
      <c r="I52" s="494"/>
      <c r="J52" s="494"/>
      <c r="K52" s="494"/>
      <c r="L52" s="494"/>
      <c r="M52" s="495"/>
      <c r="N52" s="407" t="s">
        <v>133</v>
      </c>
      <c r="O52" s="74" t="s">
        <v>222</v>
      </c>
      <c r="P52" s="496" t="s">
        <v>1241</v>
      </c>
      <c r="Q52" s="497"/>
      <c r="R52" s="498" t="s">
        <v>1242</v>
      </c>
      <c r="S52" s="498"/>
      <c r="T52" s="498"/>
      <c r="U52" s="498"/>
      <c r="V52" s="494" t="s">
        <v>1240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1152</v>
      </c>
      <c r="B53" s="493"/>
      <c r="C53" s="411" t="s">
        <v>224</v>
      </c>
      <c r="D53" s="408" t="s">
        <v>1142</v>
      </c>
      <c r="E53" s="411" t="s">
        <v>1225</v>
      </c>
      <c r="F53" s="494" t="s">
        <v>1226</v>
      </c>
      <c r="G53" s="494"/>
      <c r="H53" s="494"/>
      <c r="I53" s="494"/>
      <c r="J53" s="494"/>
      <c r="K53" s="494"/>
      <c r="L53" s="494"/>
      <c r="M53" s="495"/>
      <c r="N53" s="407" t="s">
        <v>1243</v>
      </c>
      <c r="O53" s="74" t="s">
        <v>229</v>
      </c>
      <c r="P53" s="496" t="s">
        <v>1244</v>
      </c>
      <c r="Q53" s="497"/>
      <c r="R53" s="498" t="s">
        <v>1245</v>
      </c>
      <c r="S53" s="498"/>
      <c r="T53" s="498"/>
      <c r="U53" s="498"/>
      <c r="V53" s="494" t="s">
        <v>1240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118</v>
      </c>
      <c r="B54" s="493"/>
      <c r="C54" s="411" t="s">
        <v>1227</v>
      </c>
      <c r="D54" s="408" t="s">
        <v>1159</v>
      </c>
      <c r="E54" s="411" t="s">
        <v>1213</v>
      </c>
      <c r="F54" s="494" t="s">
        <v>1228</v>
      </c>
      <c r="G54" s="494"/>
      <c r="H54" s="494"/>
      <c r="I54" s="494"/>
      <c r="J54" s="494"/>
      <c r="K54" s="494"/>
      <c r="L54" s="494"/>
      <c r="M54" s="495"/>
      <c r="N54" s="407" t="s">
        <v>118</v>
      </c>
      <c r="O54" s="74" t="s">
        <v>725</v>
      </c>
      <c r="P54" s="496" t="s">
        <v>1204</v>
      </c>
      <c r="Q54" s="497"/>
      <c r="R54" s="498" t="s">
        <v>1246</v>
      </c>
      <c r="S54" s="498"/>
      <c r="T54" s="498"/>
      <c r="U54" s="498"/>
      <c r="V54" s="494" t="s">
        <v>1206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1229</v>
      </c>
      <c r="B55" s="493"/>
      <c r="C55" s="411" t="s">
        <v>1230</v>
      </c>
      <c r="D55" s="408" t="s">
        <v>1231</v>
      </c>
      <c r="E55" s="411" t="s">
        <v>1216</v>
      </c>
      <c r="F55" s="494" t="s">
        <v>1232</v>
      </c>
      <c r="G55" s="494"/>
      <c r="H55" s="494"/>
      <c r="I55" s="494"/>
      <c r="J55" s="494"/>
      <c r="K55" s="494"/>
      <c r="L55" s="494"/>
      <c r="M55" s="495"/>
      <c r="N55" s="407" t="s">
        <v>1229</v>
      </c>
      <c r="O55" s="74" t="s">
        <v>679</v>
      </c>
      <c r="P55" s="496" t="s">
        <v>1247</v>
      </c>
      <c r="Q55" s="497"/>
      <c r="R55" s="498" t="s">
        <v>1236</v>
      </c>
      <c r="S55" s="498"/>
      <c r="T55" s="498"/>
      <c r="U55" s="498"/>
      <c r="V55" s="494" t="s">
        <v>144</v>
      </c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133</v>
      </c>
      <c r="B56" s="493"/>
      <c r="C56" s="411" t="s">
        <v>702</v>
      </c>
      <c r="D56" s="408" t="s">
        <v>1233</v>
      </c>
      <c r="E56" s="411" t="s">
        <v>1234</v>
      </c>
      <c r="F56" s="494" t="s">
        <v>1235</v>
      </c>
      <c r="G56" s="494"/>
      <c r="H56" s="494"/>
      <c r="I56" s="494"/>
      <c r="J56" s="494"/>
      <c r="K56" s="494"/>
      <c r="L56" s="494"/>
      <c r="M56" s="495"/>
      <c r="N56" s="407"/>
      <c r="O56" s="74"/>
      <c r="P56" s="498"/>
      <c r="Q56" s="498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 t="s">
        <v>117</v>
      </c>
      <c r="B57" s="493"/>
      <c r="C57" s="411" t="s">
        <v>679</v>
      </c>
      <c r="D57" s="408" t="s">
        <v>136</v>
      </c>
      <c r="E57" s="411" t="s">
        <v>1236</v>
      </c>
      <c r="F57" s="494" t="s">
        <v>1237</v>
      </c>
      <c r="G57" s="494"/>
      <c r="H57" s="494"/>
      <c r="I57" s="494"/>
      <c r="J57" s="494"/>
      <c r="K57" s="494"/>
      <c r="L57" s="494"/>
      <c r="M57" s="495"/>
      <c r="N57" s="407"/>
      <c r="O57" s="74"/>
      <c r="P57" s="496"/>
      <c r="Q57" s="497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/>
      <c r="B58" s="493"/>
      <c r="C58" s="411"/>
      <c r="D58" s="408"/>
      <c r="E58" s="411"/>
      <c r="F58" s="494"/>
      <c r="G58" s="494"/>
      <c r="H58" s="494"/>
      <c r="I58" s="494"/>
      <c r="J58" s="494"/>
      <c r="K58" s="494"/>
      <c r="L58" s="494"/>
      <c r="M58" s="495"/>
      <c r="N58" s="407"/>
      <c r="O58" s="74"/>
      <c r="P58" s="498"/>
      <c r="Q58" s="498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508"/>
      <c r="B59" s="498"/>
      <c r="C59" s="408"/>
      <c r="D59" s="408"/>
      <c r="E59" s="408"/>
      <c r="F59" s="494"/>
      <c r="G59" s="494"/>
      <c r="H59" s="494"/>
      <c r="I59" s="494"/>
      <c r="J59" s="494"/>
      <c r="K59" s="494"/>
      <c r="L59" s="494"/>
      <c r="M59" s="495"/>
      <c r="N59" s="407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  <c r="AF59" s="94">
        <f>8*3000</f>
        <v>24000</v>
      </c>
    </row>
    <row r="60" spans="1:32" ht="27" customHeight="1" thickBot="1">
      <c r="A60" s="499"/>
      <c r="B60" s="500"/>
      <c r="C60" s="410"/>
      <c r="D60" s="410"/>
      <c r="E60" s="410"/>
      <c r="F60" s="501"/>
      <c r="G60" s="501"/>
      <c r="H60" s="501"/>
      <c r="I60" s="501"/>
      <c r="J60" s="501"/>
      <c r="K60" s="501"/>
      <c r="L60" s="501"/>
      <c r="M60" s="502"/>
      <c r="N60" s="409"/>
      <c r="O60" s="121"/>
      <c r="P60" s="500"/>
      <c r="Q60" s="500"/>
      <c r="R60" s="500"/>
      <c r="S60" s="500"/>
      <c r="T60" s="500"/>
      <c r="U60" s="500"/>
      <c r="V60" s="501"/>
      <c r="W60" s="501"/>
      <c r="X60" s="501"/>
      <c r="Y60" s="501"/>
      <c r="Z60" s="501"/>
      <c r="AA60" s="501"/>
      <c r="AB60" s="501"/>
      <c r="AC60" s="501"/>
      <c r="AD60" s="502"/>
      <c r="AF60" s="94">
        <f>16*3000</f>
        <v>48000</v>
      </c>
    </row>
    <row r="61" spans="1:32" ht="27.75" thickBot="1">
      <c r="A61" s="503" t="s">
        <v>1248</v>
      </c>
      <c r="B61" s="503"/>
      <c r="C61" s="503"/>
      <c r="D61" s="503"/>
      <c r="E61" s="503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504" t="s">
        <v>114</v>
      </c>
      <c r="B62" s="505"/>
      <c r="C62" s="406" t="s">
        <v>2</v>
      </c>
      <c r="D62" s="406" t="s">
        <v>37</v>
      </c>
      <c r="E62" s="406" t="s">
        <v>3</v>
      </c>
      <c r="F62" s="505" t="s">
        <v>111</v>
      </c>
      <c r="G62" s="505"/>
      <c r="H62" s="505"/>
      <c r="I62" s="505"/>
      <c r="J62" s="505"/>
      <c r="K62" s="505" t="s">
        <v>39</v>
      </c>
      <c r="L62" s="505"/>
      <c r="M62" s="406" t="s">
        <v>40</v>
      </c>
      <c r="N62" s="505" t="s">
        <v>41</v>
      </c>
      <c r="O62" s="505"/>
      <c r="P62" s="506" t="s">
        <v>42</v>
      </c>
      <c r="Q62" s="507"/>
      <c r="R62" s="506" t="s">
        <v>43</v>
      </c>
      <c r="S62" s="509"/>
      <c r="T62" s="509"/>
      <c r="U62" s="509"/>
      <c r="V62" s="509"/>
      <c r="W62" s="509"/>
      <c r="X62" s="509"/>
      <c r="Y62" s="509"/>
      <c r="Z62" s="509"/>
      <c r="AA62" s="507"/>
      <c r="AB62" s="505" t="s">
        <v>44</v>
      </c>
      <c r="AC62" s="505"/>
      <c r="AD62" s="510"/>
      <c r="AF62" s="94">
        <f>SUM(AF59:AF61)</f>
        <v>96000</v>
      </c>
    </row>
    <row r="63" spans="1:32" ht="25.5" customHeight="1">
      <c r="A63" s="511">
        <v>1</v>
      </c>
      <c r="B63" s="512"/>
      <c r="C63" s="124" t="s">
        <v>1174</v>
      </c>
      <c r="D63" s="402"/>
      <c r="E63" s="405" t="s">
        <v>1249</v>
      </c>
      <c r="F63" s="513" t="s">
        <v>1250</v>
      </c>
      <c r="G63" s="514"/>
      <c r="H63" s="514"/>
      <c r="I63" s="514"/>
      <c r="J63" s="514"/>
      <c r="K63" s="514">
        <v>7301</v>
      </c>
      <c r="L63" s="514"/>
      <c r="M63" s="54" t="s">
        <v>1173</v>
      </c>
      <c r="N63" s="514">
        <v>8</v>
      </c>
      <c r="O63" s="514"/>
      <c r="P63" s="515">
        <v>50</v>
      </c>
      <c r="Q63" s="515"/>
      <c r="R63" s="494" t="s">
        <v>1251</v>
      </c>
      <c r="S63" s="494"/>
      <c r="T63" s="494"/>
      <c r="U63" s="494"/>
      <c r="V63" s="494"/>
      <c r="W63" s="494"/>
      <c r="X63" s="494"/>
      <c r="Y63" s="494"/>
      <c r="Z63" s="494"/>
      <c r="AA63" s="494"/>
      <c r="AB63" s="514"/>
      <c r="AC63" s="514"/>
      <c r="AD63" s="516"/>
      <c r="AF63" s="53"/>
    </row>
    <row r="64" spans="1:32" ht="25.5" customHeight="1">
      <c r="A64" s="511">
        <v>2</v>
      </c>
      <c r="B64" s="512"/>
      <c r="C64" s="124"/>
      <c r="D64" s="402"/>
      <c r="E64" s="405"/>
      <c r="F64" s="513"/>
      <c r="G64" s="514"/>
      <c r="H64" s="514"/>
      <c r="I64" s="514"/>
      <c r="J64" s="514"/>
      <c r="K64" s="514"/>
      <c r="L64" s="514"/>
      <c r="M64" s="54"/>
      <c r="N64" s="514"/>
      <c r="O64" s="514"/>
      <c r="P64" s="515"/>
      <c r="Q64" s="515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3</v>
      </c>
      <c r="B65" s="512"/>
      <c r="C65" s="124"/>
      <c r="D65" s="402"/>
      <c r="E65" s="405"/>
      <c r="F65" s="513"/>
      <c r="G65" s="514"/>
      <c r="H65" s="514"/>
      <c r="I65" s="514"/>
      <c r="J65" s="514"/>
      <c r="K65" s="514"/>
      <c r="L65" s="514"/>
      <c r="M65" s="54"/>
      <c r="N65" s="514"/>
      <c r="O65" s="514"/>
      <c r="P65" s="515"/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4</v>
      </c>
      <c r="B66" s="512"/>
      <c r="C66" s="124"/>
      <c r="D66" s="402"/>
      <c r="E66" s="405"/>
      <c r="F66" s="513"/>
      <c r="G66" s="514"/>
      <c r="H66" s="514"/>
      <c r="I66" s="514"/>
      <c r="J66" s="514"/>
      <c r="K66" s="514"/>
      <c r="L66" s="514"/>
      <c r="M66" s="54"/>
      <c r="N66" s="514"/>
      <c r="O66" s="514"/>
      <c r="P66" s="515"/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5</v>
      </c>
      <c r="B67" s="512"/>
      <c r="C67" s="124"/>
      <c r="D67" s="402"/>
      <c r="E67" s="405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6</v>
      </c>
      <c r="B68" s="512"/>
      <c r="C68" s="124"/>
      <c r="D68" s="402"/>
      <c r="E68" s="405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7</v>
      </c>
      <c r="B69" s="512"/>
      <c r="C69" s="124"/>
      <c r="D69" s="402"/>
      <c r="E69" s="405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8</v>
      </c>
      <c r="B70" s="512"/>
      <c r="C70" s="124"/>
      <c r="D70" s="402"/>
      <c r="E70" s="405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6.25" customHeight="1" thickBot="1">
      <c r="A71" s="517" t="s">
        <v>1252</v>
      </c>
      <c r="B71" s="517"/>
      <c r="C71" s="517"/>
      <c r="D71" s="517"/>
      <c r="E71" s="51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518" t="s">
        <v>114</v>
      </c>
      <c r="B72" s="519"/>
      <c r="C72" s="404" t="s">
        <v>2</v>
      </c>
      <c r="D72" s="404" t="s">
        <v>37</v>
      </c>
      <c r="E72" s="404" t="s">
        <v>3</v>
      </c>
      <c r="F72" s="519" t="s">
        <v>38</v>
      </c>
      <c r="G72" s="519"/>
      <c r="H72" s="519"/>
      <c r="I72" s="519"/>
      <c r="J72" s="519"/>
      <c r="K72" s="520" t="s">
        <v>59</v>
      </c>
      <c r="L72" s="521"/>
      <c r="M72" s="521"/>
      <c r="N72" s="521"/>
      <c r="O72" s="521"/>
      <c r="P72" s="521"/>
      <c r="Q72" s="521"/>
      <c r="R72" s="521"/>
      <c r="S72" s="522"/>
      <c r="T72" s="519" t="s">
        <v>49</v>
      </c>
      <c r="U72" s="519"/>
      <c r="V72" s="520" t="s">
        <v>50</v>
      </c>
      <c r="W72" s="522"/>
      <c r="X72" s="521" t="s">
        <v>51</v>
      </c>
      <c r="Y72" s="521"/>
      <c r="Z72" s="521"/>
      <c r="AA72" s="521"/>
      <c r="AB72" s="521"/>
      <c r="AC72" s="521"/>
      <c r="AD72" s="523"/>
      <c r="AF72" s="53"/>
    </row>
    <row r="73" spans="1:32" ht="33.75" customHeight="1">
      <c r="A73" s="532">
        <v>1</v>
      </c>
      <c r="B73" s="533"/>
      <c r="C73" s="403" t="s">
        <v>117</v>
      </c>
      <c r="D73" s="403"/>
      <c r="E73" s="71" t="s">
        <v>123</v>
      </c>
      <c r="F73" s="534" t="s">
        <v>124</v>
      </c>
      <c r="G73" s="535"/>
      <c r="H73" s="535"/>
      <c r="I73" s="535"/>
      <c r="J73" s="536"/>
      <c r="K73" s="537" t="s">
        <v>119</v>
      </c>
      <c r="L73" s="538"/>
      <c r="M73" s="538"/>
      <c r="N73" s="538"/>
      <c r="O73" s="538"/>
      <c r="P73" s="538"/>
      <c r="Q73" s="538"/>
      <c r="R73" s="538"/>
      <c r="S73" s="539"/>
      <c r="T73" s="540">
        <v>42901</v>
      </c>
      <c r="U73" s="541"/>
      <c r="V73" s="542"/>
      <c r="W73" s="542"/>
      <c r="X73" s="543"/>
      <c r="Y73" s="543"/>
      <c r="Z73" s="543"/>
      <c r="AA73" s="543"/>
      <c r="AB73" s="543"/>
      <c r="AC73" s="543"/>
      <c r="AD73" s="544"/>
      <c r="AF73" s="53"/>
    </row>
    <row r="74" spans="1:32" ht="30" customHeight="1">
      <c r="A74" s="524">
        <f>A73+1</f>
        <v>2</v>
      </c>
      <c r="B74" s="525"/>
      <c r="C74" s="402" t="s">
        <v>117</v>
      </c>
      <c r="D74" s="402"/>
      <c r="E74" s="35" t="s">
        <v>120</v>
      </c>
      <c r="F74" s="525" t="s">
        <v>121</v>
      </c>
      <c r="G74" s="525"/>
      <c r="H74" s="525"/>
      <c r="I74" s="525"/>
      <c r="J74" s="525"/>
      <c r="K74" s="526" t="s">
        <v>122</v>
      </c>
      <c r="L74" s="527"/>
      <c r="M74" s="527"/>
      <c r="N74" s="527"/>
      <c r="O74" s="527"/>
      <c r="P74" s="527"/>
      <c r="Q74" s="527"/>
      <c r="R74" s="527"/>
      <c r="S74" s="528"/>
      <c r="T74" s="529">
        <v>42867</v>
      </c>
      <c r="U74" s="529"/>
      <c r="V74" s="529"/>
      <c r="W74" s="529"/>
      <c r="X74" s="530"/>
      <c r="Y74" s="530"/>
      <c r="Z74" s="530"/>
      <c r="AA74" s="530"/>
      <c r="AB74" s="530"/>
      <c r="AC74" s="530"/>
      <c r="AD74" s="531"/>
      <c r="AF74" s="53"/>
    </row>
    <row r="75" spans="1:32" ht="30" customHeight="1">
      <c r="A75" s="524">
        <f t="shared" ref="A75:A81" si="20">A74+1</f>
        <v>3</v>
      </c>
      <c r="B75" s="525"/>
      <c r="C75" s="402" t="s">
        <v>133</v>
      </c>
      <c r="D75" s="402"/>
      <c r="E75" s="35" t="s">
        <v>131</v>
      </c>
      <c r="F75" s="525" t="s">
        <v>134</v>
      </c>
      <c r="G75" s="525"/>
      <c r="H75" s="525"/>
      <c r="I75" s="525"/>
      <c r="J75" s="525"/>
      <c r="K75" s="526" t="s">
        <v>119</v>
      </c>
      <c r="L75" s="527"/>
      <c r="M75" s="527"/>
      <c r="N75" s="527"/>
      <c r="O75" s="527"/>
      <c r="P75" s="527"/>
      <c r="Q75" s="527"/>
      <c r="R75" s="527"/>
      <c r="S75" s="528"/>
      <c r="T75" s="529">
        <v>42937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si="20"/>
        <v>4</v>
      </c>
      <c r="B76" s="525"/>
      <c r="C76" s="402"/>
      <c r="D76" s="402"/>
      <c r="E76" s="35"/>
      <c r="F76" s="525"/>
      <c r="G76" s="525"/>
      <c r="H76" s="525"/>
      <c r="I76" s="525"/>
      <c r="J76" s="525"/>
      <c r="K76" s="526"/>
      <c r="L76" s="527"/>
      <c r="M76" s="527"/>
      <c r="N76" s="527"/>
      <c r="O76" s="527"/>
      <c r="P76" s="527"/>
      <c r="Q76" s="527"/>
      <c r="R76" s="527"/>
      <c r="S76" s="528"/>
      <c r="T76" s="529"/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20"/>
        <v>5</v>
      </c>
      <c r="B77" s="525"/>
      <c r="C77" s="402"/>
      <c r="D77" s="402"/>
      <c r="E77" s="35"/>
      <c r="F77" s="525"/>
      <c r="G77" s="525"/>
      <c r="H77" s="525"/>
      <c r="I77" s="525"/>
      <c r="J77" s="525"/>
      <c r="K77" s="526"/>
      <c r="L77" s="527"/>
      <c r="M77" s="527"/>
      <c r="N77" s="527"/>
      <c r="O77" s="527"/>
      <c r="P77" s="527"/>
      <c r="Q77" s="527"/>
      <c r="R77" s="527"/>
      <c r="S77" s="528"/>
      <c r="T77" s="529"/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20"/>
        <v>6</v>
      </c>
      <c r="B78" s="525"/>
      <c r="C78" s="402"/>
      <c r="D78" s="402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20"/>
        <v>7</v>
      </c>
      <c r="B79" s="525"/>
      <c r="C79" s="402"/>
      <c r="D79" s="402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20"/>
        <v>8</v>
      </c>
      <c r="B80" s="525"/>
      <c r="C80" s="402"/>
      <c r="D80" s="402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20"/>
        <v>9</v>
      </c>
      <c r="B81" s="525"/>
      <c r="C81" s="402"/>
      <c r="D81" s="402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6" thickBot="1">
      <c r="A82" s="517" t="s">
        <v>1253</v>
      </c>
      <c r="B82" s="517"/>
      <c r="C82" s="517"/>
      <c r="D82" s="517"/>
      <c r="E82" s="51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518" t="s">
        <v>114</v>
      </c>
      <c r="B83" s="519"/>
      <c r="C83" s="545" t="s">
        <v>52</v>
      </c>
      <c r="D83" s="545"/>
      <c r="E83" s="545" t="s">
        <v>53</v>
      </c>
      <c r="F83" s="545"/>
      <c r="G83" s="545"/>
      <c r="H83" s="545"/>
      <c r="I83" s="545"/>
      <c r="J83" s="545"/>
      <c r="K83" s="545" t="s">
        <v>54</v>
      </c>
      <c r="L83" s="545"/>
      <c r="M83" s="545"/>
      <c r="N83" s="545"/>
      <c r="O83" s="545"/>
      <c r="P83" s="545"/>
      <c r="Q83" s="545"/>
      <c r="R83" s="545"/>
      <c r="S83" s="545"/>
      <c r="T83" s="545" t="s">
        <v>55</v>
      </c>
      <c r="U83" s="545"/>
      <c r="V83" s="545" t="s">
        <v>56</v>
      </c>
      <c r="W83" s="545"/>
      <c r="X83" s="545"/>
      <c r="Y83" s="545" t="s">
        <v>51</v>
      </c>
      <c r="Z83" s="545"/>
      <c r="AA83" s="545"/>
      <c r="AB83" s="545"/>
      <c r="AC83" s="545"/>
      <c r="AD83" s="546"/>
      <c r="AF83" s="53"/>
    </row>
    <row r="84" spans="1:32" ht="30.75" customHeight="1">
      <c r="A84" s="532">
        <v>1</v>
      </c>
      <c r="B84" s="533"/>
      <c r="C84" s="547"/>
      <c r="D84" s="547"/>
      <c r="E84" s="547"/>
      <c r="F84" s="547"/>
      <c r="G84" s="547"/>
      <c r="H84" s="547"/>
      <c r="I84" s="547"/>
      <c r="J84" s="547"/>
      <c r="K84" s="547"/>
      <c r="L84" s="547"/>
      <c r="M84" s="547"/>
      <c r="N84" s="547"/>
      <c r="O84" s="547"/>
      <c r="P84" s="547"/>
      <c r="Q84" s="547"/>
      <c r="R84" s="547"/>
      <c r="S84" s="547"/>
      <c r="T84" s="547"/>
      <c r="U84" s="547"/>
      <c r="V84" s="548"/>
      <c r="W84" s="548"/>
      <c r="X84" s="548"/>
      <c r="Y84" s="549"/>
      <c r="Z84" s="549"/>
      <c r="AA84" s="549"/>
      <c r="AB84" s="549"/>
      <c r="AC84" s="549"/>
      <c r="AD84" s="550"/>
      <c r="AF84" s="53"/>
    </row>
    <row r="85" spans="1:32" ht="30.75" customHeight="1">
      <c r="A85" s="524">
        <v>2</v>
      </c>
      <c r="B85" s="525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9"/>
      <c r="U85" s="559"/>
      <c r="V85" s="560"/>
      <c r="W85" s="560"/>
      <c r="X85" s="560"/>
      <c r="Y85" s="551"/>
      <c r="Z85" s="551"/>
      <c r="AA85" s="551"/>
      <c r="AB85" s="551"/>
      <c r="AC85" s="551"/>
      <c r="AD85" s="552"/>
      <c r="AF85" s="53"/>
    </row>
    <row r="86" spans="1:32" ht="30.75" customHeight="1" thickBot="1">
      <c r="A86" s="553">
        <v>3</v>
      </c>
      <c r="B86" s="554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6"/>
      <c r="Z86" s="556"/>
      <c r="AA86" s="556"/>
      <c r="AB86" s="556"/>
      <c r="AC86" s="556"/>
      <c r="AD86" s="55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zoomScale="72" zoomScaleNormal="72" zoomScaleSheetLayoutView="70" workbookViewId="0">
      <selection activeCell="K78" sqref="K78:S7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51" t="s">
        <v>1254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6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414" t="s">
        <v>17</v>
      </c>
      <c r="L5" s="414" t="s">
        <v>18</v>
      </c>
      <c r="M5" s="414" t="s">
        <v>19</v>
      </c>
      <c r="N5" s="41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6" ht="27" customHeight="1">
      <c r="A6" s="108">
        <v>1</v>
      </c>
      <c r="B6" s="11" t="s">
        <v>58</v>
      </c>
      <c r="C6" s="37" t="s">
        <v>230</v>
      </c>
      <c r="D6" s="55" t="s">
        <v>1181</v>
      </c>
      <c r="E6" s="57" t="s">
        <v>1182</v>
      </c>
      <c r="F6" s="33" t="s">
        <v>1183</v>
      </c>
      <c r="G6" s="12">
        <v>1</v>
      </c>
      <c r="H6" s="13">
        <v>25</v>
      </c>
      <c r="I6" s="34">
        <v>45000</v>
      </c>
      <c r="J6" s="5">
        <v>4500</v>
      </c>
      <c r="K6" s="15">
        <f>L6+1421+4758</f>
        <v>10673</v>
      </c>
      <c r="L6" s="15">
        <f>1933+2561</f>
        <v>4494</v>
      </c>
      <c r="M6" s="16">
        <f t="shared" ref="M6:M20" si="0">L6-N6</f>
        <v>4494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24</v>
      </c>
      <c r="Q6" s="43">
        <f t="shared" ref="Q6:Q20" si="3">SUM(R6:AA6)</f>
        <v>0</v>
      </c>
      <c r="R6" s="7"/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0.9986666666666667</v>
      </c>
      <c r="AC6" s="9">
        <f t="shared" ref="AC6:AC20" si="5">IF(P6=0,"0",(P6/24))</f>
        <v>1</v>
      </c>
      <c r="AD6" s="10">
        <f t="shared" ref="AD6:AD20" si="6">AC6*AB6*(1-O6)</f>
        <v>0.9986666666666667</v>
      </c>
      <c r="AE6" s="39">
        <f t="shared" ref="AE6:AE20" si="7">$AD$21</f>
        <v>0.67885902087950312</v>
      </c>
      <c r="AF6" s="94">
        <f t="shared" ref="AF6:AF20" si="8">A6</f>
        <v>1</v>
      </c>
    </row>
    <row r="7" spans="1:36" ht="27" customHeight="1">
      <c r="A7" s="108">
        <v>2</v>
      </c>
      <c r="B7" s="11" t="s">
        <v>58</v>
      </c>
      <c r="C7" s="37" t="s">
        <v>1139</v>
      </c>
      <c r="D7" s="55" t="s">
        <v>1140</v>
      </c>
      <c r="E7" s="57" t="s">
        <v>1141</v>
      </c>
      <c r="F7" s="33" t="s">
        <v>1058</v>
      </c>
      <c r="G7" s="12">
        <v>1</v>
      </c>
      <c r="H7" s="13">
        <v>25</v>
      </c>
      <c r="I7" s="34">
        <v>40000</v>
      </c>
      <c r="J7" s="5">
        <v>2550</v>
      </c>
      <c r="K7" s="15">
        <f>L7+2531+2311+2994</f>
        <v>10383</v>
      </c>
      <c r="L7" s="15">
        <v>2547</v>
      </c>
      <c r="M7" s="16">
        <f t="shared" si="0"/>
        <v>2547</v>
      </c>
      <c r="N7" s="16">
        <v>0</v>
      </c>
      <c r="O7" s="62">
        <f t="shared" si="1"/>
        <v>0</v>
      </c>
      <c r="P7" s="42">
        <f t="shared" si="2"/>
        <v>14</v>
      </c>
      <c r="Q7" s="43">
        <f t="shared" si="3"/>
        <v>10</v>
      </c>
      <c r="R7" s="7"/>
      <c r="S7" s="6">
        <v>10</v>
      </c>
      <c r="T7" s="17"/>
      <c r="U7" s="17"/>
      <c r="V7" s="18"/>
      <c r="W7" s="19"/>
      <c r="X7" s="17"/>
      <c r="Y7" s="20"/>
      <c r="Z7" s="20"/>
      <c r="AA7" s="21"/>
      <c r="AB7" s="8">
        <f t="shared" si="4"/>
        <v>0.99882352941176467</v>
      </c>
      <c r="AC7" s="9">
        <f t="shared" si="5"/>
        <v>0.58333333333333337</v>
      </c>
      <c r="AD7" s="10">
        <f t="shared" si="6"/>
        <v>0.58264705882352941</v>
      </c>
      <c r="AE7" s="39">
        <f t="shared" si="7"/>
        <v>0.67885902087950312</v>
      </c>
      <c r="AF7" s="94">
        <f t="shared" si="8"/>
        <v>2</v>
      </c>
    </row>
    <row r="8" spans="1:36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50000</v>
      </c>
      <c r="J8" s="14">
        <v>3000</v>
      </c>
      <c r="K8" s="15">
        <f>L8+4093+2190+5474+6124+1911+2500+4543+5167+5773+2682+492</f>
        <v>43886</v>
      </c>
      <c r="L8" s="15">
        <v>2937</v>
      </c>
      <c r="M8" s="16">
        <f t="shared" si="0"/>
        <v>2937</v>
      </c>
      <c r="N8" s="16">
        <v>0</v>
      </c>
      <c r="O8" s="62">
        <f t="shared" si="1"/>
        <v>0</v>
      </c>
      <c r="P8" s="42">
        <f t="shared" si="2"/>
        <v>15</v>
      </c>
      <c r="Q8" s="43">
        <f t="shared" si="3"/>
        <v>9</v>
      </c>
      <c r="R8" s="7"/>
      <c r="S8" s="6">
        <v>9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0.97899999999999998</v>
      </c>
      <c r="AC8" s="9">
        <f t="shared" si="5"/>
        <v>0.625</v>
      </c>
      <c r="AD8" s="10">
        <f t="shared" si="6"/>
        <v>0.61187499999999995</v>
      </c>
      <c r="AE8" s="39">
        <f t="shared" si="7"/>
        <v>0.67885902087950312</v>
      </c>
      <c r="AF8" s="94">
        <f>A8</f>
        <v>3</v>
      </c>
    </row>
    <row r="9" spans="1:36" ht="27" customHeight="1">
      <c r="A9" s="110">
        <v>4</v>
      </c>
      <c r="B9" s="11" t="s">
        <v>58</v>
      </c>
      <c r="C9" s="37" t="s">
        <v>118</v>
      </c>
      <c r="D9" s="55" t="s">
        <v>1142</v>
      </c>
      <c r="E9" s="57" t="s">
        <v>1262</v>
      </c>
      <c r="F9" s="33" t="s">
        <v>1144</v>
      </c>
      <c r="G9" s="36">
        <v>1</v>
      </c>
      <c r="H9" s="38">
        <v>25</v>
      </c>
      <c r="I9" s="7">
        <v>45000</v>
      </c>
      <c r="J9" s="5">
        <v>3120</v>
      </c>
      <c r="K9" s="15">
        <f>L9+3535+1239</f>
        <v>7885</v>
      </c>
      <c r="L9" s="15">
        <f>3111</f>
        <v>3111</v>
      </c>
      <c r="M9" s="16">
        <f t="shared" si="0"/>
        <v>3111</v>
      </c>
      <c r="N9" s="16">
        <v>0</v>
      </c>
      <c r="O9" s="62">
        <f t="shared" si="1"/>
        <v>0</v>
      </c>
      <c r="P9" s="42">
        <f t="shared" si="2"/>
        <v>17</v>
      </c>
      <c r="Q9" s="43">
        <f t="shared" si="3"/>
        <v>7</v>
      </c>
      <c r="R9" s="7"/>
      <c r="S9" s="6">
        <v>7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0.99711538461538463</v>
      </c>
      <c r="AC9" s="9">
        <f t="shared" si="5"/>
        <v>0.70833333333333337</v>
      </c>
      <c r="AD9" s="10">
        <f t="shared" si="6"/>
        <v>0.70629006410256412</v>
      </c>
      <c r="AE9" s="39">
        <f t="shared" si="7"/>
        <v>0.67885902087950312</v>
      </c>
      <c r="AF9" s="94">
        <f t="shared" ref="AF9:AF10" si="9">A9</f>
        <v>4</v>
      </c>
    </row>
    <row r="10" spans="1:36" ht="27" customHeight="1">
      <c r="A10" s="110">
        <v>5</v>
      </c>
      <c r="B10" s="11" t="s">
        <v>58</v>
      </c>
      <c r="C10" s="37" t="s">
        <v>118</v>
      </c>
      <c r="D10" s="55" t="s">
        <v>904</v>
      </c>
      <c r="E10" s="57" t="s">
        <v>905</v>
      </c>
      <c r="F10" s="33" t="s">
        <v>142</v>
      </c>
      <c r="G10" s="36">
        <v>1</v>
      </c>
      <c r="H10" s="38">
        <v>25</v>
      </c>
      <c r="I10" s="7">
        <v>50000</v>
      </c>
      <c r="J10" s="5">
        <v>3450</v>
      </c>
      <c r="K10" s="15">
        <f>L10+4454+5087+5573+4618+2034+3753+5521+2081+2562</f>
        <v>39125</v>
      </c>
      <c r="L10" s="15">
        <f>2930+512</f>
        <v>3442</v>
      </c>
      <c r="M10" s="16">
        <f t="shared" si="0"/>
        <v>3442</v>
      </c>
      <c r="N10" s="16">
        <v>0</v>
      </c>
      <c r="O10" s="62">
        <f t="shared" si="1"/>
        <v>0</v>
      </c>
      <c r="P10" s="42">
        <f t="shared" si="2"/>
        <v>19</v>
      </c>
      <c r="Q10" s="43">
        <f t="shared" si="3"/>
        <v>5</v>
      </c>
      <c r="R10" s="7"/>
      <c r="S10" s="6">
        <v>5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0.9976811594202899</v>
      </c>
      <c r="AC10" s="9">
        <f t="shared" si="5"/>
        <v>0.79166666666666663</v>
      </c>
      <c r="AD10" s="10">
        <f t="shared" si="6"/>
        <v>0.78983091787439619</v>
      </c>
      <c r="AE10" s="39">
        <f t="shared" si="7"/>
        <v>0.67885902087950312</v>
      </c>
      <c r="AF10" s="94">
        <f t="shared" si="9"/>
        <v>5</v>
      </c>
    </row>
    <row r="11" spans="1:36" ht="27" customHeight="1">
      <c r="A11" s="110">
        <v>6</v>
      </c>
      <c r="B11" s="11" t="s">
        <v>58</v>
      </c>
      <c r="C11" s="11" t="s">
        <v>133</v>
      </c>
      <c r="D11" s="55" t="s">
        <v>131</v>
      </c>
      <c r="E11" s="57" t="s">
        <v>700</v>
      </c>
      <c r="F11" s="12" t="s">
        <v>166</v>
      </c>
      <c r="G11" s="12">
        <v>1</v>
      </c>
      <c r="H11" s="13">
        <v>25</v>
      </c>
      <c r="I11" s="34">
        <v>40000</v>
      </c>
      <c r="J11" s="14">
        <v>6450</v>
      </c>
      <c r="K11" s="15">
        <f>L11+2724+6303+6504+3472+2821+4925+6265+4473+6359+2915+3334</f>
        <v>56542</v>
      </c>
      <c r="L11" s="15">
        <f>3292+3155</f>
        <v>6447</v>
      </c>
      <c r="M11" s="16">
        <f t="shared" si="0"/>
        <v>6447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0.99953488372093025</v>
      </c>
      <c r="AC11" s="9">
        <f t="shared" si="5"/>
        <v>1</v>
      </c>
      <c r="AD11" s="10">
        <f t="shared" si="6"/>
        <v>0.99953488372093025</v>
      </c>
      <c r="AE11" s="39">
        <f t="shared" si="7"/>
        <v>0.67885902087950312</v>
      </c>
      <c r="AF11" s="94">
        <f t="shared" si="8"/>
        <v>6</v>
      </c>
    </row>
    <row r="12" spans="1:36" ht="27" customHeight="1">
      <c r="A12" s="110">
        <v>7</v>
      </c>
      <c r="B12" s="11" t="s">
        <v>58</v>
      </c>
      <c r="C12" s="11" t="s">
        <v>1100</v>
      </c>
      <c r="D12" s="55" t="s">
        <v>136</v>
      </c>
      <c r="E12" s="57" t="s">
        <v>1102</v>
      </c>
      <c r="F12" s="12" t="s">
        <v>1103</v>
      </c>
      <c r="G12" s="12">
        <v>1</v>
      </c>
      <c r="H12" s="13">
        <v>25</v>
      </c>
      <c r="I12" s="7">
        <v>25000</v>
      </c>
      <c r="J12" s="14">
        <v>3890</v>
      </c>
      <c r="K12" s="15">
        <f>L12+2195+4079+2153+1167</f>
        <v>13480</v>
      </c>
      <c r="L12" s="15">
        <f>2430+1456</f>
        <v>3886</v>
      </c>
      <c r="M12" s="16">
        <f t="shared" si="0"/>
        <v>3886</v>
      </c>
      <c r="N12" s="16">
        <v>0</v>
      </c>
      <c r="O12" s="62">
        <f t="shared" si="1"/>
        <v>0</v>
      </c>
      <c r="P12" s="42">
        <f t="shared" si="2"/>
        <v>21</v>
      </c>
      <c r="Q12" s="43">
        <f t="shared" si="3"/>
        <v>3</v>
      </c>
      <c r="R12" s="7"/>
      <c r="S12" s="6">
        <v>3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0.99897172236503851</v>
      </c>
      <c r="AC12" s="9">
        <f t="shared" si="5"/>
        <v>0.875</v>
      </c>
      <c r="AD12" s="10">
        <f t="shared" si="6"/>
        <v>0.87410025706940875</v>
      </c>
      <c r="AE12" s="39">
        <f t="shared" si="7"/>
        <v>0.67885902087950312</v>
      </c>
      <c r="AF12" s="94">
        <f t="shared" si="8"/>
        <v>7</v>
      </c>
    </row>
    <row r="13" spans="1:36" ht="27" customHeight="1">
      <c r="A13" s="110">
        <v>8</v>
      </c>
      <c r="B13" s="11" t="s">
        <v>58</v>
      </c>
      <c r="C13" s="11" t="s">
        <v>118</v>
      </c>
      <c r="D13" s="55" t="s">
        <v>1212</v>
      </c>
      <c r="E13" s="57" t="s">
        <v>1213</v>
      </c>
      <c r="F13" s="12" t="s">
        <v>1214</v>
      </c>
      <c r="G13" s="12">
        <v>1</v>
      </c>
      <c r="H13" s="13">
        <v>25</v>
      </c>
      <c r="I13" s="7">
        <v>45000</v>
      </c>
      <c r="J13" s="14">
        <v>5730</v>
      </c>
      <c r="K13" s="15">
        <f>L13+2601</f>
        <v>8323</v>
      </c>
      <c r="L13" s="15">
        <f>2925+2797</f>
        <v>5722</v>
      </c>
      <c r="M13" s="16">
        <f t="shared" si="0"/>
        <v>5722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0.99860383944153575</v>
      </c>
      <c r="AC13" s="9">
        <f t="shared" si="5"/>
        <v>1</v>
      </c>
      <c r="AD13" s="10">
        <f t="shared" si="6"/>
        <v>0.99860383944153575</v>
      </c>
      <c r="AE13" s="39">
        <f t="shared" si="7"/>
        <v>0.67885902087950312</v>
      </c>
      <c r="AF13" s="94">
        <f t="shared" si="8"/>
        <v>8</v>
      </c>
    </row>
    <row r="14" spans="1:36" ht="27" customHeight="1">
      <c r="A14" s="109">
        <v>9</v>
      </c>
      <c r="B14" s="11" t="s">
        <v>58</v>
      </c>
      <c r="C14" s="37" t="s">
        <v>117</v>
      </c>
      <c r="D14" s="55" t="s">
        <v>1059</v>
      </c>
      <c r="E14" s="57" t="s">
        <v>1255</v>
      </c>
      <c r="F14" s="33" t="s">
        <v>1256</v>
      </c>
      <c r="G14" s="36">
        <v>2</v>
      </c>
      <c r="H14" s="38">
        <v>25</v>
      </c>
      <c r="I14" s="7">
        <v>110000</v>
      </c>
      <c r="J14" s="5">
        <v>2670</v>
      </c>
      <c r="K14" s="15">
        <f>L14</f>
        <v>2664</v>
      </c>
      <c r="L14" s="15">
        <f>555*2+777*2</f>
        <v>2664</v>
      </c>
      <c r="M14" s="16">
        <f t="shared" si="0"/>
        <v>2664</v>
      </c>
      <c r="N14" s="16">
        <v>0</v>
      </c>
      <c r="O14" s="62">
        <f t="shared" si="1"/>
        <v>0</v>
      </c>
      <c r="P14" s="42">
        <f t="shared" si="2"/>
        <v>7</v>
      </c>
      <c r="Q14" s="43">
        <f t="shared" si="3"/>
        <v>17</v>
      </c>
      <c r="R14" s="7"/>
      <c r="S14" s="6">
        <v>17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0.99775280898876406</v>
      </c>
      <c r="AC14" s="9">
        <f t="shared" si="5"/>
        <v>0.29166666666666669</v>
      </c>
      <c r="AD14" s="10">
        <f t="shared" si="6"/>
        <v>0.29101123595505618</v>
      </c>
      <c r="AE14" s="39">
        <f t="shared" si="7"/>
        <v>0.67885902087950312</v>
      </c>
      <c r="AF14" s="94">
        <f t="shared" si="8"/>
        <v>9</v>
      </c>
    </row>
    <row r="15" spans="1:36" ht="27" customHeight="1">
      <c r="A15" s="109">
        <v>10</v>
      </c>
      <c r="B15" s="11" t="s">
        <v>58</v>
      </c>
      <c r="C15" s="11" t="s">
        <v>195</v>
      </c>
      <c r="D15" s="55" t="s">
        <v>967</v>
      </c>
      <c r="E15" s="57" t="s">
        <v>968</v>
      </c>
      <c r="F15" s="12">
        <v>8301</v>
      </c>
      <c r="G15" s="12">
        <v>1</v>
      </c>
      <c r="H15" s="13">
        <v>20</v>
      </c>
      <c r="I15" s="34">
        <v>500</v>
      </c>
      <c r="J15" s="14">
        <v>1590</v>
      </c>
      <c r="K15" s="15">
        <f>L15+1585</f>
        <v>1585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0.67885902087950312</v>
      </c>
      <c r="AF15" s="94">
        <f t="shared" si="8"/>
        <v>10</v>
      </c>
    </row>
    <row r="16" spans="1:36" ht="27.75" customHeight="1">
      <c r="A16" s="109">
        <v>11</v>
      </c>
      <c r="B16" s="11" t="s">
        <v>58</v>
      </c>
      <c r="C16" s="11" t="s">
        <v>133</v>
      </c>
      <c r="D16" s="55" t="s">
        <v>900</v>
      </c>
      <c r="E16" s="56" t="s">
        <v>901</v>
      </c>
      <c r="F16" s="12">
        <v>7301</v>
      </c>
      <c r="G16" s="36">
        <v>1</v>
      </c>
      <c r="H16" s="38">
        <v>25</v>
      </c>
      <c r="I16" s="7">
        <v>40000</v>
      </c>
      <c r="J16" s="14">
        <v>2220</v>
      </c>
      <c r="K16" s="15">
        <f>L16+1291+540+704+4156+1918</f>
        <v>10825</v>
      </c>
      <c r="L16" s="15">
        <f>2216</f>
        <v>2216</v>
      </c>
      <c r="M16" s="16">
        <f t="shared" si="0"/>
        <v>2216</v>
      </c>
      <c r="N16" s="16">
        <v>0</v>
      </c>
      <c r="O16" s="62">
        <f t="shared" si="1"/>
        <v>0</v>
      </c>
      <c r="P16" s="42">
        <f t="shared" si="2"/>
        <v>12</v>
      </c>
      <c r="Q16" s="43">
        <f t="shared" si="3"/>
        <v>12</v>
      </c>
      <c r="R16" s="7"/>
      <c r="S16" s="6">
        <v>12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0.99819819819819822</v>
      </c>
      <c r="AC16" s="9">
        <f t="shared" si="5"/>
        <v>0.5</v>
      </c>
      <c r="AD16" s="10">
        <f t="shared" si="6"/>
        <v>0.49909909909909911</v>
      </c>
      <c r="AE16" s="39">
        <f t="shared" si="7"/>
        <v>0.67885902087950312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58</v>
      </c>
      <c r="C17" s="37" t="s">
        <v>133</v>
      </c>
      <c r="D17" s="55" t="s">
        <v>190</v>
      </c>
      <c r="E17" s="56" t="s">
        <v>1063</v>
      </c>
      <c r="F17" s="12" t="s">
        <v>281</v>
      </c>
      <c r="G17" s="12">
        <v>1</v>
      </c>
      <c r="H17" s="13">
        <v>25</v>
      </c>
      <c r="I17" s="34">
        <v>25000</v>
      </c>
      <c r="J17" s="5">
        <v>7920</v>
      </c>
      <c r="K17" s="15">
        <f>L17+20832+7920</f>
        <v>28752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0.67885902087950312</v>
      </c>
      <c r="AF17" s="94">
        <f t="shared" ref="AF17" si="10">A17</f>
        <v>12</v>
      </c>
    </row>
    <row r="18" spans="1:32" ht="27" customHeight="1">
      <c r="A18" s="110">
        <v>13</v>
      </c>
      <c r="B18" s="11" t="s">
        <v>58</v>
      </c>
      <c r="C18" s="37" t="s">
        <v>117</v>
      </c>
      <c r="D18" s="55" t="s">
        <v>1215</v>
      </c>
      <c r="E18" s="57" t="s">
        <v>1216</v>
      </c>
      <c r="F18" s="33" t="s">
        <v>142</v>
      </c>
      <c r="G18" s="36">
        <v>1</v>
      </c>
      <c r="H18" s="38">
        <v>25</v>
      </c>
      <c r="I18" s="7">
        <v>22000</v>
      </c>
      <c r="J18" s="5">
        <v>5450</v>
      </c>
      <c r="K18" s="15">
        <f>L18+2568</f>
        <v>8014</v>
      </c>
      <c r="L18" s="15">
        <f>2826+2620</f>
        <v>5446</v>
      </c>
      <c r="M18" s="16">
        <f t="shared" si="0"/>
        <v>5446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0.99926605504587152</v>
      </c>
      <c r="AC18" s="9">
        <f t="shared" si="5"/>
        <v>1</v>
      </c>
      <c r="AD18" s="10">
        <f t="shared" si="6"/>
        <v>0.99926605504587152</v>
      </c>
      <c r="AE18" s="39">
        <f t="shared" si="7"/>
        <v>0.67885902087950312</v>
      </c>
      <c r="AF18" s="94">
        <f t="shared" si="8"/>
        <v>13</v>
      </c>
    </row>
    <row r="19" spans="1:32" ht="27" customHeight="1">
      <c r="A19" s="110">
        <v>14</v>
      </c>
      <c r="B19" s="11" t="s">
        <v>58</v>
      </c>
      <c r="C19" s="11" t="s">
        <v>118</v>
      </c>
      <c r="D19" s="55" t="s">
        <v>57</v>
      </c>
      <c r="E19" s="57" t="s">
        <v>160</v>
      </c>
      <c r="F19" s="12" t="s">
        <v>145</v>
      </c>
      <c r="G19" s="12">
        <v>1</v>
      </c>
      <c r="H19" s="13">
        <v>25</v>
      </c>
      <c r="I19" s="7">
        <v>52000</v>
      </c>
      <c r="J19" s="14">
        <v>5320</v>
      </c>
      <c r="K19" s="15">
        <f>L19+4424+5402+3684+3104+5222+5230+5262+2977+639+4828</f>
        <v>46086</v>
      </c>
      <c r="L19" s="15">
        <f>2733+2581</f>
        <v>5314</v>
      </c>
      <c r="M19" s="16">
        <f t="shared" si="0"/>
        <v>5314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0.9988721804511278</v>
      </c>
      <c r="AC19" s="9">
        <f t="shared" si="5"/>
        <v>1</v>
      </c>
      <c r="AD19" s="10">
        <f t="shared" si="6"/>
        <v>0.9988721804511278</v>
      </c>
      <c r="AE19" s="39">
        <f t="shared" si="7"/>
        <v>0.67885902087950312</v>
      </c>
      <c r="AF19" s="94">
        <f t="shared" si="8"/>
        <v>14</v>
      </c>
    </row>
    <row r="20" spans="1:32" ht="27" customHeight="1" thickBot="1">
      <c r="A20" s="110">
        <v>15</v>
      </c>
      <c r="B20" s="11" t="s">
        <v>58</v>
      </c>
      <c r="C20" s="11" t="s">
        <v>1257</v>
      </c>
      <c r="D20" s="55"/>
      <c r="E20" s="56" t="s">
        <v>1258</v>
      </c>
      <c r="F20" s="12" t="s">
        <v>1259</v>
      </c>
      <c r="G20" s="12">
        <v>2</v>
      </c>
      <c r="H20" s="38">
        <v>20</v>
      </c>
      <c r="I20" s="7">
        <v>5000</v>
      </c>
      <c r="J20" s="14">
        <v>13590</v>
      </c>
      <c r="K20" s="15">
        <f>L20</f>
        <v>13586</v>
      </c>
      <c r="L20" s="15">
        <f>2324*2+4469*2</f>
        <v>13586</v>
      </c>
      <c r="M20" s="16">
        <f t="shared" si="0"/>
        <v>13586</v>
      </c>
      <c r="N20" s="16">
        <v>0</v>
      </c>
      <c r="O20" s="62">
        <f t="shared" si="1"/>
        <v>0</v>
      </c>
      <c r="P20" s="42">
        <f t="shared" si="2"/>
        <v>20</v>
      </c>
      <c r="Q20" s="43">
        <f t="shared" si="3"/>
        <v>4</v>
      </c>
      <c r="R20" s="7"/>
      <c r="S20" s="6"/>
      <c r="T20" s="17">
        <v>4</v>
      </c>
      <c r="U20" s="17"/>
      <c r="V20" s="18"/>
      <c r="W20" s="19"/>
      <c r="X20" s="17"/>
      <c r="Y20" s="20"/>
      <c r="Z20" s="20"/>
      <c r="AA20" s="21"/>
      <c r="AB20" s="8">
        <f t="shared" si="4"/>
        <v>0.99970566593083154</v>
      </c>
      <c r="AC20" s="9">
        <f t="shared" si="5"/>
        <v>0.83333333333333337</v>
      </c>
      <c r="AD20" s="10">
        <f t="shared" si="6"/>
        <v>0.8330880549423596</v>
      </c>
      <c r="AE20" s="39">
        <f t="shared" si="7"/>
        <v>0.67885902087950312</v>
      </c>
      <c r="AF20" s="94">
        <f t="shared" si="8"/>
        <v>15</v>
      </c>
    </row>
    <row r="21" spans="1:32" ht="31.5" customHeight="1" thickBot="1">
      <c r="A21" s="465" t="s">
        <v>34</v>
      </c>
      <c r="B21" s="466"/>
      <c r="C21" s="466"/>
      <c r="D21" s="466"/>
      <c r="E21" s="466"/>
      <c r="F21" s="466"/>
      <c r="G21" s="466"/>
      <c r="H21" s="467"/>
      <c r="I21" s="25">
        <f t="shared" ref="I21:N21" si="11">SUM(I6:I20)</f>
        <v>594500</v>
      </c>
      <c r="J21" s="22">
        <f t="shared" si="11"/>
        <v>71450</v>
      </c>
      <c r="K21" s="23">
        <f t="shared" si="11"/>
        <v>301809</v>
      </c>
      <c r="L21" s="24">
        <f t="shared" si="11"/>
        <v>61812</v>
      </c>
      <c r="M21" s="23">
        <f t="shared" si="11"/>
        <v>61812</v>
      </c>
      <c r="N21" s="24">
        <f t="shared" si="11"/>
        <v>0</v>
      </c>
      <c r="O21" s="44">
        <f t="shared" si="1"/>
        <v>0</v>
      </c>
      <c r="P21" s="45">
        <f t="shared" ref="P21:AA21" si="12">SUM(P6:P20)</f>
        <v>245</v>
      </c>
      <c r="Q21" s="46">
        <f t="shared" si="12"/>
        <v>115</v>
      </c>
      <c r="R21" s="26">
        <f t="shared" si="12"/>
        <v>0</v>
      </c>
      <c r="S21" s="27">
        <f t="shared" si="12"/>
        <v>63</v>
      </c>
      <c r="T21" s="27">
        <f t="shared" si="12"/>
        <v>4</v>
      </c>
      <c r="U21" s="27">
        <f t="shared" si="12"/>
        <v>0</v>
      </c>
      <c r="V21" s="28">
        <f t="shared" si="12"/>
        <v>0</v>
      </c>
      <c r="W21" s="29">
        <f t="shared" si="12"/>
        <v>48</v>
      </c>
      <c r="X21" s="30">
        <f t="shared" si="12"/>
        <v>0</v>
      </c>
      <c r="Y21" s="30">
        <f t="shared" si="12"/>
        <v>0</v>
      </c>
      <c r="Z21" s="30">
        <f t="shared" si="12"/>
        <v>0</v>
      </c>
      <c r="AA21" s="30">
        <f t="shared" si="12"/>
        <v>0</v>
      </c>
      <c r="AB21" s="31">
        <f>SUM(AB6:AB20)/15</f>
        <v>0.86414613961709352</v>
      </c>
      <c r="AC21" s="4">
        <f>SUM(AC6:AC20)/15</f>
        <v>0.68055555555555558</v>
      </c>
      <c r="AD21" s="4">
        <f>SUM(AD6:AD20)/15</f>
        <v>0.67885902087950312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68" t="s">
        <v>45</v>
      </c>
      <c r="B48" s="468"/>
      <c r="C48" s="468"/>
      <c r="D48" s="468"/>
      <c r="E48" s="468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69" t="s">
        <v>1260</v>
      </c>
      <c r="B49" s="470"/>
      <c r="C49" s="470"/>
      <c r="D49" s="470"/>
      <c r="E49" s="470"/>
      <c r="F49" s="470"/>
      <c r="G49" s="470"/>
      <c r="H49" s="470"/>
      <c r="I49" s="470"/>
      <c r="J49" s="470"/>
      <c r="K49" s="470"/>
      <c r="L49" s="470"/>
      <c r="M49" s="471"/>
      <c r="N49" s="472" t="s">
        <v>1284</v>
      </c>
      <c r="O49" s="473"/>
      <c r="P49" s="473"/>
      <c r="Q49" s="473"/>
      <c r="R49" s="473"/>
      <c r="S49" s="473"/>
      <c r="T49" s="473"/>
      <c r="U49" s="473"/>
      <c r="V49" s="473"/>
      <c r="W49" s="473"/>
      <c r="X49" s="473"/>
      <c r="Y49" s="473"/>
      <c r="Z49" s="473"/>
      <c r="AA49" s="473"/>
      <c r="AB49" s="473"/>
      <c r="AC49" s="473"/>
      <c r="AD49" s="474"/>
    </row>
    <row r="50" spans="1:32" ht="27" customHeight="1">
      <c r="A50" s="475" t="s">
        <v>2</v>
      </c>
      <c r="B50" s="476"/>
      <c r="C50" s="415" t="s">
        <v>46</v>
      </c>
      <c r="D50" s="415" t="s">
        <v>47</v>
      </c>
      <c r="E50" s="415" t="s">
        <v>109</v>
      </c>
      <c r="F50" s="476" t="s">
        <v>108</v>
      </c>
      <c r="G50" s="476"/>
      <c r="H50" s="476"/>
      <c r="I50" s="476"/>
      <c r="J50" s="476"/>
      <c r="K50" s="476"/>
      <c r="L50" s="476"/>
      <c r="M50" s="477"/>
      <c r="N50" s="73" t="s">
        <v>113</v>
      </c>
      <c r="O50" s="415" t="s">
        <v>46</v>
      </c>
      <c r="P50" s="478" t="s">
        <v>47</v>
      </c>
      <c r="Q50" s="479"/>
      <c r="R50" s="478" t="s">
        <v>38</v>
      </c>
      <c r="S50" s="480"/>
      <c r="T50" s="480"/>
      <c r="U50" s="479"/>
      <c r="V50" s="478" t="s">
        <v>48</v>
      </c>
      <c r="W50" s="480"/>
      <c r="X50" s="480"/>
      <c r="Y50" s="480"/>
      <c r="Z50" s="480"/>
      <c r="AA50" s="480"/>
      <c r="AB50" s="480"/>
      <c r="AC50" s="480"/>
      <c r="AD50" s="481"/>
    </row>
    <row r="51" spans="1:32" ht="27" customHeight="1">
      <c r="A51" s="492" t="s">
        <v>1219</v>
      </c>
      <c r="B51" s="493"/>
      <c r="C51" s="416" t="s">
        <v>686</v>
      </c>
      <c r="D51" s="417" t="s">
        <v>1220</v>
      </c>
      <c r="E51" s="416" t="s">
        <v>1221</v>
      </c>
      <c r="F51" s="494" t="s">
        <v>1261</v>
      </c>
      <c r="G51" s="494"/>
      <c r="H51" s="494"/>
      <c r="I51" s="494"/>
      <c r="J51" s="494"/>
      <c r="K51" s="494"/>
      <c r="L51" s="494"/>
      <c r="M51" s="495"/>
      <c r="N51" s="421" t="s">
        <v>1193</v>
      </c>
      <c r="O51" s="74" t="s">
        <v>1286</v>
      </c>
      <c r="P51" s="496" t="s">
        <v>1287</v>
      </c>
      <c r="Q51" s="497"/>
      <c r="R51" s="498" t="s">
        <v>1285</v>
      </c>
      <c r="S51" s="498"/>
      <c r="T51" s="498"/>
      <c r="U51" s="498"/>
      <c r="V51" s="494" t="s">
        <v>1288</v>
      </c>
      <c r="W51" s="494"/>
      <c r="X51" s="494"/>
      <c r="Y51" s="494"/>
      <c r="Z51" s="494"/>
      <c r="AA51" s="494"/>
      <c r="AB51" s="494"/>
      <c r="AC51" s="494"/>
      <c r="AD51" s="495"/>
    </row>
    <row r="52" spans="1:32" ht="27" customHeight="1">
      <c r="A52" s="492" t="s">
        <v>1223</v>
      </c>
      <c r="B52" s="493"/>
      <c r="C52" s="416" t="s">
        <v>725</v>
      </c>
      <c r="D52" s="417" t="s">
        <v>1069</v>
      </c>
      <c r="E52" s="416" t="s">
        <v>1224</v>
      </c>
      <c r="F52" s="494" t="s">
        <v>1261</v>
      </c>
      <c r="G52" s="494"/>
      <c r="H52" s="494"/>
      <c r="I52" s="494"/>
      <c r="J52" s="494"/>
      <c r="K52" s="494"/>
      <c r="L52" s="494"/>
      <c r="M52" s="495"/>
      <c r="N52" s="421" t="s">
        <v>1267</v>
      </c>
      <c r="O52" s="74" t="s">
        <v>1290</v>
      </c>
      <c r="P52" s="496" t="s">
        <v>1291</v>
      </c>
      <c r="Q52" s="497"/>
      <c r="R52" s="498" t="s">
        <v>1289</v>
      </c>
      <c r="S52" s="498"/>
      <c r="T52" s="498"/>
      <c r="U52" s="498"/>
      <c r="V52" s="494" t="s">
        <v>1292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1152</v>
      </c>
      <c r="B53" s="493"/>
      <c r="C53" s="416" t="s">
        <v>224</v>
      </c>
      <c r="D53" s="417" t="s">
        <v>1142</v>
      </c>
      <c r="E53" s="416" t="s">
        <v>1225</v>
      </c>
      <c r="F53" s="494" t="s">
        <v>1261</v>
      </c>
      <c r="G53" s="494"/>
      <c r="H53" s="494"/>
      <c r="I53" s="494"/>
      <c r="J53" s="494"/>
      <c r="K53" s="494"/>
      <c r="L53" s="494"/>
      <c r="M53" s="495"/>
      <c r="N53" s="421" t="s">
        <v>1293</v>
      </c>
      <c r="O53" s="74" t="s">
        <v>1294</v>
      </c>
      <c r="P53" s="496" t="s">
        <v>1269</v>
      </c>
      <c r="Q53" s="497"/>
      <c r="R53" s="498" t="s">
        <v>1270</v>
      </c>
      <c r="S53" s="498"/>
      <c r="T53" s="498"/>
      <c r="U53" s="498"/>
      <c r="V53" s="494" t="s">
        <v>1261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117</v>
      </c>
      <c r="B54" s="493"/>
      <c r="C54" s="416" t="s">
        <v>679</v>
      </c>
      <c r="D54" s="417" t="s">
        <v>136</v>
      </c>
      <c r="E54" s="416" t="s">
        <v>1236</v>
      </c>
      <c r="F54" s="494" t="s">
        <v>1261</v>
      </c>
      <c r="G54" s="494"/>
      <c r="H54" s="494"/>
      <c r="I54" s="494"/>
      <c r="J54" s="494"/>
      <c r="K54" s="494"/>
      <c r="L54" s="494"/>
      <c r="M54" s="495"/>
      <c r="N54" s="421"/>
      <c r="O54" s="74"/>
      <c r="P54" s="496"/>
      <c r="Q54" s="497"/>
      <c r="R54" s="498"/>
      <c r="S54" s="498"/>
      <c r="T54" s="498"/>
      <c r="U54" s="498"/>
      <c r="V54" s="494"/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1264</v>
      </c>
      <c r="B55" s="493"/>
      <c r="C55" s="416" t="s">
        <v>1265</v>
      </c>
      <c r="D55" s="417" t="s">
        <v>1266</v>
      </c>
      <c r="E55" s="416" t="s">
        <v>1263</v>
      </c>
      <c r="F55" s="494" t="s">
        <v>1261</v>
      </c>
      <c r="G55" s="494"/>
      <c r="H55" s="494"/>
      <c r="I55" s="494"/>
      <c r="J55" s="494"/>
      <c r="K55" s="494"/>
      <c r="L55" s="494"/>
      <c r="M55" s="495"/>
      <c r="N55" s="421"/>
      <c r="O55" s="74"/>
      <c r="P55" s="496"/>
      <c r="Q55" s="497"/>
      <c r="R55" s="498"/>
      <c r="S55" s="498"/>
      <c r="T55" s="498"/>
      <c r="U55" s="498"/>
      <c r="V55" s="494"/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1267</v>
      </c>
      <c r="B56" s="493"/>
      <c r="C56" s="416" t="s">
        <v>1268</v>
      </c>
      <c r="D56" s="417" t="s">
        <v>1269</v>
      </c>
      <c r="E56" s="416" t="s">
        <v>1270</v>
      </c>
      <c r="F56" s="494" t="s">
        <v>1283</v>
      </c>
      <c r="G56" s="494"/>
      <c r="H56" s="494"/>
      <c r="I56" s="494"/>
      <c r="J56" s="494"/>
      <c r="K56" s="494"/>
      <c r="L56" s="494"/>
      <c r="M56" s="495"/>
      <c r="N56" s="421"/>
      <c r="O56" s="74"/>
      <c r="P56" s="498"/>
      <c r="Q56" s="498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 t="s">
        <v>1272</v>
      </c>
      <c r="B57" s="493"/>
      <c r="C57" s="416" t="s">
        <v>1273</v>
      </c>
      <c r="D57" s="417" t="s">
        <v>1274</v>
      </c>
      <c r="E57" s="416" t="s">
        <v>1271</v>
      </c>
      <c r="F57" s="494" t="s">
        <v>1275</v>
      </c>
      <c r="G57" s="494"/>
      <c r="H57" s="494"/>
      <c r="I57" s="494"/>
      <c r="J57" s="494"/>
      <c r="K57" s="494"/>
      <c r="L57" s="494"/>
      <c r="M57" s="495"/>
      <c r="N57" s="421"/>
      <c r="O57" s="74"/>
      <c r="P57" s="496"/>
      <c r="Q57" s="497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 t="s">
        <v>1277</v>
      </c>
      <c r="B58" s="493"/>
      <c r="C58" s="416" t="s">
        <v>1278</v>
      </c>
      <c r="D58" s="417"/>
      <c r="E58" s="416" t="s">
        <v>1276</v>
      </c>
      <c r="F58" s="494" t="s">
        <v>1279</v>
      </c>
      <c r="G58" s="494"/>
      <c r="H58" s="494"/>
      <c r="I58" s="494"/>
      <c r="J58" s="494"/>
      <c r="K58" s="494"/>
      <c r="L58" s="494"/>
      <c r="M58" s="495"/>
      <c r="N58" s="421"/>
      <c r="O58" s="74"/>
      <c r="P58" s="498"/>
      <c r="Q58" s="498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508"/>
      <c r="B59" s="498"/>
      <c r="C59" s="417"/>
      <c r="D59" s="417"/>
      <c r="E59" s="417"/>
      <c r="F59" s="494"/>
      <c r="G59" s="494"/>
      <c r="H59" s="494"/>
      <c r="I59" s="494"/>
      <c r="J59" s="494"/>
      <c r="K59" s="494"/>
      <c r="L59" s="494"/>
      <c r="M59" s="495"/>
      <c r="N59" s="421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  <c r="AF59" s="94">
        <f>8*3000</f>
        <v>24000</v>
      </c>
    </row>
    <row r="60" spans="1:32" ht="27" customHeight="1" thickBot="1">
      <c r="A60" s="499"/>
      <c r="B60" s="500"/>
      <c r="C60" s="419"/>
      <c r="D60" s="419"/>
      <c r="E60" s="419"/>
      <c r="F60" s="501"/>
      <c r="G60" s="501"/>
      <c r="H60" s="501"/>
      <c r="I60" s="501"/>
      <c r="J60" s="501"/>
      <c r="K60" s="501"/>
      <c r="L60" s="501"/>
      <c r="M60" s="502"/>
      <c r="N60" s="418"/>
      <c r="O60" s="121"/>
      <c r="P60" s="500"/>
      <c r="Q60" s="500"/>
      <c r="R60" s="500"/>
      <c r="S60" s="500"/>
      <c r="T60" s="500"/>
      <c r="U60" s="500"/>
      <c r="V60" s="501"/>
      <c r="W60" s="501"/>
      <c r="X60" s="501"/>
      <c r="Y60" s="501"/>
      <c r="Z60" s="501"/>
      <c r="AA60" s="501"/>
      <c r="AB60" s="501"/>
      <c r="AC60" s="501"/>
      <c r="AD60" s="502"/>
      <c r="AF60" s="94">
        <f>16*3000</f>
        <v>48000</v>
      </c>
    </row>
    <row r="61" spans="1:32" ht="27.75" thickBot="1">
      <c r="A61" s="503" t="s">
        <v>1295</v>
      </c>
      <c r="B61" s="503"/>
      <c r="C61" s="503"/>
      <c r="D61" s="503"/>
      <c r="E61" s="503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504" t="s">
        <v>114</v>
      </c>
      <c r="B62" s="505"/>
      <c r="C62" s="420" t="s">
        <v>2</v>
      </c>
      <c r="D62" s="420" t="s">
        <v>37</v>
      </c>
      <c r="E62" s="420" t="s">
        <v>3</v>
      </c>
      <c r="F62" s="505" t="s">
        <v>111</v>
      </c>
      <c r="G62" s="505"/>
      <c r="H62" s="505"/>
      <c r="I62" s="505"/>
      <c r="J62" s="505"/>
      <c r="K62" s="505" t="s">
        <v>39</v>
      </c>
      <c r="L62" s="505"/>
      <c r="M62" s="420" t="s">
        <v>40</v>
      </c>
      <c r="N62" s="505" t="s">
        <v>41</v>
      </c>
      <c r="O62" s="505"/>
      <c r="P62" s="506" t="s">
        <v>42</v>
      </c>
      <c r="Q62" s="507"/>
      <c r="R62" s="506" t="s">
        <v>43</v>
      </c>
      <c r="S62" s="509"/>
      <c r="T62" s="509"/>
      <c r="U62" s="509"/>
      <c r="V62" s="509"/>
      <c r="W62" s="509"/>
      <c r="X62" s="509"/>
      <c r="Y62" s="509"/>
      <c r="Z62" s="509"/>
      <c r="AA62" s="507"/>
      <c r="AB62" s="505" t="s">
        <v>44</v>
      </c>
      <c r="AC62" s="505"/>
      <c r="AD62" s="510"/>
      <c r="AF62" s="94">
        <f>SUM(AF59:AF61)</f>
        <v>96000</v>
      </c>
    </row>
    <row r="63" spans="1:32" ht="25.5" customHeight="1">
      <c r="A63" s="511">
        <v>1</v>
      </c>
      <c r="B63" s="512"/>
      <c r="C63" s="124" t="s">
        <v>1174</v>
      </c>
      <c r="D63" s="424"/>
      <c r="E63" s="422" t="s">
        <v>1280</v>
      </c>
      <c r="F63" s="513" t="s">
        <v>1281</v>
      </c>
      <c r="G63" s="514"/>
      <c r="H63" s="514"/>
      <c r="I63" s="514"/>
      <c r="J63" s="514"/>
      <c r="K63" s="514" t="s">
        <v>1282</v>
      </c>
      <c r="L63" s="514"/>
      <c r="M63" s="54" t="s">
        <v>1173</v>
      </c>
      <c r="N63" s="514">
        <v>9</v>
      </c>
      <c r="O63" s="514"/>
      <c r="P63" s="515">
        <v>50</v>
      </c>
      <c r="Q63" s="515"/>
      <c r="R63" s="494"/>
      <c r="S63" s="494"/>
      <c r="T63" s="494"/>
      <c r="U63" s="494"/>
      <c r="V63" s="494"/>
      <c r="W63" s="494"/>
      <c r="X63" s="494"/>
      <c r="Y63" s="494"/>
      <c r="Z63" s="494"/>
      <c r="AA63" s="494"/>
      <c r="AB63" s="514"/>
      <c r="AC63" s="514"/>
      <c r="AD63" s="516"/>
      <c r="AF63" s="53"/>
    </row>
    <row r="64" spans="1:32" ht="25.5" customHeight="1">
      <c r="A64" s="511">
        <v>2</v>
      </c>
      <c r="B64" s="512"/>
      <c r="C64" s="124"/>
      <c r="D64" s="424"/>
      <c r="E64" s="422"/>
      <c r="F64" s="513"/>
      <c r="G64" s="514"/>
      <c r="H64" s="514"/>
      <c r="I64" s="514"/>
      <c r="J64" s="514"/>
      <c r="K64" s="514"/>
      <c r="L64" s="514"/>
      <c r="M64" s="54"/>
      <c r="N64" s="514"/>
      <c r="O64" s="514"/>
      <c r="P64" s="515"/>
      <c r="Q64" s="515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3</v>
      </c>
      <c r="B65" s="512"/>
      <c r="C65" s="124"/>
      <c r="D65" s="424"/>
      <c r="E65" s="422"/>
      <c r="F65" s="513"/>
      <c r="G65" s="514"/>
      <c r="H65" s="514"/>
      <c r="I65" s="514"/>
      <c r="J65" s="514"/>
      <c r="K65" s="514"/>
      <c r="L65" s="514"/>
      <c r="M65" s="54"/>
      <c r="N65" s="514"/>
      <c r="O65" s="514"/>
      <c r="P65" s="515"/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4</v>
      </c>
      <c r="B66" s="512"/>
      <c r="C66" s="124"/>
      <c r="D66" s="424"/>
      <c r="E66" s="422"/>
      <c r="F66" s="513"/>
      <c r="G66" s="514"/>
      <c r="H66" s="514"/>
      <c r="I66" s="514"/>
      <c r="J66" s="514"/>
      <c r="K66" s="514"/>
      <c r="L66" s="514"/>
      <c r="M66" s="54"/>
      <c r="N66" s="514"/>
      <c r="O66" s="514"/>
      <c r="P66" s="515"/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5</v>
      </c>
      <c r="B67" s="512"/>
      <c r="C67" s="124"/>
      <c r="D67" s="424"/>
      <c r="E67" s="422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6</v>
      </c>
      <c r="B68" s="512"/>
      <c r="C68" s="124"/>
      <c r="D68" s="424"/>
      <c r="E68" s="422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7</v>
      </c>
      <c r="B69" s="512"/>
      <c r="C69" s="124"/>
      <c r="D69" s="424"/>
      <c r="E69" s="422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8</v>
      </c>
      <c r="B70" s="512"/>
      <c r="C70" s="124"/>
      <c r="D70" s="424"/>
      <c r="E70" s="422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6.25" customHeight="1" thickBot="1">
      <c r="A71" s="517" t="s">
        <v>1296</v>
      </c>
      <c r="B71" s="517"/>
      <c r="C71" s="517"/>
      <c r="D71" s="517"/>
      <c r="E71" s="51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518" t="s">
        <v>114</v>
      </c>
      <c r="B72" s="519"/>
      <c r="C72" s="423" t="s">
        <v>2</v>
      </c>
      <c r="D72" s="423" t="s">
        <v>37</v>
      </c>
      <c r="E72" s="423" t="s">
        <v>3</v>
      </c>
      <c r="F72" s="519" t="s">
        <v>38</v>
      </c>
      <c r="G72" s="519"/>
      <c r="H72" s="519"/>
      <c r="I72" s="519"/>
      <c r="J72" s="519"/>
      <c r="K72" s="520" t="s">
        <v>59</v>
      </c>
      <c r="L72" s="521"/>
      <c r="M72" s="521"/>
      <c r="N72" s="521"/>
      <c r="O72" s="521"/>
      <c r="P72" s="521"/>
      <c r="Q72" s="521"/>
      <c r="R72" s="521"/>
      <c r="S72" s="522"/>
      <c r="T72" s="519" t="s">
        <v>49</v>
      </c>
      <c r="U72" s="519"/>
      <c r="V72" s="520" t="s">
        <v>50</v>
      </c>
      <c r="W72" s="522"/>
      <c r="X72" s="521" t="s">
        <v>51</v>
      </c>
      <c r="Y72" s="521"/>
      <c r="Z72" s="521"/>
      <c r="AA72" s="521"/>
      <c r="AB72" s="521"/>
      <c r="AC72" s="521"/>
      <c r="AD72" s="523"/>
      <c r="AF72" s="53"/>
    </row>
    <row r="73" spans="1:32" ht="33.75" customHeight="1">
      <c r="A73" s="532">
        <v>1</v>
      </c>
      <c r="B73" s="533"/>
      <c r="C73" s="425" t="s">
        <v>117</v>
      </c>
      <c r="D73" s="425"/>
      <c r="E73" s="71" t="s">
        <v>123</v>
      </c>
      <c r="F73" s="534" t="s">
        <v>124</v>
      </c>
      <c r="G73" s="535"/>
      <c r="H73" s="535"/>
      <c r="I73" s="535"/>
      <c r="J73" s="536"/>
      <c r="K73" s="537" t="s">
        <v>119</v>
      </c>
      <c r="L73" s="538"/>
      <c r="M73" s="538"/>
      <c r="N73" s="538"/>
      <c r="O73" s="538"/>
      <c r="P73" s="538"/>
      <c r="Q73" s="538"/>
      <c r="R73" s="538"/>
      <c r="S73" s="539"/>
      <c r="T73" s="540">
        <v>42901</v>
      </c>
      <c r="U73" s="541"/>
      <c r="V73" s="542"/>
      <c r="W73" s="542"/>
      <c r="X73" s="543"/>
      <c r="Y73" s="543"/>
      <c r="Z73" s="543"/>
      <c r="AA73" s="543"/>
      <c r="AB73" s="543"/>
      <c r="AC73" s="543"/>
      <c r="AD73" s="544"/>
      <c r="AF73" s="53"/>
    </row>
    <row r="74" spans="1:32" ht="30" customHeight="1">
      <c r="A74" s="524">
        <f>A73+1</f>
        <v>2</v>
      </c>
      <c r="B74" s="525"/>
      <c r="C74" s="424" t="s">
        <v>117</v>
      </c>
      <c r="D74" s="424"/>
      <c r="E74" s="35" t="s">
        <v>120</v>
      </c>
      <c r="F74" s="525" t="s">
        <v>121</v>
      </c>
      <c r="G74" s="525"/>
      <c r="H74" s="525"/>
      <c r="I74" s="525"/>
      <c r="J74" s="525"/>
      <c r="K74" s="526" t="s">
        <v>122</v>
      </c>
      <c r="L74" s="527"/>
      <c r="M74" s="527"/>
      <c r="N74" s="527"/>
      <c r="O74" s="527"/>
      <c r="P74" s="527"/>
      <c r="Q74" s="527"/>
      <c r="R74" s="527"/>
      <c r="S74" s="528"/>
      <c r="T74" s="529">
        <v>42867</v>
      </c>
      <c r="U74" s="529"/>
      <c r="V74" s="529"/>
      <c r="W74" s="529"/>
      <c r="X74" s="530"/>
      <c r="Y74" s="530"/>
      <c r="Z74" s="530"/>
      <c r="AA74" s="530"/>
      <c r="AB74" s="530"/>
      <c r="AC74" s="530"/>
      <c r="AD74" s="531"/>
      <c r="AF74" s="53"/>
    </row>
    <row r="75" spans="1:32" ht="30" customHeight="1">
      <c r="A75" s="524">
        <f t="shared" ref="A75:A81" si="13">A74+1</f>
        <v>3</v>
      </c>
      <c r="B75" s="525"/>
      <c r="C75" s="424" t="s">
        <v>133</v>
      </c>
      <c r="D75" s="424"/>
      <c r="E75" s="35" t="s">
        <v>131</v>
      </c>
      <c r="F75" s="525" t="s">
        <v>134</v>
      </c>
      <c r="G75" s="525"/>
      <c r="H75" s="525"/>
      <c r="I75" s="525"/>
      <c r="J75" s="525"/>
      <c r="K75" s="526" t="s">
        <v>119</v>
      </c>
      <c r="L75" s="527"/>
      <c r="M75" s="527"/>
      <c r="N75" s="527"/>
      <c r="O75" s="527"/>
      <c r="P75" s="527"/>
      <c r="Q75" s="527"/>
      <c r="R75" s="527"/>
      <c r="S75" s="528"/>
      <c r="T75" s="529">
        <v>42937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si="13"/>
        <v>4</v>
      </c>
      <c r="B76" s="525"/>
      <c r="C76" s="424"/>
      <c r="D76" s="424"/>
      <c r="E76" s="35"/>
      <c r="F76" s="525"/>
      <c r="G76" s="525"/>
      <c r="H76" s="525"/>
      <c r="I76" s="525"/>
      <c r="J76" s="525"/>
      <c r="K76" s="526"/>
      <c r="L76" s="527"/>
      <c r="M76" s="527"/>
      <c r="N76" s="527"/>
      <c r="O76" s="527"/>
      <c r="P76" s="527"/>
      <c r="Q76" s="527"/>
      <c r="R76" s="527"/>
      <c r="S76" s="528"/>
      <c r="T76" s="529"/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13"/>
        <v>5</v>
      </c>
      <c r="B77" s="525"/>
      <c r="C77" s="424"/>
      <c r="D77" s="424"/>
      <c r="E77" s="35"/>
      <c r="F77" s="525"/>
      <c r="G77" s="525"/>
      <c r="H77" s="525"/>
      <c r="I77" s="525"/>
      <c r="J77" s="525"/>
      <c r="K77" s="526"/>
      <c r="L77" s="527"/>
      <c r="M77" s="527"/>
      <c r="N77" s="527"/>
      <c r="O77" s="527"/>
      <c r="P77" s="527"/>
      <c r="Q77" s="527"/>
      <c r="R77" s="527"/>
      <c r="S77" s="528"/>
      <c r="T77" s="529"/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13"/>
        <v>6</v>
      </c>
      <c r="B78" s="525"/>
      <c r="C78" s="424"/>
      <c r="D78" s="424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13"/>
        <v>7</v>
      </c>
      <c r="B79" s="525"/>
      <c r="C79" s="424"/>
      <c r="D79" s="424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13"/>
        <v>8</v>
      </c>
      <c r="B80" s="525"/>
      <c r="C80" s="424"/>
      <c r="D80" s="424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13"/>
        <v>9</v>
      </c>
      <c r="B81" s="525"/>
      <c r="C81" s="424"/>
      <c r="D81" s="424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6" thickBot="1">
      <c r="A82" s="517" t="s">
        <v>1297</v>
      </c>
      <c r="B82" s="517"/>
      <c r="C82" s="517"/>
      <c r="D82" s="517"/>
      <c r="E82" s="51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518" t="s">
        <v>114</v>
      </c>
      <c r="B83" s="519"/>
      <c r="C83" s="545" t="s">
        <v>52</v>
      </c>
      <c r="D83" s="545"/>
      <c r="E83" s="545" t="s">
        <v>53</v>
      </c>
      <c r="F83" s="545"/>
      <c r="G83" s="545"/>
      <c r="H83" s="545"/>
      <c r="I83" s="545"/>
      <c r="J83" s="545"/>
      <c r="K83" s="545" t="s">
        <v>54</v>
      </c>
      <c r="L83" s="545"/>
      <c r="M83" s="545"/>
      <c r="N83" s="545"/>
      <c r="O83" s="545"/>
      <c r="P83" s="545"/>
      <c r="Q83" s="545"/>
      <c r="R83" s="545"/>
      <c r="S83" s="545"/>
      <c r="T83" s="545" t="s">
        <v>55</v>
      </c>
      <c r="U83" s="545"/>
      <c r="V83" s="545" t="s">
        <v>56</v>
      </c>
      <c r="W83" s="545"/>
      <c r="X83" s="545"/>
      <c r="Y83" s="545" t="s">
        <v>51</v>
      </c>
      <c r="Z83" s="545"/>
      <c r="AA83" s="545"/>
      <c r="AB83" s="545"/>
      <c r="AC83" s="545"/>
      <c r="AD83" s="546"/>
      <c r="AF83" s="53"/>
    </row>
    <row r="84" spans="1:32" ht="30.75" customHeight="1">
      <c r="A84" s="532">
        <v>1</v>
      </c>
      <c r="B84" s="533"/>
      <c r="C84" s="547"/>
      <c r="D84" s="547"/>
      <c r="E84" s="547"/>
      <c r="F84" s="547"/>
      <c r="G84" s="547"/>
      <c r="H84" s="547"/>
      <c r="I84" s="547"/>
      <c r="J84" s="547"/>
      <c r="K84" s="547"/>
      <c r="L84" s="547"/>
      <c r="M84" s="547"/>
      <c r="N84" s="547"/>
      <c r="O84" s="547"/>
      <c r="P84" s="547"/>
      <c r="Q84" s="547"/>
      <c r="R84" s="547"/>
      <c r="S84" s="547"/>
      <c r="T84" s="547"/>
      <c r="U84" s="547"/>
      <c r="V84" s="548"/>
      <c r="W84" s="548"/>
      <c r="X84" s="548"/>
      <c r="Y84" s="549"/>
      <c r="Z84" s="549"/>
      <c r="AA84" s="549"/>
      <c r="AB84" s="549"/>
      <c r="AC84" s="549"/>
      <c r="AD84" s="550"/>
      <c r="AF84" s="53"/>
    </row>
    <row r="85" spans="1:32" ht="30.75" customHeight="1">
      <c r="A85" s="524">
        <v>2</v>
      </c>
      <c r="B85" s="525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9"/>
      <c r="U85" s="559"/>
      <c r="V85" s="560"/>
      <c r="W85" s="560"/>
      <c r="X85" s="560"/>
      <c r="Y85" s="551"/>
      <c r="Z85" s="551"/>
      <c r="AA85" s="551"/>
      <c r="AB85" s="551"/>
      <c r="AC85" s="551"/>
      <c r="AD85" s="552"/>
      <c r="AF85" s="53"/>
    </row>
    <row r="86" spans="1:32" ht="30.75" customHeight="1" thickBot="1">
      <c r="A86" s="553">
        <v>3</v>
      </c>
      <c r="B86" s="554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6"/>
      <c r="Z86" s="556"/>
      <c r="AA86" s="556"/>
      <c r="AB86" s="556"/>
      <c r="AC86" s="556"/>
      <c r="AD86" s="55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7"/>
  <sheetViews>
    <sheetView zoomScale="72" zoomScaleNormal="72" zoomScaleSheetLayoutView="70" workbookViewId="0">
      <selection activeCell="X12" sqref="X12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51" t="s">
        <v>1298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6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437" t="s">
        <v>17</v>
      </c>
      <c r="L5" s="437" t="s">
        <v>18</v>
      </c>
      <c r="M5" s="437" t="s">
        <v>19</v>
      </c>
      <c r="N5" s="43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6" ht="27" customHeight="1">
      <c r="A6" s="108">
        <v>1</v>
      </c>
      <c r="B6" s="11" t="s">
        <v>58</v>
      </c>
      <c r="C6" s="37" t="s">
        <v>230</v>
      </c>
      <c r="D6" s="55" t="s">
        <v>348</v>
      </c>
      <c r="E6" s="57" t="s">
        <v>1182</v>
      </c>
      <c r="F6" s="33" t="s">
        <v>135</v>
      </c>
      <c r="G6" s="12">
        <v>1</v>
      </c>
      <c r="H6" s="13">
        <v>25</v>
      </c>
      <c r="I6" s="34">
        <v>45000</v>
      </c>
      <c r="J6" s="5">
        <v>5220</v>
      </c>
      <c r="K6" s="15">
        <f>L6+1421+4758+4494</f>
        <v>15892</v>
      </c>
      <c r="L6" s="15">
        <f>2683+2536</f>
        <v>5219</v>
      </c>
      <c r="M6" s="16">
        <f t="shared" ref="M6:M21" si="0">L6-N6</f>
        <v>5219</v>
      </c>
      <c r="N6" s="16">
        <v>0</v>
      </c>
      <c r="O6" s="62">
        <f t="shared" ref="O6:O22" si="1">IF(L6=0,"0",N6/L6)</f>
        <v>0</v>
      </c>
      <c r="P6" s="42">
        <f t="shared" ref="P6:P21" si="2">IF(L6=0,"0",(24-Q6))</f>
        <v>24</v>
      </c>
      <c r="Q6" s="43">
        <f t="shared" ref="Q6:Q21" si="3">SUM(R6:AA6)</f>
        <v>0</v>
      </c>
      <c r="R6" s="7"/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0.99980842911877399</v>
      </c>
      <c r="AC6" s="9">
        <f t="shared" ref="AC6:AC21" si="5">IF(P6=0,"0",(P6/24))</f>
        <v>1</v>
      </c>
      <c r="AD6" s="10">
        <f t="shared" ref="AD6:AD21" si="6">AC6*AB6*(1-O6)</f>
        <v>0.99980842911877399</v>
      </c>
      <c r="AE6" s="39">
        <f t="shared" ref="AE6:AE21" si="7">$AD$22</f>
        <v>0.64384104402809483</v>
      </c>
      <c r="AF6" s="94">
        <f t="shared" ref="AF6:AF21" si="8">A6</f>
        <v>1</v>
      </c>
    </row>
    <row r="7" spans="1:36" ht="27" customHeight="1">
      <c r="A7" s="108">
        <v>2</v>
      </c>
      <c r="B7" s="11" t="s">
        <v>58</v>
      </c>
      <c r="C7" s="37" t="s">
        <v>133</v>
      </c>
      <c r="D7" s="55" t="s">
        <v>1140</v>
      </c>
      <c r="E7" s="57" t="s">
        <v>1141</v>
      </c>
      <c r="F7" s="33" t="s">
        <v>1058</v>
      </c>
      <c r="G7" s="12">
        <v>1</v>
      </c>
      <c r="H7" s="13">
        <v>25</v>
      </c>
      <c r="I7" s="34">
        <v>40000</v>
      </c>
      <c r="J7" s="5">
        <v>2810</v>
      </c>
      <c r="K7" s="15">
        <f>L7+2531+2311+2994+2547</f>
        <v>13189</v>
      </c>
      <c r="L7" s="15">
        <f>617+2189</f>
        <v>2806</v>
      </c>
      <c r="M7" s="16">
        <f t="shared" si="0"/>
        <v>2806</v>
      </c>
      <c r="N7" s="16">
        <v>0</v>
      </c>
      <c r="O7" s="62">
        <f t="shared" si="1"/>
        <v>0</v>
      </c>
      <c r="P7" s="42">
        <f t="shared" si="2"/>
        <v>15</v>
      </c>
      <c r="Q7" s="43">
        <f t="shared" si="3"/>
        <v>9</v>
      </c>
      <c r="R7" s="7"/>
      <c r="S7" s="6">
        <v>9</v>
      </c>
      <c r="T7" s="17"/>
      <c r="U7" s="17"/>
      <c r="V7" s="18"/>
      <c r="W7" s="19"/>
      <c r="X7" s="17"/>
      <c r="Y7" s="20"/>
      <c r="Z7" s="20"/>
      <c r="AA7" s="21"/>
      <c r="AB7" s="8">
        <f t="shared" si="4"/>
        <v>0.99857651245551604</v>
      </c>
      <c r="AC7" s="9">
        <f t="shared" si="5"/>
        <v>0.625</v>
      </c>
      <c r="AD7" s="10">
        <f t="shared" si="6"/>
        <v>0.62411032028469748</v>
      </c>
      <c r="AE7" s="39">
        <f t="shared" si="7"/>
        <v>0.64384104402809483</v>
      </c>
      <c r="AF7" s="94">
        <f t="shared" si="8"/>
        <v>2</v>
      </c>
    </row>
    <row r="8" spans="1:36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50000</v>
      </c>
      <c r="J8" s="14">
        <v>5940</v>
      </c>
      <c r="K8" s="15">
        <f>L8+4093+2190+5474+6124+1911+2500+4543+5167+5773+2682+492+2937</f>
        <v>49821</v>
      </c>
      <c r="L8" s="15">
        <f>3056+2879</f>
        <v>5935</v>
      </c>
      <c r="M8" s="16">
        <f t="shared" si="0"/>
        <v>5935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0.99915824915824913</v>
      </c>
      <c r="AC8" s="9">
        <f t="shared" si="5"/>
        <v>1</v>
      </c>
      <c r="AD8" s="10">
        <f t="shared" si="6"/>
        <v>0.99915824915824913</v>
      </c>
      <c r="AE8" s="39">
        <f t="shared" si="7"/>
        <v>0.64384104402809483</v>
      </c>
      <c r="AF8" s="94">
        <f>A8</f>
        <v>3</v>
      </c>
    </row>
    <row r="9" spans="1:36" ht="27" customHeight="1">
      <c r="A9" s="110">
        <v>4</v>
      </c>
      <c r="B9" s="11" t="s">
        <v>58</v>
      </c>
      <c r="C9" s="37" t="s">
        <v>118</v>
      </c>
      <c r="D9" s="55" t="s">
        <v>555</v>
      </c>
      <c r="E9" s="57" t="s">
        <v>1128</v>
      </c>
      <c r="F9" s="33" t="s">
        <v>1144</v>
      </c>
      <c r="G9" s="36">
        <v>1</v>
      </c>
      <c r="H9" s="38">
        <v>25</v>
      </c>
      <c r="I9" s="7">
        <v>45000</v>
      </c>
      <c r="J9" s="5">
        <v>420</v>
      </c>
      <c r="K9" s="15">
        <f>L9+3535+1239+3111</f>
        <v>8299</v>
      </c>
      <c r="L9" s="15">
        <v>414</v>
      </c>
      <c r="M9" s="16">
        <f t="shared" si="0"/>
        <v>414</v>
      </c>
      <c r="N9" s="16">
        <v>0</v>
      </c>
      <c r="O9" s="62">
        <f t="shared" si="1"/>
        <v>0</v>
      </c>
      <c r="P9" s="42">
        <f t="shared" si="2"/>
        <v>3</v>
      </c>
      <c r="Q9" s="43">
        <f t="shared" si="3"/>
        <v>21</v>
      </c>
      <c r="R9" s="7"/>
      <c r="S9" s="6">
        <v>21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0.98571428571428577</v>
      </c>
      <c r="AC9" s="9">
        <f t="shared" si="5"/>
        <v>0.125</v>
      </c>
      <c r="AD9" s="10">
        <f t="shared" si="6"/>
        <v>0.12321428571428572</v>
      </c>
      <c r="AE9" s="39">
        <f t="shared" si="7"/>
        <v>0.64384104402809483</v>
      </c>
      <c r="AF9" s="94">
        <f t="shared" ref="AF9:AF10" si="9">A9</f>
        <v>4</v>
      </c>
    </row>
    <row r="10" spans="1:36" ht="27" customHeight="1">
      <c r="A10" s="110">
        <v>5</v>
      </c>
      <c r="B10" s="11" t="s">
        <v>58</v>
      </c>
      <c r="C10" s="37" t="s">
        <v>118</v>
      </c>
      <c r="D10" s="55" t="s">
        <v>131</v>
      </c>
      <c r="E10" s="57" t="s">
        <v>882</v>
      </c>
      <c r="F10" s="33" t="s">
        <v>142</v>
      </c>
      <c r="G10" s="36">
        <v>1</v>
      </c>
      <c r="H10" s="38">
        <v>25</v>
      </c>
      <c r="I10" s="7">
        <v>50000</v>
      </c>
      <c r="J10" s="5">
        <v>3200</v>
      </c>
      <c r="K10" s="15">
        <f>L10+4454+5087+5573+4618+2034+3753+5521+2081+2562+3442</f>
        <v>42324</v>
      </c>
      <c r="L10" s="15">
        <f>1719+1480</f>
        <v>3199</v>
      </c>
      <c r="M10" s="16">
        <f t="shared" si="0"/>
        <v>3199</v>
      </c>
      <c r="N10" s="16">
        <v>0</v>
      </c>
      <c r="O10" s="62">
        <f t="shared" si="1"/>
        <v>0</v>
      </c>
      <c r="P10" s="42">
        <f t="shared" si="2"/>
        <v>19</v>
      </c>
      <c r="Q10" s="43">
        <f t="shared" si="3"/>
        <v>5</v>
      </c>
      <c r="R10" s="7"/>
      <c r="S10" s="6">
        <v>5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0.99968749999999995</v>
      </c>
      <c r="AC10" s="9">
        <f t="shared" si="5"/>
        <v>0.79166666666666663</v>
      </c>
      <c r="AD10" s="10">
        <f t="shared" si="6"/>
        <v>0.7914192708333333</v>
      </c>
      <c r="AE10" s="39">
        <f t="shared" si="7"/>
        <v>0.64384104402809483</v>
      </c>
      <c r="AF10" s="94">
        <f t="shared" si="9"/>
        <v>5</v>
      </c>
    </row>
    <row r="11" spans="1:36" ht="27" customHeight="1">
      <c r="A11" s="110">
        <v>6</v>
      </c>
      <c r="B11" s="11" t="s">
        <v>58</v>
      </c>
      <c r="C11" s="11" t="s">
        <v>133</v>
      </c>
      <c r="D11" s="55" t="s">
        <v>131</v>
      </c>
      <c r="E11" s="57" t="s">
        <v>700</v>
      </c>
      <c r="F11" s="12" t="s">
        <v>166</v>
      </c>
      <c r="G11" s="12">
        <v>1</v>
      </c>
      <c r="H11" s="13">
        <v>25</v>
      </c>
      <c r="I11" s="34">
        <v>40000</v>
      </c>
      <c r="J11" s="14">
        <v>2780</v>
      </c>
      <c r="K11" s="15">
        <f>L11+2724+6303+6504+3472+2821+4925+6265+4473+6359+2915+3334+6447</f>
        <v>59314</v>
      </c>
      <c r="L11" s="15">
        <v>2772</v>
      </c>
      <c r="M11" s="16">
        <f t="shared" si="0"/>
        <v>2772</v>
      </c>
      <c r="N11" s="16">
        <v>0</v>
      </c>
      <c r="O11" s="62">
        <f t="shared" si="1"/>
        <v>0</v>
      </c>
      <c r="P11" s="42">
        <f t="shared" si="2"/>
        <v>13</v>
      </c>
      <c r="Q11" s="43">
        <f t="shared" si="3"/>
        <v>11</v>
      </c>
      <c r="R11" s="7"/>
      <c r="S11" s="6">
        <v>11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0.99712230215827335</v>
      </c>
      <c r="AC11" s="9">
        <f t="shared" si="5"/>
        <v>0.54166666666666663</v>
      </c>
      <c r="AD11" s="10">
        <f t="shared" si="6"/>
        <v>0.54010791366906474</v>
      </c>
      <c r="AE11" s="39">
        <f t="shared" si="7"/>
        <v>0.64384104402809483</v>
      </c>
      <c r="AF11" s="94">
        <f t="shared" si="8"/>
        <v>6</v>
      </c>
    </row>
    <row r="12" spans="1:36" ht="27" customHeight="1">
      <c r="A12" s="110">
        <v>7</v>
      </c>
      <c r="B12" s="11" t="s">
        <v>58</v>
      </c>
      <c r="C12" s="11" t="s">
        <v>392</v>
      </c>
      <c r="D12" s="55" t="s">
        <v>136</v>
      </c>
      <c r="E12" s="57" t="s">
        <v>1102</v>
      </c>
      <c r="F12" s="12" t="s">
        <v>350</v>
      </c>
      <c r="G12" s="12">
        <v>1</v>
      </c>
      <c r="H12" s="13">
        <v>25</v>
      </c>
      <c r="I12" s="7">
        <v>25000</v>
      </c>
      <c r="J12" s="14">
        <v>320</v>
      </c>
      <c r="K12" s="15">
        <f>L12+2195+4079+2153+1167+3886</f>
        <v>13797</v>
      </c>
      <c r="L12" s="15">
        <v>317</v>
      </c>
      <c r="M12" s="16">
        <f t="shared" si="0"/>
        <v>317</v>
      </c>
      <c r="N12" s="16">
        <v>0</v>
      </c>
      <c r="O12" s="62">
        <f t="shared" si="1"/>
        <v>0</v>
      </c>
      <c r="P12" s="42">
        <f t="shared" si="2"/>
        <v>2</v>
      </c>
      <c r="Q12" s="43">
        <f t="shared" si="3"/>
        <v>22</v>
      </c>
      <c r="R12" s="7"/>
      <c r="S12" s="6">
        <v>22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0.99062499999999998</v>
      </c>
      <c r="AC12" s="9">
        <f t="shared" si="5"/>
        <v>8.3333333333333329E-2</v>
      </c>
      <c r="AD12" s="10">
        <f t="shared" si="6"/>
        <v>8.2552083333333331E-2</v>
      </c>
      <c r="AE12" s="39">
        <f t="shared" si="7"/>
        <v>0.64384104402809483</v>
      </c>
      <c r="AF12" s="94">
        <f t="shared" si="8"/>
        <v>7</v>
      </c>
    </row>
    <row r="13" spans="1:36" ht="27" customHeight="1">
      <c r="A13" s="110">
        <v>8</v>
      </c>
      <c r="B13" s="11" t="s">
        <v>58</v>
      </c>
      <c r="C13" s="11" t="s">
        <v>118</v>
      </c>
      <c r="D13" s="55" t="s">
        <v>1212</v>
      </c>
      <c r="E13" s="57" t="s">
        <v>628</v>
      </c>
      <c r="F13" s="12" t="s">
        <v>486</v>
      </c>
      <c r="G13" s="12">
        <v>1</v>
      </c>
      <c r="H13" s="13">
        <v>25</v>
      </c>
      <c r="I13" s="7">
        <v>45000</v>
      </c>
      <c r="J13" s="14">
        <v>4030</v>
      </c>
      <c r="K13" s="15">
        <f>L13+2601+5722</f>
        <v>12349</v>
      </c>
      <c r="L13" s="15">
        <f>2712+1314</f>
        <v>4026</v>
      </c>
      <c r="M13" s="16">
        <f t="shared" si="0"/>
        <v>4026</v>
      </c>
      <c r="N13" s="16">
        <v>0</v>
      </c>
      <c r="O13" s="62">
        <f t="shared" si="1"/>
        <v>0</v>
      </c>
      <c r="P13" s="42">
        <f t="shared" si="2"/>
        <v>21</v>
      </c>
      <c r="Q13" s="43">
        <f t="shared" si="3"/>
        <v>3</v>
      </c>
      <c r="R13" s="7"/>
      <c r="S13" s="6">
        <v>3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0.99900744416873444</v>
      </c>
      <c r="AC13" s="9">
        <f t="shared" si="5"/>
        <v>0.875</v>
      </c>
      <c r="AD13" s="10">
        <f t="shared" si="6"/>
        <v>0.87413151364764263</v>
      </c>
      <c r="AE13" s="39">
        <f t="shared" si="7"/>
        <v>0.64384104402809483</v>
      </c>
      <c r="AF13" s="94">
        <f t="shared" si="8"/>
        <v>8</v>
      </c>
    </row>
    <row r="14" spans="1:36" ht="27" customHeight="1">
      <c r="A14" s="109">
        <v>9</v>
      </c>
      <c r="B14" s="11" t="s">
        <v>58</v>
      </c>
      <c r="C14" s="37" t="s">
        <v>117</v>
      </c>
      <c r="D14" s="55" t="s">
        <v>1059</v>
      </c>
      <c r="E14" s="57" t="s">
        <v>1255</v>
      </c>
      <c r="F14" s="33" t="s">
        <v>330</v>
      </c>
      <c r="G14" s="36">
        <v>2</v>
      </c>
      <c r="H14" s="38">
        <v>25</v>
      </c>
      <c r="I14" s="7">
        <v>110000</v>
      </c>
      <c r="J14" s="5">
        <v>2670</v>
      </c>
      <c r="K14" s="15">
        <f>L14+2664</f>
        <v>2664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0.64384104402809483</v>
      </c>
      <c r="AF14" s="94">
        <f t="shared" si="8"/>
        <v>9</v>
      </c>
    </row>
    <row r="15" spans="1:36" ht="27" customHeight="1">
      <c r="A15" s="109">
        <v>10</v>
      </c>
      <c r="B15" s="11" t="s">
        <v>58</v>
      </c>
      <c r="C15" s="11" t="s">
        <v>195</v>
      </c>
      <c r="D15" s="55" t="s">
        <v>967</v>
      </c>
      <c r="E15" s="57" t="s">
        <v>968</v>
      </c>
      <c r="F15" s="12">
        <v>8301</v>
      </c>
      <c r="G15" s="12">
        <v>1</v>
      </c>
      <c r="H15" s="13">
        <v>20</v>
      </c>
      <c r="I15" s="34">
        <v>500</v>
      </c>
      <c r="J15" s="14">
        <v>1590</v>
      </c>
      <c r="K15" s="15">
        <f>L15+1585</f>
        <v>1585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0.64384104402809483</v>
      </c>
      <c r="AF15" s="94">
        <f t="shared" si="8"/>
        <v>10</v>
      </c>
    </row>
    <row r="16" spans="1:36" ht="27.75" customHeight="1">
      <c r="A16" s="109">
        <v>11</v>
      </c>
      <c r="B16" s="11" t="s">
        <v>58</v>
      </c>
      <c r="C16" s="11" t="s">
        <v>133</v>
      </c>
      <c r="D16" s="55" t="s">
        <v>900</v>
      </c>
      <c r="E16" s="56" t="s">
        <v>842</v>
      </c>
      <c r="F16" s="12">
        <v>7301</v>
      </c>
      <c r="G16" s="36">
        <v>1</v>
      </c>
      <c r="H16" s="38">
        <v>25</v>
      </c>
      <c r="I16" s="7">
        <v>40000</v>
      </c>
      <c r="J16" s="14">
        <v>5540</v>
      </c>
      <c r="K16" s="15">
        <f>L16+1291+540+704+4156+1918+2216</f>
        <v>16363</v>
      </c>
      <c r="L16" s="15">
        <f>2827+2711</f>
        <v>5538</v>
      </c>
      <c r="M16" s="16">
        <f t="shared" si="0"/>
        <v>5538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0.99963898916967509</v>
      </c>
      <c r="AC16" s="9">
        <f t="shared" si="5"/>
        <v>1</v>
      </c>
      <c r="AD16" s="10">
        <f t="shared" si="6"/>
        <v>0.99963898916967509</v>
      </c>
      <c r="AE16" s="39">
        <f t="shared" si="7"/>
        <v>0.64384104402809483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58</v>
      </c>
      <c r="C17" s="37" t="s">
        <v>392</v>
      </c>
      <c r="D17" s="55" t="s">
        <v>733</v>
      </c>
      <c r="E17" s="56" t="s">
        <v>1299</v>
      </c>
      <c r="F17" s="12" t="s">
        <v>1300</v>
      </c>
      <c r="G17" s="12">
        <v>2</v>
      </c>
      <c r="H17" s="13">
        <v>25</v>
      </c>
      <c r="I17" s="34">
        <v>110000</v>
      </c>
      <c r="J17" s="5">
        <v>9010</v>
      </c>
      <c r="K17" s="15">
        <f>L17</f>
        <v>9006</v>
      </c>
      <c r="L17" s="15">
        <f>3186*2+1317*2</f>
        <v>9006</v>
      </c>
      <c r="M17" s="16">
        <f t="shared" si="0"/>
        <v>9006</v>
      </c>
      <c r="N17" s="16">
        <v>0</v>
      </c>
      <c r="O17" s="62">
        <f t="shared" si="1"/>
        <v>0</v>
      </c>
      <c r="P17" s="42">
        <f t="shared" si="2"/>
        <v>20</v>
      </c>
      <c r="Q17" s="43">
        <f t="shared" si="3"/>
        <v>4</v>
      </c>
      <c r="R17" s="7"/>
      <c r="S17" s="6"/>
      <c r="T17" s="17">
        <v>4</v>
      </c>
      <c r="U17" s="17"/>
      <c r="V17" s="18"/>
      <c r="W17" s="19"/>
      <c r="X17" s="17"/>
      <c r="Y17" s="20"/>
      <c r="Z17" s="20"/>
      <c r="AA17" s="21"/>
      <c r="AB17" s="8">
        <f t="shared" si="4"/>
        <v>0.99955604883462823</v>
      </c>
      <c r="AC17" s="9">
        <f t="shared" si="5"/>
        <v>0.83333333333333337</v>
      </c>
      <c r="AD17" s="10">
        <f t="shared" si="6"/>
        <v>0.8329633740288569</v>
      </c>
      <c r="AE17" s="39">
        <f t="shared" si="7"/>
        <v>0.64384104402809483</v>
      </c>
      <c r="AF17" s="94">
        <f t="shared" ref="AF17" si="10">A17</f>
        <v>12</v>
      </c>
    </row>
    <row r="18" spans="1:32" ht="27" customHeight="1">
      <c r="A18" s="110">
        <v>13</v>
      </c>
      <c r="B18" s="11" t="s">
        <v>58</v>
      </c>
      <c r="C18" s="37" t="s">
        <v>117</v>
      </c>
      <c r="D18" s="55" t="s">
        <v>1215</v>
      </c>
      <c r="E18" s="57" t="s">
        <v>1216</v>
      </c>
      <c r="F18" s="33" t="s">
        <v>142</v>
      </c>
      <c r="G18" s="36">
        <v>1</v>
      </c>
      <c r="H18" s="38">
        <v>25</v>
      </c>
      <c r="I18" s="7">
        <v>22000</v>
      </c>
      <c r="J18" s="5">
        <v>900</v>
      </c>
      <c r="K18" s="15">
        <f>L18+2568+5446</f>
        <v>8914</v>
      </c>
      <c r="L18" s="15">
        <v>900</v>
      </c>
      <c r="M18" s="16">
        <f t="shared" si="0"/>
        <v>900</v>
      </c>
      <c r="N18" s="16">
        <v>0</v>
      </c>
      <c r="O18" s="62">
        <f t="shared" si="1"/>
        <v>0</v>
      </c>
      <c r="P18" s="42">
        <f t="shared" si="2"/>
        <v>5</v>
      </c>
      <c r="Q18" s="43">
        <f t="shared" si="3"/>
        <v>19</v>
      </c>
      <c r="R18" s="7"/>
      <c r="S18" s="6"/>
      <c r="T18" s="17"/>
      <c r="U18" s="17"/>
      <c r="V18" s="18"/>
      <c r="W18" s="19">
        <v>19</v>
      </c>
      <c r="X18" s="17"/>
      <c r="Y18" s="20"/>
      <c r="Z18" s="20"/>
      <c r="AA18" s="21"/>
      <c r="AB18" s="8">
        <f t="shared" si="4"/>
        <v>1</v>
      </c>
      <c r="AC18" s="9">
        <f t="shared" si="5"/>
        <v>0.20833333333333334</v>
      </c>
      <c r="AD18" s="10">
        <f t="shared" si="6"/>
        <v>0.20833333333333334</v>
      </c>
      <c r="AE18" s="39">
        <f t="shared" si="7"/>
        <v>0.64384104402809483</v>
      </c>
      <c r="AF18" s="94">
        <f t="shared" si="8"/>
        <v>13</v>
      </c>
    </row>
    <row r="19" spans="1:32" ht="27" customHeight="1">
      <c r="A19" s="110">
        <v>13</v>
      </c>
      <c r="B19" s="11" t="s">
        <v>58</v>
      </c>
      <c r="C19" s="37" t="s">
        <v>117</v>
      </c>
      <c r="D19" s="55" t="s">
        <v>1301</v>
      </c>
      <c r="E19" s="57" t="s">
        <v>1302</v>
      </c>
      <c r="F19" s="33" t="s">
        <v>142</v>
      </c>
      <c r="G19" s="36">
        <v>1</v>
      </c>
      <c r="H19" s="38">
        <v>25</v>
      </c>
      <c r="I19" s="7">
        <v>110000</v>
      </c>
      <c r="J19" s="5">
        <v>7230</v>
      </c>
      <c r="K19" s="15">
        <f>L19</f>
        <v>7230</v>
      </c>
      <c r="L19" s="15">
        <f>2601*2+1014*2</f>
        <v>7230</v>
      </c>
      <c r="M19" s="16">
        <f t="shared" ref="M19" si="11">L19-N19</f>
        <v>7230</v>
      </c>
      <c r="N19" s="16">
        <v>0</v>
      </c>
      <c r="O19" s="62">
        <f t="shared" ref="O19" si="12">IF(L19=0,"0",N19/L19)</f>
        <v>0</v>
      </c>
      <c r="P19" s="42">
        <f t="shared" ref="P19" si="13">IF(L19=0,"0",(24-Q19))</f>
        <v>19</v>
      </c>
      <c r="Q19" s="43">
        <f t="shared" ref="Q19" si="14">SUM(R19:AA19)</f>
        <v>5</v>
      </c>
      <c r="R19" s="7"/>
      <c r="S19" s="6">
        <v>5</v>
      </c>
      <c r="T19" s="17"/>
      <c r="U19" s="17"/>
      <c r="V19" s="18"/>
      <c r="W19" s="19"/>
      <c r="X19" s="17"/>
      <c r="Y19" s="20"/>
      <c r="Z19" s="20"/>
      <c r="AA19" s="21"/>
      <c r="AB19" s="8">
        <f t="shared" ref="AB19" si="15">IF(J19=0,"0",(L19/J19))</f>
        <v>1</v>
      </c>
      <c r="AC19" s="9">
        <f t="shared" ref="AC19" si="16">IF(P19=0,"0",(P19/24))</f>
        <v>0.79166666666666663</v>
      </c>
      <c r="AD19" s="10">
        <f t="shared" ref="AD19" si="17">AC19*AB19*(1-O19)</f>
        <v>0.79166666666666663</v>
      </c>
      <c r="AE19" s="39">
        <f t="shared" si="7"/>
        <v>0.64384104402809483</v>
      </c>
      <c r="AF19" s="94">
        <f t="shared" ref="AF19" si="18">A19</f>
        <v>13</v>
      </c>
    </row>
    <row r="20" spans="1:32" ht="27" customHeight="1">
      <c r="A20" s="110">
        <v>14</v>
      </c>
      <c r="B20" s="11" t="s">
        <v>58</v>
      </c>
      <c r="C20" s="11" t="s">
        <v>118</v>
      </c>
      <c r="D20" s="55" t="s">
        <v>57</v>
      </c>
      <c r="E20" s="57" t="s">
        <v>160</v>
      </c>
      <c r="F20" s="12" t="s">
        <v>145</v>
      </c>
      <c r="G20" s="12">
        <v>1</v>
      </c>
      <c r="H20" s="13">
        <v>25</v>
      </c>
      <c r="I20" s="7">
        <v>52000</v>
      </c>
      <c r="J20" s="14">
        <v>5230</v>
      </c>
      <c r="K20" s="15">
        <f>L20+4424+5402+3684+3104+5222+5230+5262+2977+639+4828+5314</f>
        <v>51311</v>
      </c>
      <c r="L20" s="15">
        <f>2699+2526</f>
        <v>5225</v>
      </c>
      <c r="M20" s="16">
        <f t="shared" si="0"/>
        <v>5225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0.99904397705544934</v>
      </c>
      <c r="AC20" s="9">
        <f t="shared" si="5"/>
        <v>1</v>
      </c>
      <c r="AD20" s="10">
        <f t="shared" si="6"/>
        <v>0.99904397705544934</v>
      </c>
      <c r="AE20" s="39">
        <f t="shared" si="7"/>
        <v>0.64384104402809483</v>
      </c>
      <c r="AF20" s="94">
        <f t="shared" si="8"/>
        <v>14</v>
      </c>
    </row>
    <row r="21" spans="1:32" ht="27" customHeight="1" thickBot="1">
      <c r="A21" s="110">
        <v>15</v>
      </c>
      <c r="B21" s="11" t="s">
        <v>58</v>
      </c>
      <c r="C21" s="11" t="s">
        <v>749</v>
      </c>
      <c r="D21" s="55"/>
      <c r="E21" s="56" t="s">
        <v>1258</v>
      </c>
      <c r="F21" s="12" t="s">
        <v>1259</v>
      </c>
      <c r="G21" s="12">
        <v>2</v>
      </c>
      <c r="H21" s="38">
        <v>20</v>
      </c>
      <c r="I21" s="7">
        <v>5000</v>
      </c>
      <c r="J21" s="14">
        <v>7940</v>
      </c>
      <c r="K21" s="15">
        <f>L21+13586</f>
        <v>21524</v>
      </c>
      <c r="L21" s="15">
        <f>2955*2+1014*2</f>
        <v>7938</v>
      </c>
      <c r="M21" s="16">
        <f t="shared" si="0"/>
        <v>7938</v>
      </c>
      <c r="N21" s="16">
        <v>0</v>
      </c>
      <c r="O21" s="62">
        <f t="shared" si="1"/>
        <v>0</v>
      </c>
      <c r="P21" s="42">
        <f t="shared" si="2"/>
        <v>19</v>
      </c>
      <c r="Q21" s="43">
        <f t="shared" si="3"/>
        <v>5</v>
      </c>
      <c r="R21" s="7"/>
      <c r="S21" s="6">
        <v>5</v>
      </c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0.99974811083123427</v>
      </c>
      <c r="AC21" s="9">
        <f t="shared" si="5"/>
        <v>0.79166666666666663</v>
      </c>
      <c r="AD21" s="10">
        <f t="shared" si="6"/>
        <v>0.79146725440806043</v>
      </c>
      <c r="AE21" s="39">
        <f t="shared" si="7"/>
        <v>0.64384104402809483</v>
      </c>
      <c r="AF21" s="94">
        <f t="shared" si="8"/>
        <v>15</v>
      </c>
    </row>
    <row r="22" spans="1:32" ht="31.5" customHeight="1" thickBot="1">
      <c r="A22" s="465" t="s">
        <v>34</v>
      </c>
      <c r="B22" s="466"/>
      <c r="C22" s="466"/>
      <c r="D22" s="466"/>
      <c r="E22" s="466"/>
      <c r="F22" s="466"/>
      <c r="G22" s="466"/>
      <c r="H22" s="467"/>
      <c r="I22" s="25">
        <f t="shared" ref="I22:N22" si="19">SUM(I6:I21)</f>
        <v>789500</v>
      </c>
      <c r="J22" s="22">
        <f t="shared" si="19"/>
        <v>64830</v>
      </c>
      <c r="K22" s="23">
        <f t="shared" si="19"/>
        <v>333582</v>
      </c>
      <c r="L22" s="24">
        <f t="shared" si="19"/>
        <v>60525</v>
      </c>
      <c r="M22" s="23">
        <f t="shared" si="19"/>
        <v>60525</v>
      </c>
      <c r="N22" s="24">
        <f t="shared" si="19"/>
        <v>0</v>
      </c>
      <c r="O22" s="44">
        <f t="shared" si="1"/>
        <v>0</v>
      </c>
      <c r="P22" s="45">
        <f t="shared" ref="P22:AA22" si="20">SUM(P6:P21)</f>
        <v>232</v>
      </c>
      <c r="Q22" s="46">
        <f t="shared" si="20"/>
        <v>152</v>
      </c>
      <c r="R22" s="26">
        <f t="shared" si="20"/>
        <v>0</v>
      </c>
      <c r="S22" s="27">
        <f t="shared" si="20"/>
        <v>81</v>
      </c>
      <c r="T22" s="27">
        <f t="shared" si="20"/>
        <v>4</v>
      </c>
      <c r="U22" s="27">
        <f t="shared" si="20"/>
        <v>0</v>
      </c>
      <c r="V22" s="28">
        <f t="shared" si="20"/>
        <v>0</v>
      </c>
      <c r="W22" s="29">
        <f t="shared" si="20"/>
        <v>67</v>
      </c>
      <c r="X22" s="30">
        <f t="shared" si="20"/>
        <v>0</v>
      </c>
      <c r="Y22" s="30">
        <f t="shared" si="20"/>
        <v>0</v>
      </c>
      <c r="Z22" s="30">
        <f t="shared" si="20"/>
        <v>0</v>
      </c>
      <c r="AA22" s="30">
        <f t="shared" si="20"/>
        <v>0</v>
      </c>
      <c r="AB22" s="31">
        <f>SUM(AB6:AB21)/15</f>
        <v>0.93117912324432128</v>
      </c>
      <c r="AC22" s="4">
        <f>SUM(AC6:AC21)/15</f>
        <v>0.64444444444444438</v>
      </c>
      <c r="AD22" s="4">
        <f>SUM(AD6:AD21)/15</f>
        <v>0.64384104402809483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68" t="s">
        <v>45</v>
      </c>
      <c r="B49" s="468"/>
      <c r="C49" s="468"/>
      <c r="D49" s="468"/>
      <c r="E49" s="468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69" t="s">
        <v>1303</v>
      </c>
      <c r="B50" s="470"/>
      <c r="C50" s="470"/>
      <c r="D50" s="470"/>
      <c r="E50" s="470"/>
      <c r="F50" s="470"/>
      <c r="G50" s="470"/>
      <c r="H50" s="470"/>
      <c r="I50" s="470"/>
      <c r="J50" s="470"/>
      <c r="K50" s="470"/>
      <c r="L50" s="470"/>
      <c r="M50" s="471"/>
      <c r="N50" s="472" t="s">
        <v>1316</v>
      </c>
      <c r="O50" s="473"/>
      <c r="P50" s="473"/>
      <c r="Q50" s="473"/>
      <c r="R50" s="473"/>
      <c r="S50" s="473"/>
      <c r="T50" s="473"/>
      <c r="U50" s="473"/>
      <c r="V50" s="473"/>
      <c r="W50" s="473"/>
      <c r="X50" s="473"/>
      <c r="Y50" s="473"/>
      <c r="Z50" s="473"/>
      <c r="AA50" s="473"/>
      <c r="AB50" s="473"/>
      <c r="AC50" s="473"/>
      <c r="AD50" s="474"/>
    </row>
    <row r="51" spans="1:32" ht="27" customHeight="1">
      <c r="A51" s="475" t="s">
        <v>2</v>
      </c>
      <c r="B51" s="476"/>
      <c r="C51" s="436" t="s">
        <v>46</v>
      </c>
      <c r="D51" s="436" t="s">
        <v>47</v>
      </c>
      <c r="E51" s="436" t="s">
        <v>109</v>
      </c>
      <c r="F51" s="476" t="s">
        <v>108</v>
      </c>
      <c r="G51" s="476"/>
      <c r="H51" s="476"/>
      <c r="I51" s="476"/>
      <c r="J51" s="476"/>
      <c r="K51" s="476"/>
      <c r="L51" s="476"/>
      <c r="M51" s="477"/>
      <c r="N51" s="73" t="s">
        <v>113</v>
      </c>
      <c r="O51" s="436" t="s">
        <v>46</v>
      </c>
      <c r="P51" s="478" t="s">
        <v>47</v>
      </c>
      <c r="Q51" s="479"/>
      <c r="R51" s="478" t="s">
        <v>38</v>
      </c>
      <c r="S51" s="480"/>
      <c r="T51" s="480"/>
      <c r="U51" s="479"/>
      <c r="V51" s="478" t="s">
        <v>48</v>
      </c>
      <c r="W51" s="480"/>
      <c r="X51" s="480"/>
      <c r="Y51" s="480"/>
      <c r="Z51" s="480"/>
      <c r="AA51" s="480"/>
      <c r="AB51" s="480"/>
      <c r="AC51" s="480"/>
      <c r="AD51" s="481"/>
    </row>
    <row r="52" spans="1:32" ht="27" customHeight="1">
      <c r="A52" s="492" t="s">
        <v>406</v>
      </c>
      <c r="B52" s="493"/>
      <c r="C52" s="435" t="s">
        <v>686</v>
      </c>
      <c r="D52" s="432" t="s">
        <v>1220</v>
      </c>
      <c r="E52" s="435" t="s">
        <v>1221</v>
      </c>
      <c r="F52" s="494" t="s">
        <v>1304</v>
      </c>
      <c r="G52" s="494"/>
      <c r="H52" s="494"/>
      <c r="I52" s="494"/>
      <c r="J52" s="494"/>
      <c r="K52" s="494"/>
      <c r="L52" s="494"/>
      <c r="M52" s="495"/>
      <c r="N52" s="431" t="s">
        <v>1319</v>
      </c>
      <c r="O52" s="74" t="s">
        <v>452</v>
      </c>
      <c r="P52" s="496"/>
      <c r="Q52" s="497"/>
      <c r="R52" s="498" t="s">
        <v>280</v>
      </c>
      <c r="S52" s="498"/>
      <c r="T52" s="498"/>
      <c r="U52" s="498"/>
      <c r="V52" s="494" t="s">
        <v>1320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1223</v>
      </c>
      <c r="B53" s="493"/>
      <c r="C53" s="435" t="s">
        <v>631</v>
      </c>
      <c r="D53" s="432" t="s">
        <v>1305</v>
      </c>
      <c r="E53" s="435" t="s">
        <v>1306</v>
      </c>
      <c r="F53" s="494" t="s">
        <v>1304</v>
      </c>
      <c r="G53" s="494"/>
      <c r="H53" s="494"/>
      <c r="I53" s="494"/>
      <c r="J53" s="494"/>
      <c r="K53" s="494"/>
      <c r="L53" s="494"/>
      <c r="M53" s="495"/>
      <c r="N53" s="431" t="s">
        <v>1322</v>
      </c>
      <c r="O53" s="74" t="s">
        <v>1323</v>
      </c>
      <c r="P53" s="496"/>
      <c r="Q53" s="497"/>
      <c r="R53" s="498" t="s">
        <v>1321</v>
      </c>
      <c r="S53" s="498"/>
      <c r="T53" s="498"/>
      <c r="U53" s="498"/>
      <c r="V53" s="494" t="s">
        <v>1320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1307</v>
      </c>
      <c r="B54" s="493"/>
      <c r="C54" s="435" t="s">
        <v>1308</v>
      </c>
      <c r="D54" s="432" t="s">
        <v>1309</v>
      </c>
      <c r="E54" s="435" t="s">
        <v>1310</v>
      </c>
      <c r="F54" s="494" t="s">
        <v>1311</v>
      </c>
      <c r="G54" s="494"/>
      <c r="H54" s="494"/>
      <c r="I54" s="494"/>
      <c r="J54" s="494"/>
      <c r="K54" s="494"/>
      <c r="L54" s="494"/>
      <c r="M54" s="495"/>
      <c r="N54" s="431" t="s">
        <v>1324</v>
      </c>
      <c r="O54" s="74" t="s">
        <v>650</v>
      </c>
      <c r="P54" s="496" t="s">
        <v>1325</v>
      </c>
      <c r="Q54" s="497"/>
      <c r="R54" s="498" t="s">
        <v>1141</v>
      </c>
      <c r="S54" s="498"/>
      <c r="T54" s="498"/>
      <c r="U54" s="498"/>
      <c r="V54" s="494" t="s">
        <v>1326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392</v>
      </c>
      <c r="B55" s="493"/>
      <c r="C55" s="435" t="s">
        <v>1312</v>
      </c>
      <c r="D55" s="432" t="s">
        <v>136</v>
      </c>
      <c r="E55" s="435" t="s">
        <v>1313</v>
      </c>
      <c r="F55" s="494" t="s">
        <v>1311</v>
      </c>
      <c r="G55" s="494"/>
      <c r="H55" s="494"/>
      <c r="I55" s="494"/>
      <c r="J55" s="494"/>
      <c r="K55" s="494"/>
      <c r="L55" s="494"/>
      <c r="M55" s="495"/>
      <c r="N55" s="431"/>
      <c r="O55" s="74"/>
      <c r="P55" s="496"/>
      <c r="Q55" s="497"/>
      <c r="R55" s="498"/>
      <c r="S55" s="498"/>
      <c r="T55" s="498"/>
      <c r="U55" s="498"/>
      <c r="V55" s="494"/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749</v>
      </c>
      <c r="B56" s="493"/>
      <c r="C56" s="435" t="s">
        <v>1278</v>
      </c>
      <c r="D56" s="432"/>
      <c r="E56" s="435" t="s">
        <v>1276</v>
      </c>
      <c r="F56" s="494" t="s">
        <v>1314</v>
      </c>
      <c r="G56" s="494"/>
      <c r="H56" s="494"/>
      <c r="I56" s="494"/>
      <c r="J56" s="494"/>
      <c r="K56" s="494"/>
      <c r="L56" s="494"/>
      <c r="M56" s="495"/>
      <c r="N56" s="431"/>
      <c r="O56" s="74"/>
      <c r="P56" s="496"/>
      <c r="Q56" s="497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 t="s">
        <v>137</v>
      </c>
      <c r="B57" s="493"/>
      <c r="C57" s="435" t="s">
        <v>1162</v>
      </c>
      <c r="D57" s="432" t="s">
        <v>57</v>
      </c>
      <c r="E57" s="435" t="s">
        <v>628</v>
      </c>
      <c r="F57" s="494" t="s">
        <v>1315</v>
      </c>
      <c r="G57" s="494"/>
      <c r="H57" s="494"/>
      <c r="I57" s="494"/>
      <c r="J57" s="494"/>
      <c r="K57" s="494"/>
      <c r="L57" s="494"/>
      <c r="M57" s="495"/>
      <c r="N57" s="431"/>
      <c r="O57" s="74"/>
      <c r="P57" s="498"/>
      <c r="Q57" s="498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 t="s">
        <v>133</v>
      </c>
      <c r="B58" s="493"/>
      <c r="C58" s="435" t="s">
        <v>1112</v>
      </c>
      <c r="D58" s="432" t="s">
        <v>1305</v>
      </c>
      <c r="E58" s="435" t="s">
        <v>1317</v>
      </c>
      <c r="F58" s="494" t="s">
        <v>1318</v>
      </c>
      <c r="G58" s="494"/>
      <c r="H58" s="494"/>
      <c r="I58" s="494"/>
      <c r="J58" s="494"/>
      <c r="K58" s="494"/>
      <c r="L58" s="494"/>
      <c r="M58" s="495"/>
      <c r="N58" s="431"/>
      <c r="O58" s="74"/>
      <c r="P58" s="496"/>
      <c r="Q58" s="497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492"/>
      <c r="B59" s="493"/>
      <c r="C59" s="435"/>
      <c r="D59" s="432"/>
      <c r="E59" s="435"/>
      <c r="F59" s="494"/>
      <c r="G59" s="494"/>
      <c r="H59" s="494"/>
      <c r="I59" s="494"/>
      <c r="J59" s="494"/>
      <c r="K59" s="494"/>
      <c r="L59" s="494"/>
      <c r="M59" s="495"/>
      <c r="N59" s="431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</row>
    <row r="60" spans="1:32" ht="27" customHeight="1">
      <c r="A60" s="508"/>
      <c r="B60" s="498"/>
      <c r="C60" s="432"/>
      <c r="D60" s="432"/>
      <c r="E60" s="432"/>
      <c r="F60" s="494"/>
      <c r="G60" s="494"/>
      <c r="H60" s="494"/>
      <c r="I60" s="494"/>
      <c r="J60" s="494"/>
      <c r="K60" s="494"/>
      <c r="L60" s="494"/>
      <c r="M60" s="495"/>
      <c r="N60" s="431"/>
      <c r="O60" s="74"/>
      <c r="P60" s="498"/>
      <c r="Q60" s="498"/>
      <c r="R60" s="498"/>
      <c r="S60" s="498"/>
      <c r="T60" s="498"/>
      <c r="U60" s="498"/>
      <c r="V60" s="494"/>
      <c r="W60" s="494"/>
      <c r="X60" s="494"/>
      <c r="Y60" s="494"/>
      <c r="Z60" s="494"/>
      <c r="AA60" s="494"/>
      <c r="AB60" s="494"/>
      <c r="AC60" s="494"/>
      <c r="AD60" s="495"/>
      <c r="AF60" s="94">
        <f>8*3000</f>
        <v>24000</v>
      </c>
    </row>
    <row r="61" spans="1:32" ht="27" customHeight="1" thickBot="1">
      <c r="A61" s="499"/>
      <c r="B61" s="500"/>
      <c r="C61" s="434"/>
      <c r="D61" s="434"/>
      <c r="E61" s="434"/>
      <c r="F61" s="501"/>
      <c r="G61" s="501"/>
      <c r="H61" s="501"/>
      <c r="I61" s="501"/>
      <c r="J61" s="501"/>
      <c r="K61" s="501"/>
      <c r="L61" s="501"/>
      <c r="M61" s="502"/>
      <c r="N61" s="433"/>
      <c r="O61" s="121"/>
      <c r="P61" s="500"/>
      <c r="Q61" s="500"/>
      <c r="R61" s="500"/>
      <c r="S61" s="500"/>
      <c r="T61" s="500"/>
      <c r="U61" s="500"/>
      <c r="V61" s="501"/>
      <c r="W61" s="501"/>
      <c r="X61" s="501"/>
      <c r="Y61" s="501"/>
      <c r="Z61" s="501"/>
      <c r="AA61" s="501"/>
      <c r="AB61" s="501"/>
      <c r="AC61" s="501"/>
      <c r="AD61" s="502"/>
      <c r="AF61" s="94">
        <f>16*3000</f>
        <v>48000</v>
      </c>
    </row>
    <row r="62" spans="1:32" ht="27.75" thickBot="1">
      <c r="A62" s="503" t="s">
        <v>1327</v>
      </c>
      <c r="B62" s="503"/>
      <c r="C62" s="503"/>
      <c r="D62" s="503"/>
      <c r="E62" s="503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504" t="s">
        <v>114</v>
      </c>
      <c r="B63" s="505"/>
      <c r="C63" s="430" t="s">
        <v>2</v>
      </c>
      <c r="D63" s="430" t="s">
        <v>37</v>
      </c>
      <c r="E63" s="430" t="s">
        <v>3</v>
      </c>
      <c r="F63" s="505" t="s">
        <v>111</v>
      </c>
      <c r="G63" s="505"/>
      <c r="H63" s="505"/>
      <c r="I63" s="505"/>
      <c r="J63" s="505"/>
      <c r="K63" s="505" t="s">
        <v>39</v>
      </c>
      <c r="L63" s="505"/>
      <c r="M63" s="430" t="s">
        <v>40</v>
      </c>
      <c r="N63" s="505" t="s">
        <v>41</v>
      </c>
      <c r="O63" s="505"/>
      <c r="P63" s="506" t="s">
        <v>42</v>
      </c>
      <c r="Q63" s="507"/>
      <c r="R63" s="506" t="s">
        <v>43</v>
      </c>
      <c r="S63" s="509"/>
      <c r="T63" s="509"/>
      <c r="U63" s="509"/>
      <c r="V63" s="509"/>
      <c r="W63" s="509"/>
      <c r="X63" s="509"/>
      <c r="Y63" s="509"/>
      <c r="Z63" s="509"/>
      <c r="AA63" s="507"/>
      <c r="AB63" s="505" t="s">
        <v>44</v>
      </c>
      <c r="AC63" s="505"/>
      <c r="AD63" s="510"/>
      <c r="AF63" s="94">
        <f>SUM(AF60:AF62)</f>
        <v>96000</v>
      </c>
    </row>
    <row r="64" spans="1:32" ht="25.5" customHeight="1">
      <c r="A64" s="511">
        <v>1</v>
      </c>
      <c r="B64" s="512"/>
      <c r="C64" s="124" t="s">
        <v>1174</v>
      </c>
      <c r="D64" s="426"/>
      <c r="E64" s="429" t="s">
        <v>1280</v>
      </c>
      <c r="F64" s="513" t="s">
        <v>1328</v>
      </c>
      <c r="G64" s="514"/>
      <c r="H64" s="514"/>
      <c r="I64" s="514"/>
      <c r="J64" s="514"/>
      <c r="K64" s="514" t="s">
        <v>278</v>
      </c>
      <c r="L64" s="514"/>
      <c r="M64" s="54" t="s">
        <v>331</v>
      </c>
      <c r="N64" s="514">
        <v>13</v>
      </c>
      <c r="O64" s="514"/>
      <c r="P64" s="515">
        <v>100</v>
      </c>
      <c r="Q64" s="515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2</v>
      </c>
      <c r="B65" s="512"/>
      <c r="C65" s="124" t="s">
        <v>392</v>
      </c>
      <c r="D65" s="426"/>
      <c r="E65" s="429" t="s">
        <v>136</v>
      </c>
      <c r="F65" s="513" t="s">
        <v>1329</v>
      </c>
      <c r="G65" s="514"/>
      <c r="H65" s="514"/>
      <c r="I65" s="514"/>
      <c r="J65" s="514"/>
      <c r="K65" s="514" t="s">
        <v>1330</v>
      </c>
      <c r="L65" s="514"/>
      <c r="M65" s="54" t="s">
        <v>1331</v>
      </c>
      <c r="N65" s="514">
        <v>7</v>
      </c>
      <c r="O65" s="514"/>
      <c r="P65" s="515">
        <v>50</v>
      </c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3</v>
      </c>
      <c r="B66" s="512"/>
      <c r="C66" s="124"/>
      <c r="D66" s="426"/>
      <c r="E66" s="429"/>
      <c r="F66" s="513"/>
      <c r="G66" s="514"/>
      <c r="H66" s="514"/>
      <c r="I66" s="514"/>
      <c r="J66" s="514"/>
      <c r="K66" s="514"/>
      <c r="L66" s="514"/>
      <c r="M66" s="54"/>
      <c r="N66" s="514"/>
      <c r="O66" s="514"/>
      <c r="P66" s="515"/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4</v>
      </c>
      <c r="B67" s="512"/>
      <c r="C67" s="124"/>
      <c r="D67" s="426"/>
      <c r="E67" s="429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5</v>
      </c>
      <c r="B68" s="512"/>
      <c r="C68" s="124"/>
      <c r="D68" s="426"/>
      <c r="E68" s="429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6</v>
      </c>
      <c r="B69" s="512"/>
      <c r="C69" s="124"/>
      <c r="D69" s="426"/>
      <c r="E69" s="429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7</v>
      </c>
      <c r="B70" s="512"/>
      <c r="C70" s="124"/>
      <c r="D70" s="426"/>
      <c r="E70" s="429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5.5" customHeight="1">
      <c r="A71" s="511">
        <v>8</v>
      </c>
      <c r="B71" s="512"/>
      <c r="C71" s="124"/>
      <c r="D71" s="426"/>
      <c r="E71" s="429"/>
      <c r="F71" s="513"/>
      <c r="G71" s="514"/>
      <c r="H71" s="514"/>
      <c r="I71" s="514"/>
      <c r="J71" s="514"/>
      <c r="K71" s="514"/>
      <c r="L71" s="514"/>
      <c r="M71" s="54"/>
      <c r="N71" s="514"/>
      <c r="O71" s="514"/>
      <c r="P71" s="515"/>
      <c r="Q71" s="515"/>
      <c r="R71" s="494"/>
      <c r="S71" s="494"/>
      <c r="T71" s="494"/>
      <c r="U71" s="494"/>
      <c r="V71" s="494"/>
      <c r="W71" s="494"/>
      <c r="X71" s="494"/>
      <c r="Y71" s="494"/>
      <c r="Z71" s="494"/>
      <c r="AA71" s="494"/>
      <c r="AB71" s="514"/>
      <c r="AC71" s="514"/>
      <c r="AD71" s="516"/>
      <c r="AF71" s="53"/>
    </row>
    <row r="72" spans="1:32" ht="26.25" customHeight="1" thickBot="1">
      <c r="A72" s="517" t="s">
        <v>1332</v>
      </c>
      <c r="B72" s="517"/>
      <c r="C72" s="517"/>
      <c r="D72" s="517"/>
      <c r="E72" s="517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518" t="s">
        <v>114</v>
      </c>
      <c r="B73" s="519"/>
      <c r="C73" s="428" t="s">
        <v>2</v>
      </c>
      <c r="D73" s="428" t="s">
        <v>37</v>
      </c>
      <c r="E73" s="428" t="s">
        <v>3</v>
      </c>
      <c r="F73" s="519" t="s">
        <v>38</v>
      </c>
      <c r="G73" s="519"/>
      <c r="H73" s="519"/>
      <c r="I73" s="519"/>
      <c r="J73" s="519"/>
      <c r="K73" s="520" t="s">
        <v>59</v>
      </c>
      <c r="L73" s="521"/>
      <c r="M73" s="521"/>
      <c r="N73" s="521"/>
      <c r="O73" s="521"/>
      <c r="P73" s="521"/>
      <c r="Q73" s="521"/>
      <c r="R73" s="521"/>
      <c r="S73" s="522"/>
      <c r="T73" s="519" t="s">
        <v>49</v>
      </c>
      <c r="U73" s="519"/>
      <c r="V73" s="520" t="s">
        <v>50</v>
      </c>
      <c r="W73" s="522"/>
      <c r="X73" s="521" t="s">
        <v>51</v>
      </c>
      <c r="Y73" s="521"/>
      <c r="Z73" s="521"/>
      <c r="AA73" s="521"/>
      <c r="AB73" s="521"/>
      <c r="AC73" s="521"/>
      <c r="AD73" s="523"/>
      <c r="AF73" s="53"/>
    </row>
    <row r="74" spans="1:32" ht="33.75" customHeight="1">
      <c r="A74" s="532">
        <v>1</v>
      </c>
      <c r="B74" s="533"/>
      <c r="C74" s="427" t="s">
        <v>117</v>
      </c>
      <c r="D74" s="427"/>
      <c r="E74" s="71" t="s">
        <v>123</v>
      </c>
      <c r="F74" s="534" t="s">
        <v>124</v>
      </c>
      <c r="G74" s="535"/>
      <c r="H74" s="535"/>
      <c r="I74" s="535"/>
      <c r="J74" s="536"/>
      <c r="K74" s="537" t="s">
        <v>119</v>
      </c>
      <c r="L74" s="538"/>
      <c r="M74" s="538"/>
      <c r="N74" s="538"/>
      <c r="O74" s="538"/>
      <c r="P74" s="538"/>
      <c r="Q74" s="538"/>
      <c r="R74" s="538"/>
      <c r="S74" s="539"/>
      <c r="T74" s="540">
        <v>42901</v>
      </c>
      <c r="U74" s="541"/>
      <c r="V74" s="542"/>
      <c r="W74" s="542"/>
      <c r="X74" s="543"/>
      <c r="Y74" s="543"/>
      <c r="Z74" s="543"/>
      <c r="AA74" s="543"/>
      <c r="AB74" s="543"/>
      <c r="AC74" s="543"/>
      <c r="AD74" s="544"/>
      <c r="AF74" s="53"/>
    </row>
    <row r="75" spans="1:32" ht="30" customHeight="1">
      <c r="A75" s="524">
        <f>A74+1</f>
        <v>2</v>
      </c>
      <c r="B75" s="525"/>
      <c r="C75" s="426" t="s">
        <v>117</v>
      </c>
      <c r="D75" s="426"/>
      <c r="E75" s="35" t="s">
        <v>120</v>
      </c>
      <c r="F75" s="525" t="s">
        <v>121</v>
      </c>
      <c r="G75" s="525"/>
      <c r="H75" s="525"/>
      <c r="I75" s="525"/>
      <c r="J75" s="525"/>
      <c r="K75" s="526" t="s">
        <v>122</v>
      </c>
      <c r="L75" s="527"/>
      <c r="M75" s="527"/>
      <c r="N75" s="527"/>
      <c r="O75" s="527"/>
      <c r="P75" s="527"/>
      <c r="Q75" s="527"/>
      <c r="R75" s="527"/>
      <c r="S75" s="528"/>
      <c r="T75" s="529">
        <v>42867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ref="A76:A82" si="21">A75+1</f>
        <v>3</v>
      </c>
      <c r="B76" s="525"/>
      <c r="C76" s="426" t="s">
        <v>133</v>
      </c>
      <c r="D76" s="426"/>
      <c r="E76" s="35" t="s">
        <v>131</v>
      </c>
      <c r="F76" s="525" t="s">
        <v>134</v>
      </c>
      <c r="G76" s="525"/>
      <c r="H76" s="525"/>
      <c r="I76" s="525"/>
      <c r="J76" s="525"/>
      <c r="K76" s="526" t="s">
        <v>119</v>
      </c>
      <c r="L76" s="527"/>
      <c r="M76" s="527"/>
      <c r="N76" s="527"/>
      <c r="O76" s="527"/>
      <c r="P76" s="527"/>
      <c r="Q76" s="527"/>
      <c r="R76" s="527"/>
      <c r="S76" s="528"/>
      <c r="T76" s="529">
        <v>42937</v>
      </c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21"/>
        <v>4</v>
      </c>
      <c r="B77" s="525"/>
      <c r="C77" s="426"/>
      <c r="D77" s="426"/>
      <c r="E77" s="35"/>
      <c r="F77" s="525"/>
      <c r="G77" s="525"/>
      <c r="H77" s="525"/>
      <c r="I77" s="525"/>
      <c r="J77" s="525"/>
      <c r="K77" s="526"/>
      <c r="L77" s="527"/>
      <c r="M77" s="527"/>
      <c r="N77" s="527"/>
      <c r="O77" s="527"/>
      <c r="P77" s="527"/>
      <c r="Q77" s="527"/>
      <c r="R77" s="527"/>
      <c r="S77" s="528"/>
      <c r="T77" s="529"/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21"/>
        <v>5</v>
      </c>
      <c r="B78" s="525"/>
      <c r="C78" s="426"/>
      <c r="D78" s="426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21"/>
        <v>6</v>
      </c>
      <c r="B79" s="525"/>
      <c r="C79" s="426"/>
      <c r="D79" s="426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21"/>
        <v>7</v>
      </c>
      <c r="B80" s="525"/>
      <c r="C80" s="426"/>
      <c r="D80" s="426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21"/>
        <v>8</v>
      </c>
      <c r="B81" s="525"/>
      <c r="C81" s="426"/>
      <c r="D81" s="426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0" customHeight="1">
      <c r="A82" s="524">
        <f t="shared" si="21"/>
        <v>9</v>
      </c>
      <c r="B82" s="525"/>
      <c r="C82" s="426"/>
      <c r="D82" s="426"/>
      <c r="E82" s="35"/>
      <c r="F82" s="525"/>
      <c r="G82" s="525"/>
      <c r="H82" s="525"/>
      <c r="I82" s="525"/>
      <c r="J82" s="525"/>
      <c r="K82" s="526"/>
      <c r="L82" s="527"/>
      <c r="M82" s="527"/>
      <c r="N82" s="527"/>
      <c r="O82" s="527"/>
      <c r="P82" s="527"/>
      <c r="Q82" s="527"/>
      <c r="R82" s="527"/>
      <c r="S82" s="528"/>
      <c r="T82" s="529"/>
      <c r="U82" s="529"/>
      <c r="V82" s="529"/>
      <c r="W82" s="529"/>
      <c r="X82" s="530"/>
      <c r="Y82" s="530"/>
      <c r="Z82" s="530"/>
      <c r="AA82" s="530"/>
      <c r="AB82" s="530"/>
      <c r="AC82" s="530"/>
      <c r="AD82" s="531"/>
      <c r="AF82" s="53"/>
    </row>
    <row r="83" spans="1:32" ht="36" thickBot="1">
      <c r="A83" s="517" t="s">
        <v>1333</v>
      </c>
      <c r="B83" s="517"/>
      <c r="C83" s="517"/>
      <c r="D83" s="517"/>
      <c r="E83" s="517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518" t="s">
        <v>114</v>
      </c>
      <c r="B84" s="519"/>
      <c r="C84" s="545" t="s">
        <v>52</v>
      </c>
      <c r="D84" s="545"/>
      <c r="E84" s="545" t="s">
        <v>53</v>
      </c>
      <c r="F84" s="545"/>
      <c r="G84" s="545"/>
      <c r="H84" s="545"/>
      <c r="I84" s="545"/>
      <c r="J84" s="545"/>
      <c r="K84" s="545" t="s">
        <v>54</v>
      </c>
      <c r="L84" s="545"/>
      <c r="M84" s="545"/>
      <c r="N84" s="545"/>
      <c r="O84" s="545"/>
      <c r="P84" s="545"/>
      <c r="Q84" s="545"/>
      <c r="R84" s="545"/>
      <c r="S84" s="545"/>
      <c r="T84" s="545" t="s">
        <v>55</v>
      </c>
      <c r="U84" s="545"/>
      <c r="V84" s="545" t="s">
        <v>56</v>
      </c>
      <c r="W84" s="545"/>
      <c r="X84" s="545"/>
      <c r="Y84" s="545" t="s">
        <v>51</v>
      </c>
      <c r="Z84" s="545"/>
      <c r="AA84" s="545"/>
      <c r="AB84" s="545"/>
      <c r="AC84" s="545"/>
      <c r="AD84" s="546"/>
      <c r="AF84" s="53"/>
    </row>
    <row r="85" spans="1:32" ht="30.75" customHeight="1">
      <c r="A85" s="532">
        <v>1</v>
      </c>
      <c r="B85" s="533"/>
      <c r="C85" s="547"/>
      <c r="D85" s="547"/>
      <c r="E85" s="547"/>
      <c r="F85" s="547"/>
      <c r="G85" s="547"/>
      <c r="H85" s="547"/>
      <c r="I85" s="547"/>
      <c r="J85" s="547"/>
      <c r="K85" s="547"/>
      <c r="L85" s="547"/>
      <c r="M85" s="547"/>
      <c r="N85" s="547"/>
      <c r="O85" s="547"/>
      <c r="P85" s="547"/>
      <c r="Q85" s="547"/>
      <c r="R85" s="547"/>
      <c r="S85" s="547"/>
      <c r="T85" s="547"/>
      <c r="U85" s="547"/>
      <c r="V85" s="548"/>
      <c r="W85" s="548"/>
      <c r="X85" s="548"/>
      <c r="Y85" s="549"/>
      <c r="Z85" s="549"/>
      <c r="AA85" s="549"/>
      <c r="AB85" s="549"/>
      <c r="AC85" s="549"/>
      <c r="AD85" s="550"/>
      <c r="AF85" s="53"/>
    </row>
    <row r="86" spans="1:32" ht="30.75" customHeight="1">
      <c r="A86" s="524">
        <v>2</v>
      </c>
      <c r="B86" s="525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9"/>
      <c r="U86" s="559"/>
      <c r="V86" s="560"/>
      <c r="W86" s="560"/>
      <c r="X86" s="560"/>
      <c r="Y86" s="551"/>
      <c r="Z86" s="551"/>
      <c r="AA86" s="551"/>
      <c r="AB86" s="551"/>
      <c r="AC86" s="551"/>
      <c r="AD86" s="552"/>
      <c r="AF86" s="53"/>
    </row>
    <row r="87" spans="1:32" ht="30.75" customHeight="1" thickBot="1">
      <c r="A87" s="553">
        <v>3</v>
      </c>
      <c r="B87" s="554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555"/>
      <c r="Q87" s="555"/>
      <c r="R87" s="555"/>
      <c r="S87" s="555"/>
      <c r="T87" s="555"/>
      <c r="U87" s="555"/>
      <c r="V87" s="555"/>
      <c r="W87" s="555"/>
      <c r="X87" s="555"/>
      <c r="Y87" s="556"/>
      <c r="Z87" s="556"/>
      <c r="AA87" s="556"/>
      <c r="AB87" s="556"/>
      <c r="AC87" s="556"/>
      <c r="AD87" s="557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tabSelected="1" zoomScale="72" zoomScaleNormal="72" zoomScaleSheetLayoutView="70" workbookViewId="0">
      <selection activeCell="V11" sqref="V11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51" t="s">
        <v>1334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6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438" t="s">
        <v>17</v>
      </c>
      <c r="L5" s="438" t="s">
        <v>18</v>
      </c>
      <c r="M5" s="438" t="s">
        <v>19</v>
      </c>
      <c r="N5" s="43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6" ht="27" customHeight="1">
      <c r="A6" s="108">
        <v>1</v>
      </c>
      <c r="B6" s="11" t="s">
        <v>58</v>
      </c>
      <c r="C6" s="37" t="s">
        <v>137</v>
      </c>
      <c r="D6" s="55" t="s">
        <v>164</v>
      </c>
      <c r="E6" s="57" t="s">
        <v>1182</v>
      </c>
      <c r="F6" s="33" t="s">
        <v>135</v>
      </c>
      <c r="G6" s="12">
        <v>1</v>
      </c>
      <c r="H6" s="13">
        <v>25</v>
      </c>
      <c r="I6" s="34">
        <v>45000</v>
      </c>
      <c r="J6" s="5">
        <v>3050</v>
      </c>
      <c r="K6" s="15">
        <f>L6+1421+4758+4494+5219</f>
        <v>18941</v>
      </c>
      <c r="L6" s="15">
        <f>514+2535</f>
        <v>3049</v>
      </c>
      <c r="M6" s="16">
        <f t="shared" ref="M6:M20" si="0">L6-N6</f>
        <v>3049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17</v>
      </c>
      <c r="Q6" s="43">
        <f t="shared" ref="Q6:Q20" si="3">SUM(R6:AA6)</f>
        <v>7</v>
      </c>
      <c r="R6" s="7"/>
      <c r="S6" s="6">
        <v>7</v>
      </c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0.99967213114754094</v>
      </c>
      <c r="AC6" s="9">
        <f t="shared" ref="AC6:AC20" si="5">IF(P6=0,"0",(P6/24))</f>
        <v>0.70833333333333337</v>
      </c>
      <c r="AD6" s="10">
        <f t="shared" ref="AD6:AD20" si="6">AC6*AB6*(1-O6)</f>
        <v>0.70810109289617484</v>
      </c>
      <c r="AE6" s="39">
        <f t="shared" ref="AE6:AE20" si="7">$AD$21</f>
        <v>0.71039712009447664</v>
      </c>
      <c r="AF6" s="94">
        <f t="shared" ref="AF6:AF20" si="8">A6</f>
        <v>1</v>
      </c>
    </row>
    <row r="7" spans="1:36" ht="27" customHeight="1">
      <c r="A7" s="108">
        <v>2</v>
      </c>
      <c r="B7" s="11" t="s">
        <v>58</v>
      </c>
      <c r="C7" s="37" t="s">
        <v>133</v>
      </c>
      <c r="D7" s="55" t="s">
        <v>367</v>
      </c>
      <c r="E7" s="57" t="s">
        <v>830</v>
      </c>
      <c r="F7" s="33" t="s">
        <v>666</v>
      </c>
      <c r="G7" s="12">
        <v>1</v>
      </c>
      <c r="H7" s="13">
        <v>25</v>
      </c>
      <c r="I7" s="34">
        <v>40000</v>
      </c>
      <c r="J7" s="5">
        <v>3620</v>
      </c>
      <c r="K7" s="15">
        <f>L7+2531+2311+2994+2547+2806</f>
        <v>16801</v>
      </c>
      <c r="L7" s="15">
        <f>2486+1126</f>
        <v>3612</v>
      </c>
      <c r="M7" s="16">
        <f t="shared" si="0"/>
        <v>3612</v>
      </c>
      <c r="N7" s="16">
        <v>0</v>
      </c>
      <c r="O7" s="62">
        <f t="shared" si="1"/>
        <v>0</v>
      </c>
      <c r="P7" s="42">
        <f t="shared" si="2"/>
        <v>19</v>
      </c>
      <c r="Q7" s="43">
        <f t="shared" si="3"/>
        <v>5</v>
      </c>
      <c r="R7" s="7"/>
      <c r="S7" s="6">
        <v>5</v>
      </c>
      <c r="T7" s="17"/>
      <c r="U7" s="17"/>
      <c r="V7" s="18"/>
      <c r="W7" s="19"/>
      <c r="X7" s="17"/>
      <c r="Y7" s="20"/>
      <c r="Z7" s="20"/>
      <c r="AA7" s="21"/>
      <c r="AB7" s="8">
        <f t="shared" si="4"/>
        <v>0.99779005524861875</v>
      </c>
      <c r="AC7" s="9">
        <f t="shared" si="5"/>
        <v>0.79166666666666663</v>
      </c>
      <c r="AD7" s="10">
        <f t="shared" si="6"/>
        <v>0.78991712707182316</v>
      </c>
      <c r="AE7" s="39">
        <f t="shared" si="7"/>
        <v>0.71039712009447664</v>
      </c>
      <c r="AF7" s="94">
        <f t="shared" si="8"/>
        <v>2</v>
      </c>
    </row>
    <row r="8" spans="1:36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50000</v>
      </c>
      <c r="J8" s="14">
        <v>5970</v>
      </c>
      <c r="K8" s="15">
        <f>L8+4093+2190+5474+6124+1911+2500+4543+5167+5773+2682+492+2937+5935</f>
        <v>55788</v>
      </c>
      <c r="L8" s="15">
        <f>3080+2887</f>
        <v>5967</v>
      </c>
      <c r="M8" s="16">
        <f t="shared" si="0"/>
        <v>5967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0.99949748743718592</v>
      </c>
      <c r="AC8" s="9">
        <f t="shared" si="5"/>
        <v>1</v>
      </c>
      <c r="AD8" s="10">
        <f t="shared" si="6"/>
        <v>0.99949748743718592</v>
      </c>
      <c r="AE8" s="39">
        <f t="shared" si="7"/>
        <v>0.71039712009447664</v>
      </c>
      <c r="AF8" s="94">
        <f>A8</f>
        <v>3</v>
      </c>
    </row>
    <row r="9" spans="1:36" ht="27" customHeight="1">
      <c r="A9" s="110">
        <v>4</v>
      </c>
      <c r="B9" s="11" t="s">
        <v>58</v>
      </c>
      <c r="C9" s="37" t="s">
        <v>118</v>
      </c>
      <c r="D9" s="55" t="s">
        <v>131</v>
      </c>
      <c r="E9" s="57" t="s">
        <v>1128</v>
      </c>
      <c r="F9" s="33" t="s">
        <v>146</v>
      </c>
      <c r="G9" s="36">
        <v>1</v>
      </c>
      <c r="H9" s="38">
        <v>25</v>
      </c>
      <c r="I9" s="7">
        <v>45000</v>
      </c>
      <c r="J9" s="5">
        <v>420</v>
      </c>
      <c r="K9" s="15">
        <f>L9+3535+1239+3111+414</f>
        <v>8299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>
        <v>24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0.71039712009447664</v>
      </c>
      <c r="AF9" s="94">
        <f t="shared" ref="AF9:AF10" si="9">A9</f>
        <v>4</v>
      </c>
    </row>
    <row r="10" spans="1:36" ht="27" customHeight="1">
      <c r="A10" s="110">
        <v>5</v>
      </c>
      <c r="B10" s="11" t="s">
        <v>58</v>
      </c>
      <c r="C10" s="37" t="s">
        <v>118</v>
      </c>
      <c r="D10" s="55" t="s">
        <v>131</v>
      </c>
      <c r="E10" s="57" t="s">
        <v>882</v>
      </c>
      <c r="F10" s="33" t="s">
        <v>142</v>
      </c>
      <c r="G10" s="36">
        <v>1</v>
      </c>
      <c r="H10" s="38">
        <v>25</v>
      </c>
      <c r="I10" s="7">
        <v>50000</v>
      </c>
      <c r="J10" s="5">
        <v>790</v>
      </c>
      <c r="K10" s="15">
        <f>L10+4454+5087+5573+4618+2034+3753+5521+2081+2562+3442+3199</f>
        <v>43108</v>
      </c>
      <c r="L10" s="15">
        <v>784</v>
      </c>
      <c r="M10" s="16">
        <f t="shared" si="0"/>
        <v>784</v>
      </c>
      <c r="N10" s="16">
        <v>0</v>
      </c>
      <c r="O10" s="62">
        <f t="shared" si="1"/>
        <v>0</v>
      </c>
      <c r="P10" s="42">
        <f t="shared" si="2"/>
        <v>4</v>
      </c>
      <c r="Q10" s="43">
        <f t="shared" si="3"/>
        <v>20</v>
      </c>
      <c r="R10" s="7"/>
      <c r="S10" s="6">
        <v>20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0.9924050632911392</v>
      </c>
      <c r="AC10" s="9">
        <f t="shared" si="5"/>
        <v>0.16666666666666666</v>
      </c>
      <c r="AD10" s="10">
        <f t="shared" si="6"/>
        <v>0.16540084388185652</v>
      </c>
      <c r="AE10" s="39">
        <f t="shared" si="7"/>
        <v>0.71039712009447664</v>
      </c>
      <c r="AF10" s="94">
        <f t="shared" si="9"/>
        <v>5</v>
      </c>
    </row>
    <row r="11" spans="1:36" ht="27" customHeight="1">
      <c r="A11" s="110">
        <v>6</v>
      </c>
      <c r="B11" s="11" t="s">
        <v>58</v>
      </c>
      <c r="C11" s="11" t="s">
        <v>133</v>
      </c>
      <c r="D11" s="55" t="s">
        <v>131</v>
      </c>
      <c r="E11" s="57" t="s">
        <v>700</v>
      </c>
      <c r="F11" s="12" t="s">
        <v>166</v>
      </c>
      <c r="G11" s="12">
        <v>1</v>
      </c>
      <c r="H11" s="13">
        <v>25</v>
      </c>
      <c r="I11" s="34">
        <v>40000</v>
      </c>
      <c r="J11" s="14">
        <v>6390</v>
      </c>
      <c r="K11" s="15">
        <f>L11+2724+6303+6504+3472+2821+4925+6265+4473+6359+2915+3334+6447+2772</f>
        <v>65698</v>
      </c>
      <c r="L11" s="15">
        <f>3330+3054</f>
        <v>6384</v>
      </c>
      <c r="M11" s="16">
        <f t="shared" si="0"/>
        <v>6384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0.99906103286384973</v>
      </c>
      <c r="AC11" s="9">
        <f t="shared" si="5"/>
        <v>1</v>
      </c>
      <c r="AD11" s="10">
        <f t="shared" si="6"/>
        <v>0.99906103286384973</v>
      </c>
      <c r="AE11" s="39">
        <f t="shared" si="7"/>
        <v>0.71039712009447664</v>
      </c>
      <c r="AF11" s="94">
        <f t="shared" si="8"/>
        <v>6</v>
      </c>
    </row>
    <row r="12" spans="1:36" ht="27" customHeight="1">
      <c r="A12" s="110">
        <v>7</v>
      </c>
      <c r="B12" s="11" t="s">
        <v>58</v>
      </c>
      <c r="C12" s="11" t="s">
        <v>117</v>
      </c>
      <c r="D12" s="55" t="s">
        <v>136</v>
      </c>
      <c r="E12" s="57" t="s">
        <v>1102</v>
      </c>
      <c r="F12" s="12" t="s">
        <v>135</v>
      </c>
      <c r="G12" s="12">
        <v>1</v>
      </c>
      <c r="H12" s="13">
        <v>25</v>
      </c>
      <c r="I12" s="7">
        <v>25000</v>
      </c>
      <c r="J12" s="14">
        <v>320</v>
      </c>
      <c r="K12" s="15">
        <f>L12+2195+4079+2153+1167+3886+317</f>
        <v>13797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>
        <v>24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0.71039712009447664</v>
      </c>
      <c r="AF12" s="94">
        <f t="shared" si="8"/>
        <v>7</v>
      </c>
    </row>
    <row r="13" spans="1:36" ht="27" customHeight="1">
      <c r="A13" s="110">
        <v>8</v>
      </c>
      <c r="B13" s="11" t="s">
        <v>58</v>
      </c>
      <c r="C13" s="11" t="s">
        <v>118</v>
      </c>
      <c r="D13" s="55" t="s">
        <v>196</v>
      </c>
      <c r="E13" s="57" t="s">
        <v>628</v>
      </c>
      <c r="F13" s="12" t="s">
        <v>486</v>
      </c>
      <c r="G13" s="12">
        <v>1</v>
      </c>
      <c r="H13" s="13">
        <v>25</v>
      </c>
      <c r="I13" s="7">
        <v>45000</v>
      </c>
      <c r="J13" s="14">
        <v>4930</v>
      </c>
      <c r="K13" s="15">
        <f>L13+2601+5722+4026</f>
        <v>17271</v>
      </c>
      <c r="L13" s="15">
        <f>2856+2066</f>
        <v>4922</v>
      </c>
      <c r="M13" s="16">
        <f t="shared" si="0"/>
        <v>4922</v>
      </c>
      <c r="N13" s="16">
        <v>0</v>
      </c>
      <c r="O13" s="62">
        <f t="shared" si="1"/>
        <v>0</v>
      </c>
      <c r="P13" s="42">
        <f t="shared" si="2"/>
        <v>22</v>
      </c>
      <c r="Q13" s="43">
        <f t="shared" si="3"/>
        <v>2</v>
      </c>
      <c r="R13" s="7"/>
      <c r="S13" s="6">
        <v>2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0.99837728194726161</v>
      </c>
      <c r="AC13" s="9">
        <f t="shared" si="5"/>
        <v>0.91666666666666663</v>
      </c>
      <c r="AD13" s="10">
        <f t="shared" si="6"/>
        <v>0.91517917511832314</v>
      </c>
      <c r="AE13" s="39">
        <f t="shared" si="7"/>
        <v>0.71039712009447664</v>
      </c>
      <c r="AF13" s="94">
        <f t="shared" si="8"/>
        <v>8</v>
      </c>
    </row>
    <row r="14" spans="1:36" ht="27" customHeight="1">
      <c r="A14" s="109">
        <v>9</v>
      </c>
      <c r="B14" s="11" t="s">
        <v>58</v>
      </c>
      <c r="C14" s="37" t="s">
        <v>1335</v>
      </c>
      <c r="D14" s="55"/>
      <c r="E14" s="57" t="s">
        <v>1336</v>
      </c>
      <c r="F14" s="33" t="s">
        <v>1337</v>
      </c>
      <c r="G14" s="36">
        <v>1</v>
      </c>
      <c r="H14" s="38">
        <v>25</v>
      </c>
      <c r="I14" s="7">
        <v>1000</v>
      </c>
      <c r="J14" s="5">
        <v>1670</v>
      </c>
      <c r="K14" s="15">
        <f>L14</f>
        <v>1667</v>
      </c>
      <c r="L14" s="15">
        <v>1667</v>
      </c>
      <c r="M14" s="16">
        <f t="shared" si="0"/>
        <v>1667</v>
      </c>
      <c r="N14" s="16">
        <v>0</v>
      </c>
      <c r="O14" s="62">
        <f t="shared" si="1"/>
        <v>0</v>
      </c>
      <c r="P14" s="42">
        <f t="shared" si="2"/>
        <v>10</v>
      </c>
      <c r="Q14" s="43">
        <f t="shared" si="3"/>
        <v>14</v>
      </c>
      <c r="R14" s="7"/>
      <c r="S14" s="6"/>
      <c r="T14" s="17"/>
      <c r="U14" s="17"/>
      <c r="V14" s="18"/>
      <c r="W14" s="19">
        <v>14</v>
      </c>
      <c r="X14" s="17"/>
      <c r="Y14" s="20"/>
      <c r="Z14" s="20"/>
      <c r="AA14" s="21"/>
      <c r="AB14" s="8">
        <f t="shared" si="4"/>
        <v>0.99820359281437121</v>
      </c>
      <c r="AC14" s="9">
        <f t="shared" si="5"/>
        <v>0.41666666666666669</v>
      </c>
      <c r="AD14" s="10">
        <f t="shared" si="6"/>
        <v>0.41591816367265466</v>
      </c>
      <c r="AE14" s="39">
        <f t="shared" si="7"/>
        <v>0.71039712009447664</v>
      </c>
      <c r="AF14" s="94">
        <f t="shared" si="8"/>
        <v>9</v>
      </c>
    </row>
    <row r="15" spans="1:36" ht="27" customHeight="1">
      <c r="A15" s="109">
        <v>10</v>
      </c>
      <c r="B15" s="11" t="s">
        <v>58</v>
      </c>
      <c r="C15" s="11" t="s">
        <v>769</v>
      </c>
      <c r="D15" s="55"/>
      <c r="E15" s="57" t="s">
        <v>1338</v>
      </c>
      <c r="F15" s="12" t="s">
        <v>1339</v>
      </c>
      <c r="G15" s="12">
        <v>1</v>
      </c>
      <c r="H15" s="13">
        <v>24</v>
      </c>
      <c r="I15" s="34">
        <v>6000</v>
      </c>
      <c r="J15" s="14">
        <v>3840</v>
      </c>
      <c r="K15" s="15">
        <f>L15</f>
        <v>3835</v>
      </c>
      <c r="L15" s="15">
        <f>1177+2658</f>
        <v>3835</v>
      </c>
      <c r="M15" s="16">
        <f t="shared" si="0"/>
        <v>3835</v>
      </c>
      <c r="N15" s="16">
        <v>0</v>
      </c>
      <c r="O15" s="62">
        <f t="shared" si="1"/>
        <v>0</v>
      </c>
      <c r="P15" s="42">
        <f t="shared" si="2"/>
        <v>20</v>
      </c>
      <c r="Q15" s="43">
        <f t="shared" si="3"/>
        <v>4</v>
      </c>
      <c r="R15" s="7"/>
      <c r="S15" s="6"/>
      <c r="T15" s="17">
        <v>4</v>
      </c>
      <c r="U15" s="17"/>
      <c r="V15" s="18"/>
      <c r="W15" s="19"/>
      <c r="X15" s="17"/>
      <c r="Y15" s="20"/>
      <c r="Z15" s="20"/>
      <c r="AA15" s="21"/>
      <c r="AB15" s="8">
        <f t="shared" si="4"/>
        <v>0.99869791666666663</v>
      </c>
      <c r="AC15" s="9">
        <f t="shared" si="5"/>
        <v>0.83333333333333337</v>
      </c>
      <c r="AD15" s="10">
        <f t="shared" si="6"/>
        <v>0.83224826388888884</v>
      </c>
      <c r="AE15" s="39">
        <f t="shared" si="7"/>
        <v>0.71039712009447664</v>
      </c>
      <c r="AF15" s="94">
        <f t="shared" si="8"/>
        <v>10</v>
      </c>
    </row>
    <row r="16" spans="1:36" ht="27.75" customHeight="1">
      <c r="A16" s="109">
        <v>11</v>
      </c>
      <c r="B16" s="11" t="s">
        <v>58</v>
      </c>
      <c r="C16" s="11" t="s">
        <v>133</v>
      </c>
      <c r="D16" s="55" t="s">
        <v>900</v>
      </c>
      <c r="E16" s="56" t="s">
        <v>842</v>
      </c>
      <c r="F16" s="12">
        <v>7301</v>
      </c>
      <c r="G16" s="36">
        <v>1</v>
      </c>
      <c r="H16" s="38">
        <v>25</v>
      </c>
      <c r="I16" s="7">
        <v>40000</v>
      </c>
      <c r="J16" s="14">
        <v>5570</v>
      </c>
      <c r="K16" s="15">
        <f>L16+1291+540+704+4156+1918+2216+5538</f>
        <v>21926</v>
      </c>
      <c r="L16" s="15">
        <f>2874+2689</f>
        <v>5563</v>
      </c>
      <c r="M16" s="16">
        <f t="shared" si="0"/>
        <v>5563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0.99874326750448839</v>
      </c>
      <c r="AC16" s="9">
        <f t="shared" si="5"/>
        <v>1</v>
      </c>
      <c r="AD16" s="10">
        <f t="shared" si="6"/>
        <v>0.99874326750448839</v>
      </c>
      <c r="AE16" s="39">
        <f t="shared" si="7"/>
        <v>0.71039712009447664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58</v>
      </c>
      <c r="C17" s="37" t="s">
        <v>117</v>
      </c>
      <c r="D17" s="55" t="s">
        <v>733</v>
      </c>
      <c r="E17" s="56" t="s">
        <v>1299</v>
      </c>
      <c r="F17" s="12" t="s">
        <v>148</v>
      </c>
      <c r="G17" s="12">
        <v>2</v>
      </c>
      <c r="H17" s="13">
        <v>25</v>
      </c>
      <c r="I17" s="34">
        <v>110000</v>
      </c>
      <c r="J17" s="5">
        <v>12350</v>
      </c>
      <c r="K17" s="15">
        <f>L17+9006</f>
        <v>21356</v>
      </c>
      <c r="L17" s="15">
        <f>3203*2+2972*2</f>
        <v>12350</v>
      </c>
      <c r="M17" s="16">
        <f t="shared" si="0"/>
        <v>12350</v>
      </c>
      <c r="N17" s="16">
        <v>0</v>
      </c>
      <c r="O17" s="62">
        <f t="shared" si="1"/>
        <v>0</v>
      </c>
      <c r="P17" s="42">
        <f t="shared" si="2"/>
        <v>24</v>
      </c>
      <c r="Q17" s="43">
        <f t="shared" si="3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4"/>
        <v>1</v>
      </c>
      <c r="AC17" s="9">
        <f t="shared" si="5"/>
        <v>1</v>
      </c>
      <c r="AD17" s="10">
        <f t="shared" si="6"/>
        <v>1</v>
      </c>
      <c r="AE17" s="39">
        <f t="shared" si="7"/>
        <v>0.71039712009447664</v>
      </c>
      <c r="AF17" s="94">
        <f t="shared" ref="AF17" si="10">A17</f>
        <v>12</v>
      </c>
    </row>
    <row r="18" spans="1:32" ht="27" customHeight="1">
      <c r="A18" s="110">
        <v>13</v>
      </c>
      <c r="B18" s="11" t="s">
        <v>58</v>
      </c>
      <c r="C18" s="37" t="s">
        <v>117</v>
      </c>
      <c r="D18" s="55" t="s">
        <v>1247</v>
      </c>
      <c r="E18" s="57" t="s">
        <v>1302</v>
      </c>
      <c r="F18" s="33" t="s">
        <v>142</v>
      </c>
      <c r="G18" s="36">
        <v>1</v>
      </c>
      <c r="H18" s="38">
        <v>25</v>
      </c>
      <c r="I18" s="7">
        <v>110000</v>
      </c>
      <c r="J18" s="5">
        <v>12660</v>
      </c>
      <c r="K18" s="15">
        <f>L18+7230</f>
        <v>19882</v>
      </c>
      <c r="L18" s="15">
        <f>3340*2+2986*2</f>
        <v>12652</v>
      </c>
      <c r="M18" s="16">
        <f t="shared" si="0"/>
        <v>12652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0.99936808846761449</v>
      </c>
      <c r="AC18" s="9">
        <f t="shared" si="5"/>
        <v>1</v>
      </c>
      <c r="AD18" s="10">
        <f t="shared" si="6"/>
        <v>0.99936808846761449</v>
      </c>
      <c r="AE18" s="39">
        <f t="shared" si="7"/>
        <v>0.71039712009447664</v>
      </c>
      <c r="AF18" s="94">
        <f t="shared" si="8"/>
        <v>13</v>
      </c>
    </row>
    <row r="19" spans="1:32" ht="27" customHeight="1">
      <c r="A19" s="110">
        <v>14</v>
      </c>
      <c r="B19" s="11" t="s">
        <v>58</v>
      </c>
      <c r="C19" s="11" t="s">
        <v>118</v>
      </c>
      <c r="D19" s="55" t="s">
        <v>57</v>
      </c>
      <c r="E19" s="57" t="s">
        <v>160</v>
      </c>
      <c r="F19" s="12" t="s">
        <v>145</v>
      </c>
      <c r="G19" s="12">
        <v>1</v>
      </c>
      <c r="H19" s="13">
        <v>25</v>
      </c>
      <c r="I19" s="7">
        <v>52000</v>
      </c>
      <c r="J19" s="14">
        <v>5130</v>
      </c>
      <c r="K19" s="15">
        <f>L19+4424+5402+3684+3104+5222+5230+5262+2977+639+4828+5314+5225</f>
        <v>56440</v>
      </c>
      <c r="L19" s="15">
        <f>2726+2403</f>
        <v>5129</v>
      </c>
      <c r="M19" s="16">
        <f t="shared" si="0"/>
        <v>5129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0.99980506822612081</v>
      </c>
      <c r="AC19" s="9">
        <f t="shared" si="5"/>
        <v>1</v>
      </c>
      <c r="AD19" s="10">
        <f t="shared" si="6"/>
        <v>0.99980506822612081</v>
      </c>
      <c r="AE19" s="39">
        <f t="shared" si="7"/>
        <v>0.71039712009447664</v>
      </c>
      <c r="AF19" s="94">
        <f t="shared" si="8"/>
        <v>14</v>
      </c>
    </row>
    <row r="20" spans="1:32" ht="27" customHeight="1" thickBot="1">
      <c r="A20" s="110">
        <v>15</v>
      </c>
      <c r="B20" s="11" t="s">
        <v>58</v>
      </c>
      <c r="C20" s="11" t="s">
        <v>749</v>
      </c>
      <c r="D20" s="55"/>
      <c r="E20" s="56" t="s">
        <v>1258</v>
      </c>
      <c r="F20" s="12" t="s">
        <v>626</v>
      </c>
      <c r="G20" s="12">
        <v>2</v>
      </c>
      <c r="H20" s="38">
        <v>20</v>
      </c>
      <c r="I20" s="7">
        <v>5000</v>
      </c>
      <c r="J20" s="14">
        <v>10820</v>
      </c>
      <c r="K20" s="15">
        <f>L20+13586+7938</f>
        <v>32336</v>
      </c>
      <c r="L20" s="15">
        <f>4112*2+1294*2</f>
        <v>10812</v>
      </c>
      <c r="M20" s="16">
        <f t="shared" si="0"/>
        <v>10812</v>
      </c>
      <c r="N20" s="16">
        <v>0</v>
      </c>
      <c r="O20" s="62">
        <f t="shared" si="1"/>
        <v>0</v>
      </c>
      <c r="P20" s="42">
        <f t="shared" si="2"/>
        <v>20</v>
      </c>
      <c r="Q20" s="43">
        <f t="shared" si="3"/>
        <v>4</v>
      </c>
      <c r="R20" s="7"/>
      <c r="S20" s="6">
        <v>4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0.9992606284658041</v>
      </c>
      <c r="AC20" s="9">
        <f t="shared" si="5"/>
        <v>0.83333333333333337</v>
      </c>
      <c r="AD20" s="10">
        <f t="shared" si="6"/>
        <v>0.83271719038817016</v>
      </c>
      <c r="AE20" s="39">
        <f t="shared" si="7"/>
        <v>0.71039712009447664</v>
      </c>
      <c r="AF20" s="94">
        <f t="shared" si="8"/>
        <v>15</v>
      </c>
    </row>
    <row r="21" spans="1:32" ht="31.5" customHeight="1" thickBot="1">
      <c r="A21" s="465" t="s">
        <v>34</v>
      </c>
      <c r="B21" s="466"/>
      <c r="C21" s="466"/>
      <c r="D21" s="466"/>
      <c r="E21" s="466"/>
      <c r="F21" s="466"/>
      <c r="G21" s="466"/>
      <c r="H21" s="467"/>
      <c r="I21" s="25">
        <f t="shared" ref="I21:N21" si="11">SUM(I6:I20)</f>
        <v>664000</v>
      </c>
      <c r="J21" s="22">
        <f t="shared" si="11"/>
        <v>77530</v>
      </c>
      <c r="K21" s="23">
        <f t="shared" si="11"/>
        <v>397145</v>
      </c>
      <c r="L21" s="24">
        <f t="shared" si="11"/>
        <v>76726</v>
      </c>
      <c r="M21" s="23">
        <f t="shared" si="11"/>
        <v>76726</v>
      </c>
      <c r="N21" s="24">
        <f t="shared" si="11"/>
        <v>0</v>
      </c>
      <c r="O21" s="44">
        <f t="shared" si="1"/>
        <v>0</v>
      </c>
      <c r="P21" s="45">
        <f t="shared" ref="P21:AA21" si="12">SUM(P6:P20)</f>
        <v>256</v>
      </c>
      <c r="Q21" s="46">
        <f t="shared" si="12"/>
        <v>104</v>
      </c>
      <c r="R21" s="26">
        <f t="shared" si="12"/>
        <v>0</v>
      </c>
      <c r="S21" s="27">
        <f t="shared" si="12"/>
        <v>86</v>
      </c>
      <c r="T21" s="27">
        <f t="shared" si="12"/>
        <v>4</v>
      </c>
      <c r="U21" s="27">
        <f t="shared" si="12"/>
        <v>0</v>
      </c>
      <c r="V21" s="28">
        <f t="shared" si="12"/>
        <v>0</v>
      </c>
      <c r="W21" s="29">
        <f t="shared" si="12"/>
        <v>14</v>
      </c>
      <c r="X21" s="30">
        <f t="shared" si="12"/>
        <v>0</v>
      </c>
      <c r="Y21" s="30">
        <f t="shared" si="12"/>
        <v>0</v>
      </c>
      <c r="Z21" s="30">
        <f t="shared" si="12"/>
        <v>0</v>
      </c>
      <c r="AA21" s="30">
        <f t="shared" si="12"/>
        <v>0</v>
      </c>
      <c r="AB21" s="31">
        <f>SUM(AB6:AB20)/15</f>
        <v>0.86539210760537733</v>
      </c>
      <c r="AC21" s="4">
        <f>SUM(AC6:AC20)/15</f>
        <v>0.71111111111111103</v>
      </c>
      <c r="AD21" s="4">
        <f>SUM(AD6:AD20)/15</f>
        <v>0.71039712009447664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68" t="s">
        <v>45</v>
      </c>
      <c r="B48" s="468"/>
      <c r="C48" s="468"/>
      <c r="D48" s="468"/>
      <c r="E48" s="468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69" t="s">
        <v>1340</v>
      </c>
      <c r="B49" s="470"/>
      <c r="C49" s="470"/>
      <c r="D49" s="470"/>
      <c r="E49" s="470"/>
      <c r="F49" s="470"/>
      <c r="G49" s="470"/>
      <c r="H49" s="470"/>
      <c r="I49" s="470"/>
      <c r="J49" s="470"/>
      <c r="K49" s="470"/>
      <c r="L49" s="470"/>
      <c r="M49" s="471"/>
      <c r="N49" s="472" t="s">
        <v>1350</v>
      </c>
      <c r="O49" s="473"/>
      <c r="P49" s="473"/>
      <c r="Q49" s="473"/>
      <c r="R49" s="473"/>
      <c r="S49" s="473"/>
      <c r="T49" s="473"/>
      <c r="U49" s="473"/>
      <c r="V49" s="473"/>
      <c r="W49" s="473"/>
      <c r="X49" s="473"/>
      <c r="Y49" s="473"/>
      <c r="Z49" s="473"/>
      <c r="AA49" s="473"/>
      <c r="AB49" s="473"/>
      <c r="AC49" s="473"/>
      <c r="AD49" s="474"/>
    </row>
    <row r="50" spans="1:32" ht="27" customHeight="1">
      <c r="A50" s="475" t="s">
        <v>2</v>
      </c>
      <c r="B50" s="476"/>
      <c r="C50" s="439" t="s">
        <v>46</v>
      </c>
      <c r="D50" s="439" t="s">
        <v>47</v>
      </c>
      <c r="E50" s="439" t="s">
        <v>109</v>
      </c>
      <c r="F50" s="476" t="s">
        <v>108</v>
      </c>
      <c r="G50" s="476"/>
      <c r="H50" s="476"/>
      <c r="I50" s="476"/>
      <c r="J50" s="476"/>
      <c r="K50" s="476"/>
      <c r="L50" s="476"/>
      <c r="M50" s="477"/>
      <c r="N50" s="73" t="s">
        <v>113</v>
      </c>
      <c r="O50" s="439" t="s">
        <v>46</v>
      </c>
      <c r="P50" s="478" t="s">
        <v>47</v>
      </c>
      <c r="Q50" s="479"/>
      <c r="R50" s="478" t="s">
        <v>38</v>
      </c>
      <c r="S50" s="480"/>
      <c r="T50" s="480"/>
      <c r="U50" s="479"/>
      <c r="V50" s="478" t="s">
        <v>48</v>
      </c>
      <c r="W50" s="480"/>
      <c r="X50" s="480"/>
      <c r="Y50" s="480"/>
      <c r="Z50" s="480"/>
      <c r="AA50" s="480"/>
      <c r="AB50" s="480"/>
      <c r="AC50" s="480"/>
      <c r="AD50" s="481"/>
    </row>
    <row r="51" spans="1:32" ht="27" customHeight="1">
      <c r="A51" s="492" t="s">
        <v>406</v>
      </c>
      <c r="B51" s="493"/>
      <c r="C51" s="440" t="s">
        <v>686</v>
      </c>
      <c r="D51" s="441" t="s">
        <v>1220</v>
      </c>
      <c r="E51" s="440" t="s">
        <v>1221</v>
      </c>
      <c r="F51" s="494" t="s">
        <v>1341</v>
      </c>
      <c r="G51" s="494"/>
      <c r="H51" s="494"/>
      <c r="I51" s="494"/>
      <c r="J51" s="494"/>
      <c r="K51" s="494"/>
      <c r="L51" s="494"/>
      <c r="M51" s="495"/>
      <c r="N51" s="445" t="s">
        <v>137</v>
      </c>
      <c r="O51" s="74" t="s">
        <v>322</v>
      </c>
      <c r="P51" s="496" t="s">
        <v>164</v>
      </c>
      <c r="Q51" s="497"/>
      <c r="R51" s="498" t="s">
        <v>1354</v>
      </c>
      <c r="S51" s="498"/>
      <c r="T51" s="498"/>
      <c r="U51" s="498"/>
      <c r="V51" s="494" t="s">
        <v>1341</v>
      </c>
      <c r="W51" s="494"/>
      <c r="X51" s="494"/>
      <c r="Y51" s="494"/>
      <c r="Z51" s="494"/>
      <c r="AA51" s="494"/>
      <c r="AB51" s="494"/>
      <c r="AC51" s="494"/>
      <c r="AD51" s="495"/>
    </row>
    <row r="52" spans="1:32" ht="27" customHeight="1">
      <c r="A52" s="492" t="s">
        <v>137</v>
      </c>
      <c r="B52" s="493"/>
      <c r="C52" s="440" t="s">
        <v>322</v>
      </c>
      <c r="D52" s="441" t="s">
        <v>1342</v>
      </c>
      <c r="E52" s="440" t="s">
        <v>1343</v>
      </c>
      <c r="F52" s="494" t="s">
        <v>1344</v>
      </c>
      <c r="G52" s="494"/>
      <c r="H52" s="494"/>
      <c r="I52" s="494"/>
      <c r="J52" s="494"/>
      <c r="K52" s="494"/>
      <c r="L52" s="494"/>
      <c r="M52" s="495"/>
      <c r="N52" s="445" t="s">
        <v>137</v>
      </c>
      <c r="O52" s="74" t="s">
        <v>229</v>
      </c>
      <c r="P52" s="496" t="s">
        <v>1356</v>
      </c>
      <c r="Q52" s="497"/>
      <c r="R52" s="498" t="s">
        <v>1357</v>
      </c>
      <c r="S52" s="498"/>
      <c r="T52" s="498"/>
      <c r="U52" s="498"/>
      <c r="V52" s="494" t="s">
        <v>1341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749</v>
      </c>
      <c r="B53" s="493"/>
      <c r="C53" s="440" t="s">
        <v>1278</v>
      </c>
      <c r="D53" s="441"/>
      <c r="E53" s="440" t="s">
        <v>748</v>
      </c>
      <c r="F53" s="494" t="s">
        <v>1345</v>
      </c>
      <c r="G53" s="494"/>
      <c r="H53" s="494"/>
      <c r="I53" s="494"/>
      <c r="J53" s="494"/>
      <c r="K53" s="494"/>
      <c r="L53" s="494"/>
      <c r="M53" s="495"/>
      <c r="N53" s="445" t="s">
        <v>1219</v>
      </c>
      <c r="O53" s="74" t="s">
        <v>650</v>
      </c>
      <c r="P53" s="496" t="s">
        <v>1325</v>
      </c>
      <c r="Q53" s="497"/>
      <c r="R53" s="498" t="s">
        <v>830</v>
      </c>
      <c r="S53" s="498"/>
      <c r="T53" s="498"/>
      <c r="U53" s="498"/>
      <c r="V53" s="494" t="s">
        <v>1326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137</v>
      </c>
      <c r="B54" s="493"/>
      <c r="C54" s="440" t="s">
        <v>1162</v>
      </c>
      <c r="D54" s="441" t="s">
        <v>57</v>
      </c>
      <c r="E54" s="440" t="s">
        <v>628</v>
      </c>
      <c r="F54" s="494" t="s">
        <v>1315</v>
      </c>
      <c r="G54" s="494"/>
      <c r="H54" s="494"/>
      <c r="I54" s="494"/>
      <c r="J54" s="494"/>
      <c r="K54" s="494"/>
      <c r="L54" s="494"/>
      <c r="M54" s="495"/>
      <c r="N54" s="445" t="s">
        <v>137</v>
      </c>
      <c r="O54" s="74" t="s">
        <v>259</v>
      </c>
      <c r="P54" s="496" t="s">
        <v>1358</v>
      </c>
      <c r="Q54" s="497"/>
      <c r="R54" s="498" t="s">
        <v>477</v>
      </c>
      <c r="S54" s="498"/>
      <c r="T54" s="498"/>
      <c r="U54" s="498"/>
      <c r="V54" s="494" t="s">
        <v>144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1346</v>
      </c>
      <c r="B55" s="493"/>
      <c r="C55" s="440" t="s">
        <v>428</v>
      </c>
      <c r="D55" s="441" t="s">
        <v>1347</v>
      </c>
      <c r="E55" s="440" t="s">
        <v>1348</v>
      </c>
      <c r="F55" s="494" t="s">
        <v>1349</v>
      </c>
      <c r="G55" s="494"/>
      <c r="H55" s="494"/>
      <c r="I55" s="494"/>
      <c r="J55" s="494"/>
      <c r="K55" s="494"/>
      <c r="L55" s="494"/>
      <c r="M55" s="495"/>
      <c r="N55" s="445" t="s">
        <v>117</v>
      </c>
      <c r="O55" s="74" t="s">
        <v>174</v>
      </c>
      <c r="P55" s="496" t="s">
        <v>196</v>
      </c>
      <c r="Q55" s="497"/>
      <c r="R55" s="498" t="s">
        <v>1313</v>
      </c>
      <c r="S55" s="498"/>
      <c r="T55" s="498"/>
      <c r="U55" s="498"/>
      <c r="V55" s="494" t="s">
        <v>144</v>
      </c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279</v>
      </c>
      <c r="B56" s="493"/>
      <c r="C56" s="440" t="s">
        <v>1351</v>
      </c>
      <c r="D56" s="441"/>
      <c r="E56" s="440" t="s">
        <v>1352</v>
      </c>
      <c r="F56" s="494" t="s">
        <v>1353</v>
      </c>
      <c r="G56" s="494"/>
      <c r="H56" s="494"/>
      <c r="I56" s="494"/>
      <c r="J56" s="494"/>
      <c r="K56" s="494"/>
      <c r="L56" s="494"/>
      <c r="M56" s="495"/>
      <c r="N56" s="445"/>
      <c r="O56" s="74"/>
      <c r="P56" s="498"/>
      <c r="Q56" s="498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 t="s">
        <v>769</v>
      </c>
      <c r="B57" s="493"/>
      <c r="C57" s="440" t="s">
        <v>419</v>
      </c>
      <c r="D57" s="441"/>
      <c r="E57" s="440" t="s">
        <v>1355</v>
      </c>
      <c r="F57" s="494" t="s">
        <v>1353</v>
      </c>
      <c r="G57" s="494"/>
      <c r="H57" s="494"/>
      <c r="I57" s="494"/>
      <c r="J57" s="494"/>
      <c r="K57" s="494"/>
      <c r="L57" s="494"/>
      <c r="M57" s="495"/>
      <c r="N57" s="445"/>
      <c r="O57" s="74"/>
      <c r="P57" s="496"/>
      <c r="Q57" s="497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 t="s">
        <v>137</v>
      </c>
      <c r="B58" s="493"/>
      <c r="C58" s="440" t="s">
        <v>259</v>
      </c>
      <c r="D58" s="441" t="s">
        <v>1356</v>
      </c>
      <c r="E58" s="440" t="s">
        <v>477</v>
      </c>
      <c r="F58" s="494" t="s">
        <v>211</v>
      </c>
      <c r="G58" s="494"/>
      <c r="H58" s="494"/>
      <c r="I58" s="494"/>
      <c r="J58" s="494"/>
      <c r="K58" s="494"/>
      <c r="L58" s="494"/>
      <c r="M58" s="495"/>
      <c r="N58" s="445"/>
      <c r="O58" s="74"/>
      <c r="P58" s="498"/>
      <c r="Q58" s="498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508"/>
      <c r="B59" s="498"/>
      <c r="C59" s="441"/>
      <c r="D59" s="441"/>
      <c r="E59" s="441"/>
      <c r="F59" s="494"/>
      <c r="G59" s="494"/>
      <c r="H59" s="494"/>
      <c r="I59" s="494"/>
      <c r="J59" s="494"/>
      <c r="K59" s="494"/>
      <c r="L59" s="494"/>
      <c r="M59" s="495"/>
      <c r="N59" s="445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  <c r="AF59" s="94">
        <f>8*3000</f>
        <v>24000</v>
      </c>
    </row>
    <row r="60" spans="1:32" ht="27" customHeight="1" thickBot="1">
      <c r="A60" s="499"/>
      <c r="B60" s="500"/>
      <c r="C60" s="443"/>
      <c r="D60" s="443"/>
      <c r="E60" s="443"/>
      <c r="F60" s="501"/>
      <c r="G60" s="501"/>
      <c r="H60" s="501"/>
      <c r="I60" s="501"/>
      <c r="J60" s="501"/>
      <c r="K60" s="501"/>
      <c r="L60" s="501"/>
      <c r="M60" s="502"/>
      <c r="N60" s="442"/>
      <c r="O60" s="121"/>
      <c r="P60" s="500"/>
      <c r="Q60" s="500"/>
      <c r="R60" s="500"/>
      <c r="S60" s="500"/>
      <c r="T60" s="500"/>
      <c r="U60" s="500"/>
      <c r="V60" s="501"/>
      <c r="W60" s="501"/>
      <c r="X60" s="501"/>
      <c r="Y60" s="501"/>
      <c r="Z60" s="501"/>
      <c r="AA60" s="501"/>
      <c r="AB60" s="501"/>
      <c r="AC60" s="501"/>
      <c r="AD60" s="502"/>
      <c r="AF60" s="94">
        <f>16*3000</f>
        <v>48000</v>
      </c>
    </row>
    <row r="61" spans="1:32" ht="27.75" thickBot="1">
      <c r="A61" s="503" t="s">
        <v>1359</v>
      </c>
      <c r="B61" s="503"/>
      <c r="C61" s="503"/>
      <c r="D61" s="503"/>
      <c r="E61" s="503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504" t="s">
        <v>114</v>
      </c>
      <c r="B62" s="505"/>
      <c r="C62" s="444" t="s">
        <v>2</v>
      </c>
      <c r="D62" s="444" t="s">
        <v>37</v>
      </c>
      <c r="E62" s="444" t="s">
        <v>3</v>
      </c>
      <c r="F62" s="505" t="s">
        <v>111</v>
      </c>
      <c r="G62" s="505"/>
      <c r="H62" s="505"/>
      <c r="I62" s="505"/>
      <c r="J62" s="505"/>
      <c r="K62" s="505" t="s">
        <v>39</v>
      </c>
      <c r="L62" s="505"/>
      <c r="M62" s="444" t="s">
        <v>40</v>
      </c>
      <c r="N62" s="505" t="s">
        <v>41</v>
      </c>
      <c r="O62" s="505"/>
      <c r="P62" s="506" t="s">
        <v>42</v>
      </c>
      <c r="Q62" s="507"/>
      <c r="R62" s="506" t="s">
        <v>43</v>
      </c>
      <c r="S62" s="509"/>
      <c r="T62" s="509"/>
      <c r="U62" s="509"/>
      <c r="V62" s="509"/>
      <c r="W62" s="509"/>
      <c r="X62" s="509"/>
      <c r="Y62" s="509"/>
      <c r="Z62" s="509"/>
      <c r="AA62" s="507"/>
      <c r="AB62" s="505" t="s">
        <v>44</v>
      </c>
      <c r="AC62" s="505"/>
      <c r="AD62" s="510"/>
      <c r="AF62" s="94">
        <f>SUM(AF59:AF61)</f>
        <v>96000</v>
      </c>
    </row>
    <row r="63" spans="1:32" ht="25.5" customHeight="1">
      <c r="A63" s="511">
        <v>1</v>
      </c>
      <c r="B63" s="512"/>
      <c r="C63" s="124"/>
      <c r="D63" s="448"/>
      <c r="E63" s="446"/>
      <c r="F63" s="513"/>
      <c r="G63" s="514"/>
      <c r="H63" s="514"/>
      <c r="I63" s="514"/>
      <c r="J63" s="514"/>
      <c r="K63" s="514"/>
      <c r="L63" s="514"/>
      <c r="M63" s="54"/>
      <c r="N63" s="514"/>
      <c r="O63" s="514"/>
      <c r="P63" s="515"/>
      <c r="Q63" s="515"/>
      <c r="R63" s="494"/>
      <c r="S63" s="494"/>
      <c r="T63" s="494"/>
      <c r="U63" s="494"/>
      <c r="V63" s="494"/>
      <c r="W63" s="494"/>
      <c r="X63" s="494"/>
      <c r="Y63" s="494"/>
      <c r="Z63" s="494"/>
      <c r="AA63" s="494"/>
      <c r="AB63" s="514"/>
      <c r="AC63" s="514"/>
      <c r="AD63" s="516"/>
      <c r="AF63" s="53"/>
    </row>
    <row r="64" spans="1:32" ht="25.5" customHeight="1">
      <c r="A64" s="511">
        <v>2</v>
      </c>
      <c r="B64" s="512"/>
      <c r="C64" s="124"/>
      <c r="D64" s="448"/>
      <c r="E64" s="446"/>
      <c r="F64" s="513"/>
      <c r="G64" s="514"/>
      <c r="H64" s="514"/>
      <c r="I64" s="514"/>
      <c r="J64" s="514"/>
      <c r="K64" s="514"/>
      <c r="L64" s="514"/>
      <c r="M64" s="54"/>
      <c r="N64" s="514"/>
      <c r="O64" s="514"/>
      <c r="P64" s="515"/>
      <c r="Q64" s="515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3</v>
      </c>
      <c r="B65" s="512"/>
      <c r="C65" s="124"/>
      <c r="D65" s="448"/>
      <c r="E65" s="446"/>
      <c r="F65" s="513"/>
      <c r="G65" s="514"/>
      <c r="H65" s="514"/>
      <c r="I65" s="514"/>
      <c r="J65" s="514"/>
      <c r="K65" s="514"/>
      <c r="L65" s="514"/>
      <c r="M65" s="54"/>
      <c r="N65" s="514"/>
      <c r="O65" s="514"/>
      <c r="P65" s="515"/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4</v>
      </c>
      <c r="B66" s="512"/>
      <c r="C66" s="124"/>
      <c r="D66" s="448"/>
      <c r="E66" s="446"/>
      <c r="F66" s="513"/>
      <c r="G66" s="514"/>
      <c r="H66" s="514"/>
      <c r="I66" s="514"/>
      <c r="J66" s="514"/>
      <c r="K66" s="514"/>
      <c r="L66" s="514"/>
      <c r="M66" s="54"/>
      <c r="N66" s="514"/>
      <c r="O66" s="514"/>
      <c r="P66" s="515"/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5</v>
      </c>
      <c r="B67" s="512"/>
      <c r="C67" s="124"/>
      <c r="D67" s="448"/>
      <c r="E67" s="446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6</v>
      </c>
      <c r="B68" s="512"/>
      <c r="C68" s="124"/>
      <c r="D68" s="448"/>
      <c r="E68" s="446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7</v>
      </c>
      <c r="B69" s="512"/>
      <c r="C69" s="124"/>
      <c r="D69" s="448"/>
      <c r="E69" s="446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8</v>
      </c>
      <c r="B70" s="512"/>
      <c r="C70" s="124"/>
      <c r="D70" s="448"/>
      <c r="E70" s="446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6.25" customHeight="1" thickBot="1">
      <c r="A71" s="517" t="s">
        <v>1360</v>
      </c>
      <c r="B71" s="517"/>
      <c r="C71" s="517"/>
      <c r="D71" s="517"/>
      <c r="E71" s="51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518" t="s">
        <v>114</v>
      </c>
      <c r="B72" s="519"/>
      <c r="C72" s="447" t="s">
        <v>2</v>
      </c>
      <c r="D72" s="447" t="s">
        <v>37</v>
      </c>
      <c r="E72" s="447" t="s">
        <v>3</v>
      </c>
      <c r="F72" s="519" t="s">
        <v>38</v>
      </c>
      <c r="G72" s="519"/>
      <c r="H72" s="519"/>
      <c r="I72" s="519"/>
      <c r="J72" s="519"/>
      <c r="K72" s="520" t="s">
        <v>59</v>
      </c>
      <c r="L72" s="521"/>
      <c r="M72" s="521"/>
      <c r="N72" s="521"/>
      <c r="O72" s="521"/>
      <c r="P72" s="521"/>
      <c r="Q72" s="521"/>
      <c r="R72" s="521"/>
      <c r="S72" s="522"/>
      <c r="T72" s="519" t="s">
        <v>49</v>
      </c>
      <c r="U72" s="519"/>
      <c r="V72" s="520" t="s">
        <v>50</v>
      </c>
      <c r="W72" s="522"/>
      <c r="X72" s="521" t="s">
        <v>51</v>
      </c>
      <c r="Y72" s="521"/>
      <c r="Z72" s="521"/>
      <c r="AA72" s="521"/>
      <c r="AB72" s="521"/>
      <c r="AC72" s="521"/>
      <c r="AD72" s="523"/>
      <c r="AF72" s="53"/>
    </row>
    <row r="73" spans="1:32" ht="33.75" customHeight="1">
      <c r="A73" s="532">
        <v>1</v>
      </c>
      <c r="B73" s="533"/>
      <c r="C73" s="449" t="s">
        <v>117</v>
      </c>
      <c r="D73" s="449"/>
      <c r="E73" s="71" t="s">
        <v>123</v>
      </c>
      <c r="F73" s="534" t="s">
        <v>124</v>
      </c>
      <c r="G73" s="535"/>
      <c r="H73" s="535"/>
      <c r="I73" s="535"/>
      <c r="J73" s="536"/>
      <c r="K73" s="537" t="s">
        <v>119</v>
      </c>
      <c r="L73" s="538"/>
      <c r="M73" s="538"/>
      <c r="N73" s="538"/>
      <c r="O73" s="538"/>
      <c r="P73" s="538"/>
      <c r="Q73" s="538"/>
      <c r="R73" s="538"/>
      <c r="S73" s="539"/>
      <c r="T73" s="540">
        <v>42901</v>
      </c>
      <c r="U73" s="541"/>
      <c r="V73" s="542"/>
      <c r="W73" s="542"/>
      <c r="X73" s="543"/>
      <c r="Y73" s="543"/>
      <c r="Z73" s="543"/>
      <c r="AA73" s="543"/>
      <c r="AB73" s="543"/>
      <c r="AC73" s="543"/>
      <c r="AD73" s="544"/>
      <c r="AF73" s="53"/>
    </row>
    <row r="74" spans="1:32" ht="30" customHeight="1">
      <c r="A74" s="524">
        <f>A73+1</f>
        <v>2</v>
      </c>
      <c r="B74" s="525"/>
      <c r="C74" s="448" t="s">
        <v>117</v>
      </c>
      <c r="D74" s="448"/>
      <c r="E74" s="35" t="s">
        <v>120</v>
      </c>
      <c r="F74" s="525" t="s">
        <v>121</v>
      </c>
      <c r="G74" s="525"/>
      <c r="H74" s="525"/>
      <c r="I74" s="525"/>
      <c r="J74" s="525"/>
      <c r="K74" s="526" t="s">
        <v>122</v>
      </c>
      <c r="L74" s="527"/>
      <c r="M74" s="527"/>
      <c r="N74" s="527"/>
      <c r="O74" s="527"/>
      <c r="P74" s="527"/>
      <c r="Q74" s="527"/>
      <c r="R74" s="527"/>
      <c r="S74" s="528"/>
      <c r="T74" s="529">
        <v>42867</v>
      </c>
      <c r="U74" s="529"/>
      <c r="V74" s="529"/>
      <c r="W74" s="529"/>
      <c r="X74" s="530"/>
      <c r="Y74" s="530"/>
      <c r="Z74" s="530"/>
      <c r="AA74" s="530"/>
      <c r="AB74" s="530"/>
      <c r="AC74" s="530"/>
      <c r="AD74" s="531"/>
      <c r="AF74" s="53"/>
    </row>
    <row r="75" spans="1:32" ht="30" customHeight="1">
      <c r="A75" s="524">
        <f t="shared" ref="A75:A81" si="13">A74+1</f>
        <v>3</v>
      </c>
      <c r="B75" s="525"/>
      <c r="C75" s="448" t="s">
        <v>133</v>
      </c>
      <c r="D75" s="448"/>
      <c r="E75" s="35" t="s">
        <v>131</v>
      </c>
      <c r="F75" s="525" t="s">
        <v>134</v>
      </c>
      <c r="G75" s="525"/>
      <c r="H75" s="525"/>
      <c r="I75" s="525"/>
      <c r="J75" s="525"/>
      <c r="K75" s="526" t="s">
        <v>119</v>
      </c>
      <c r="L75" s="527"/>
      <c r="M75" s="527"/>
      <c r="N75" s="527"/>
      <c r="O75" s="527"/>
      <c r="P75" s="527"/>
      <c r="Q75" s="527"/>
      <c r="R75" s="527"/>
      <c r="S75" s="528"/>
      <c r="T75" s="529">
        <v>42937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si="13"/>
        <v>4</v>
      </c>
      <c r="B76" s="525"/>
      <c r="C76" s="448"/>
      <c r="D76" s="448"/>
      <c r="E76" s="35"/>
      <c r="F76" s="525"/>
      <c r="G76" s="525"/>
      <c r="H76" s="525"/>
      <c r="I76" s="525"/>
      <c r="J76" s="525"/>
      <c r="K76" s="526"/>
      <c r="L76" s="527"/>
      <c r="M76" s="527"/>
      <c r="N76" s="527"/>
      <c r="O76" s="527"/>
      <c r="P76" s="527"/>
      <c r="Q76" s="527"/>
      <c r="R76" s="527"/>
      <c r="S76" s="528"/>
      <c r="T76" s="529"/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13"/>
        <v>5</v>
      </c>
      <c r="B77" s="525"/>
      <c r="C77" s="448"/>
      <c r="D77" s="448"/>
      <c r="E77" s="35"/>
      <c r="F77" s="525"/>
      <c r="G77" s="525"/>
      <c r="H77" s="525"/>
      <c r="I77" s="525"/>
      <c r="J77" s="525"/>
      <c r="K77" s="526"/>
      <c r="L77" s="527"/>
      <c r="M77" s="527"/>
      <c r="N77" s="527"/>
      <c r="O77" s="527"/>
      <c r="P77" s="527"/>
      <c r="Q77" s="527"/>
      <c r="R77" s="527"/>
      <c r="S77" s="528"/>
      <c r="T77" s="529"/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13"/>
        <v>6</v>
      </c>
      <c r="B78" s="525"/>
      <c r="C78" s="448"/>
      <c r="D78" s="448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13"/>
        <v>7</v>
      </c>
      <c r="B79" s="525"/>
      <c r="C79" s="448"/>
      <c r="D79" s="448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13"/>
        <v>8</v>
      </c>
      <c r="B80" s="525"/>
      <c r="C80" s="448"/>
      <c r="D80" s="448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13"/>
        <v>9</v>
      </c>
      <c r="B81" s="525"/>
      <c r="C81" s="448"/>
      <c r="D81" s="448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6" thickBot="1">
      <c r="A82" s="517" t="s">
        <v>1361</v>
      </c>
      <c r="B82" s="517"/>
      <c r="C82" s="517"/>
      <c r="D82" s="517"/>
      <c r="E82" s="51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518" t="s">
        <v>114</v>
      </c>
      <c r="B83" s="519"/>
      <c r="C83" s="545" t="s">
        <v>52</v>
      </c>
      <c r="D83" s="545"/>
      <c r="E83" s="545" t="s">
        <v>53</v>
      </c>
      <c r="F83" s="545"/>
      <c r="G83" s="545"/>
      <c r="H83" s="545"/>
      <c r="I83" s="545"/>
      <c r="J83" s="545"/>
      <c r="K83" s="545" t="s">
        <v>54</v>
      </c>
      <c r="L83" s="545"/>
      <c r="M83" s="545"/>
      <c r="N83" s="545"/>
      <c r="O83" s="545"/>
      <c r="P83" s="545"/>
      <c r="Q83" s="545"/>
      <c r="R83" s="545"/>
      <c r="S83" s="545"/>
      <c r="T83" s="545" t="s">
        <v>55</v>
      </c>
      <c r="U83" s="545"/>
      <c r="V83" s="545" t="s">
        <v>56</v>
      </c>
      <c r="W83" s="545"/>
      <c r="X83" s="545"/>
      <c r="Y83" s="545" t="s">
        <v>51</v>
      </c>
      <c r="Z83" s="545"/>
      <c r="AA83" s="545"/>
      <c r="AB83" s="545"/>
      <c r="AC83" s="545"/>
      <c r="AD83" s="546"/>
      <c r="AF83" s="53"/>
    </row>
    <row r="84" spans="1:32" ht="30.75" customHeight="1">
      <c r="A84" s="532">
        <v>1</v>
      </c>
      <c r="B84" s="533"/>
      <c r="C84" s="547"/>
      <c r="D84" s="547"/>
      <c r="E84" s="547"/>
      <c r="F84" s="547"/>
      <c r="G84" s="547"/>
      <c r="H84" s="547"/>
      <c r="I84" s="547"/>
      <c r="J84" s="547"/>
      <c r="K84" s="547"/>
      <c r="L84" s="547"/>
      <c r="M84" s="547"/>
      <c r="N84" s="547"/>
      <c r="O84" s="547"/>
      <c r="P84" s="547"/>
      <c r="Q84" s="547"/>
      <c r="R84" s="547"/>
      <c r="S84" s="547"/>
      <c r="T84" s="547"/>
      <c r="U84" s="547"/>
      <c r="V84" s="548"/>
      <c r="W84" s="548"/>
      <c r="X84" s="548"/>
      <c r="Y84" s="549"/>
      <c r="Z84" s="549"/>
      <c r="AA84" s="549"/>
      <c r="AB84" s="549"/>
      <c r="AC84" s="549"/>
      <c r="AD84" s="550"/>
      <c r="AF84" s="53"/>
    </row>
    <row r="85" spans="1:32" ht="30.75" customHeight="1">
      <c r="A85" s="524">
        <v>2</v>
      </c>
      <c r="B85" s="525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9"/>
      <c r="U85" s="559"/>
      <c r="V85" s="560"/>
      <c r="W85" s="560"/>
      <c r="X85" s="560"/>
      <c r="Y85" s="551"/>
      <c r="Z85" s="551"/>
      <c r="AA85" s="551"/>
      <c r="AB85" s="551"/>
      <c r="AC85" s="551"/>
      <c r="AD85" s="552"/>
      <c r="AF85" s="53"/>
    </row>
    <row r="86" spans="1:32" ht="30.75" customHeight="1" thickBot="1">
      <c r="A86" s="553">
        <v>3</v>
      </c>
      <c r="B86" s="554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6"/>
      <c r="Z86" s="556"/>
      <c r="AA86" s="556"/>
      <c r="AB86" s="556"/>
      <c r="AC86" s="556"/>
      <c r="AD86" s="55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7"/>
  <sheetViews>
    <sheetView topLeftCell="A46" zoomScale="72" zoomScaleNormal="72" zoomScaleSheetLayoutView="70" workbookViewId="0">
      <selection activeCell="A65" sqref="A65:XFD65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51" t="s">
        <v>245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2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138" t="s">
        <v>17</v>
      </c>
      <c r="L5" s="138" t="s">
        <v>18</v>
      </c>
      <c r="M5" s="138" t="s">
        <v>19</v>
      </c>
      <c r="N5" s="13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2" ht="27" customHeight="1">
      <c r="A6" s="108">
        <v>1</v>
      </c>
      <c r="B6" s="11"/>
      <c r="C6" s="11"/>
      <c r="D6" s="55"/>
      <c r="E6" s="56"/>
      <c r="F6" s="12"/>
      <c r="G6" s="36"/>
      <c r="H6" s="38"/>
      <c r="I6" s="7"/>
      <c r="J6" s="14"/>
      <c r="K6" s="15">
        <f>L6</f>
        <v>0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0.50371423530967818</v>
      </c>
      <c r="AF6" s="94">
        <f t="shared" ref="AF6:AF21" si="8">A6</f>
        <v>1</v>
      </c>
    </row>
    <row r="7" spans="1:32" ht="27" customHeight="1">
      <c r="A7" s="108">
        <v>2</v>
      </c>
      <c r="B7" s="11" t="s">
        <v>149</v>
      </c>
      <c r="C7" s="37" t="s">
        <v>189</v>
      </c>
      <c r="D7" s="55" t="s">
        <v>190</v>
      </c>
      <c r="E7" s="57" t="s">
        <v>191</v>
      </c>
      <c r="F7" s="33" t="s">
        <v>192</v>
      </c>
      <c r="G7" s="12">
        <v>1</v>
      </c>
      <c r="H7" s="13">
        <v>25</v>
      </c>
      <c r="I7" s="34">
        <v>3000</v>
      </c>
      <c r="J7" s="5">
        <v>1320</v>
      </c>
      <c r="K7" s="15">
        <f>L7+1319</f>
        <v>1319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>
        <v>24</v>
      </c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0.50371423530967818</v>
      </c>
      <c r="AF7" s="94">
        <f t="shared" si="8"/>
        <v>2</v>
      </c>
    </row>
    <row r="8" spans="1:32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65000</v>
      </c>
      <c r="J8" s="14">
        <v>5420</v>
      </c>
      <c r="K8" s="15">
        <f>L8+452+3795+3955</f>
        <v>13616</v>
      </c>
      <c r="L8" s="15">
        <f>2563+2851</f>
        <v>5414</v>
      </c>
      <c r="M8" s="16">
        <f t="shared" si="0"/>
        <v>5414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0.99889298892988931</v>
      </c>
      <c r="AC8" s="9">
        <f t="shared" si="5"/>
        <v>1</v>
      </c>
      <c r="AD8" s="10">
        <f t="shared" si="6"/>
        <v>0.99889298892988931</v>
      </c>
      <c r="AE8" s="39">
        <f t="shared" si="7"/>
        <v>0.50371423530967818</v>
      </c>
      <c r="AF8" s="94">
        <f>A8</f>
        <v>3</v>
      </c>
    </row>
    <row r="9" spans="1:32" ht="27" customHeight="1">
      <c r="A9" s="110">
        <v>4</v>
      </c>
      <c r="B9" s="11" t="s">
        <v>58</v>
      </c>
      <c r="C9" s="37" t="s">
        <v>117</v>
      </c>
      <c r="D9" s="55" t="s">
        <v>246</v>
      </c>
      <c r="E9" s="57" t="s">
        <v>247</v>
      </c>
      <c r="F9" s="33" t="s">
        <v>248</v>
      </c>
      <c r="G9" s="36">
        <v>1</v>
      </c>
      <c r="H9" s="38">
        <v>25</v>
      </c>
      <c r="I9" s="7">
        <v>3000</v>
      </c>
      <c r="J9" s="5">
        <v>3700</v>
      </c>
      <c r="K9" s="15">
        <f>L9</f>
        <v>3698</v>
      </c>
      <c r="L9" s="15">
        <f>2245+1453</f>
        <v>3698</v>
      </c>
      <c r="M9" s="16">
        <f t="shared" si="0"/>
        <v>3698</v>
      </c>
      <c r="N9" s="16">
        <v>0</v>
      </c>
      <c r="O9" s="62">
        <f t="shared" si="1"/>
        <v>0</v>
      </c>
      <c r="P9" s="42">
        <f t="shared" si="2"/>
        <v>20</v>
      </c>
      <c r="Q9" s="43">
        <f t="shared" si="3"/>
        <v>4</v>
      </c>
      <c r="R9" s="7"/>
      <c r="S9" s="6">
        <v>2</v>
      </c>
      <c r="T9" s="17">
        <v>2</v>
      </c>
      <c r="U9" s="17"/>
      <c r="V9" s="18"/>
      <c r="W9" s="19"/>
      <c r="X9" s="17"/>
      <c r="Y9" s="20"/>
      <c r="Z9" s="20"/>
      <c r="AA9" s="21"/>
      <c r="AB9" s="8">
        <f t="shared" si="4"/>
        <v>0.99945945945945946</v>
      </c>
      <c r="AC9" s="9">
        <f t="shared" si="5"/>
        <v>0.83333333333333337</v>
      </c>
      <c r="AD9" s="10">
        <f t="shared" si="6"/>
        <v>0.83288288288288292</v>
      </c>
      <c r="AE9" s="39">
        <f t="shared" si="7"/>
        <v>0.50371423530967818</v>
      </c>
      <c r="AF9" s="94">
        <f t="shared" ref="AF9" si="9">A9</f>
        <v>4</v>
      </c>
    </row>
    <row r="10" spans="1:32" ht="27" customHeight="1">
      <c r="A10" s="110">
        <v>5</v>
      </c>
      <c r="B10" s="11" t="s">
        <v>58</v>
      </c>
      <c r="C10" s="11" t="s">
        <v>133</v>
      </c>
      <c r="D10" s="55" t="s">
        <v>131</v>
      </c>
      <c r="E10" s="56" t="s">
        <v>154</v>
      </c>
      <c r="F10" s="12" t="s">
        <v>148</v>
      </c>
      <c r="G10" s="12">
        <v>1</v>
      </c>
      <c r="H10" s="13">
        <v>25</v>
      </c>
      <c r="I10" s="34">
        <v>55000</v>
      </c>
      <c r="J10" s="14">
        <v>3890</v>
      </c>
      <c r="K10" s="15">
        <f>L10+2928+5697+2831+3697+5889+4241+5564+2325+1191+1007+5147+3591+3623</f>
        <v>51619</v>
      </c>
      <c r="L10" s="15">
        <f>2777+1111</f>
        <v>3888</v>
      </c>
      <c r="M10" s="16">
        <f t="shared" si="0"/>
        <v>3888</v>
      </c>
      <c r="N10" s="16">
        <v>0</v>
      </c>
      <c r="O10" s="62">
        <f t="shared" si="1"/>
        <v>0</v>
      </c>
      <c r="P10" s="42">
        <f t="shared" si="2"/>
        <v>21</v>
      </c>
      <c r="Q10" s="43">
        <f t="shared" si="3"/>
        <v>3</v>
      </c>
      <c r="R10" s="7"/>
      <c r="S10" s="6">
        <v>3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0.99948586118251925</v>
      </c>
      <c r="AC10" s="9">
        <f t="shared" si="5"/>
        <v>0.875</v>
      </c>
      <c r="AD10" s="10">
        <f t="shared" si="6"/>
        <v>0.87455012853470437</v>
      </c>
      <c r="AE10" s="39">
        <f t="shared" si="7"/>
        <v>0.50371423530967818</v>
      </c>
      <c r="AF10" s="94">
        <f t="shared" si="8"/>
        <v>5</v>
      </c>
    </row>
    <row r="11" spans="1:32" ht="27" customHeight="1">
      <c r="A11" s="110">
        <v>6</v>
      </c>
      <c r="B11" s="11" t="s">
        <v>58</v>
      </c>
      <c r="C11" s="11" t="s">
        <v>163</v>
      </c>
      <c r="D11" s="55" t="s">
        <v>193</v>
      </c>
      <c r="E11" s="57" t="s">
        <v>194</v>
      </c>
      <c r="F11" s="12" t="s">
        <v>147</v>
      </c>
      <c r="G11" s="12">
        <v>1</v>
      </c>
      <c r="H11" s="13">
        <v>25</v>
      </c>
      <c r="I11" s="34">
        <v>11000</v>
      </c>
      <c r="J11" s="14">
        <v>3630</v>
      </c>
      <c r="K11" s="15">
        <f>L11+326</f>
        <v>3949</v>
      </c>
      <c r="L11" s="15">
        <f>3247+376</f>
        <v>3623</v>
      </c>
      <c r="M11" s="16">
        <f t="shared" si="0"/>
        <v>3623</v>
      </c>
      <c r="N11" s="16">
        <v>0</v>
      </c>
      <c r="O11" s="62">
        <f t="shared" si="1"/>
        <v>0</v>
      </c>
      <c r="P11" s="42">
        <f t="shared" si="2"/>
        <v>15</v>
      </c>
      <c r="Q11" s="43">
        <f t="shared" si="3"/>
        <v>9</v>
      </c>
      <c r="R11" s="7"/>
      <c r="S11" s="6"/>
      <c r="T11" s="17">
        <v>9</v>
      </c>
      <c r="U11" s="17"/>
      <c r="V11" s="18"/>
      <c r="W11" s="19"/>
      <c r="X11" s="17"/>
      <c r="Y11" s="20"/>
      <c r="Z11" s="20"/>
      <c r="AA11" s="21"/>
      <c r="AB11" s="8">
        <f t="shared" si="4"/>
        <v>0.99807162534435256</v>
      </c>
      <c r="AC11" s="9">
        <f t="shared" si="5"/>
        <v>0.625</v>
      </c>
      <c r="AD11" s="10">
        <f t="shared" si="6"/>
        <v>0.62379476584022031</v>
      </c>
      <c r="AE11" s="39">
        <f t="shared" si="7"/>
        <v>0.50371423530967818</v>
      </c>
      <c r="AF11" s="94">
        <f t="shared" si="8"/>
        <v>6</v>
      </c>
    </row>
    <row r="12" spans="1:32" ht="27" customHeight="1">
      <c r="A12" s="110">
        <v>6</v>
      </c>
      <c r="B12" s="11" t="s">
        <v>58</v>
      </c>
      <c r="C12" s="11" t="s">
        <v>163</v>
      </c>
      <c r="D12" s="55" t="s">
        <v>167</v>
      </c>
      <c r="E12" s="57" t="s">
        <v>168</v>
      </c>
      <c r="F12" s="12" t="s">
        <v>147</v>
      </c>
      <c r="G12" s="12">
        <v>1</v>
      </c>
      <c r="H12" s="13">
        <v>25</v>
      </c>
      <c r="I12" s="34">
        <v>11000</v>
      </c>
      <c r="J12" s="14">
        <v>2740</v>
      </c>
      <c r="K12" s="15">
        <f>L12+2872</f>
        <v>5612</v>
      </c>
      <c r="L12" s="15">
        <v>2740</v>
      </c>
      <c r="M12" s="16">
        <f t="shared" si="0"/>
        <v>2740</v>
      </c>
      <c r="N12" s="16">
        <v>0</v>
      </c>
      <c r="O12" s="62">
        <f t="shared" si="1"/>
        <v>0</v>
      </c>
      <c r="P12" s="42">
        <f t="shared" si="2"/>
        <v>16</v>
      </c>
      <c r="Q12" s="43">
        <f t="shared" si="3"/>
        <v>8</v>
      </c>
      <c r="R12" s="7"/>
      <c r="S12" s="6"/>
      <c r="T12" s="17">
        <v>8</v>
      </c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0.66666666666666663</v>
      </c>
      <c r="AD12" s="10">
        <f t="shared" si="6"/>
        <v>0.66666666666666663</v>
      </c>
      <c r="AE12" s="39">
        <f t="shared" si="7"/>
        <v>0.50371423530967818</v>
      </c>
      <c r="AF12" s="94">
        <f t="shared" si="8"/>
        <v>6</v>
      </c>
    </row>
    <row r="13" spans="1:32" ht="27" customHeight="1">
      <c r="A13" s="110">
        <v>7</v>
      </c>
      <c r="B13" s="11" t="s">
        <v>58</v>
      </c>
      <c r="C13" s="11" t="s">
        <v>118</v>
      </c>
      <c r="D13" s="55" t="s">
        <v>57</v>
      </c>
      <c r="E13" s="57" t="s">
        <v>160</v>
      </c>
      <c r="F13" s="12" t="s">
        <v>145</v>
      </c>
      <c r="G13" s="12">
        <v>1</v>
      </c>
      <c r="H13" s="13">
        <v>25</v>
      </c>
      <c r="I13" s="7">
        <v>62000</v>
      </c>
      <c r="J13" s="14">
        <v>2430</v>
      </c>
      <c r="K13" s="15">
        <f>L13+3062+3955+2262+4171+4492+4201</f>
        <v>24565</v>
      </c>
      <c r="L13" s="15">
        <f>500+1922</f>
        <v>2422</v>
      </c>
      <c r="M13" s="16">
        <f t="shared" si="0"/>
        <v>2422</v>
      </c>
      <c r="N13" s="16">
        <v>0</v>
      </c>
      <c r="O13" s="62">
        <f t="shared" si="1"/>
        <v>0</v>
      </c>
      <c r="P13" s="42">
        <f t="shared" si="2"/>
        <v>16</v>
      </c>
      <c r="Q13" s="43">
        <f t="shared" si="3"/>
        <v>8</v>
      </c>
      <c r="R13" s="7"/>
      <c r="S13" s="6">
        <v>8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0.99670781893004112</v>
      </c>
      <c r="AC13" s="9">
        <f t="shared" si="5"/>
        <v>0.66666666666666663</v>
      </c>
      <c r="AD13" s="10">
        <f t="shared" si="6"/>
        <v>0.66447187928669404</v>
      </c>
      <c r="AE13" s="39">
        <f t="shared" si="7"/>
        <v>0.50371423530967818</v>
      </c>
      <c r="AF13" s="94">
        <f t="shared" si="8"/>
        <v>7</v>
      </c>
    </row>
    <row r="14" spans="1:32" ht="27" customHeight="1">
      <c r="A14" s="110">
        <v>8</v>
      </c>
      <c r="B14" s="11" t="s">
        <v>58</v>
      </c>
      <c r="C14" s="11" t="s">
        <v>117</v>
      </c>
      <c r="D14" s="55" t="s">
        <v>140</v>
      </c>
      <c r="E14" s="57" t="s">
        <v>141</v>
      </c>
      <c r="F14" s="12" t="s">
        <v>142</v>
      </c>
      <c r="G14" s="12">
        <v>1</v>
      </c>
      <c r="H14" s="13">
        <v>25</v>
      </c>
      <c r="I14" s="7">
        <v>4000</v>
      </c>
      <c r="J14" s="14">
        <v>1750</v>
      </c>
      <c r="K14" s="15">
        <f>L14+1579+2946+2628+1746</f>
        <v>8899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0.50371423530967818</v>
      </c>
      <c r="AF14" s="94">
        <f t="shared" si="8"/>
        <v>8</v>
      </c>
    </row>
    <row r="15" spans="1:32" ht="27" customHeight="1">
      <c r="A15" s="109">
        <v>9</v>
      </c>
      <c r="B15" s="11" t="s">
        <v>149</v>
      </c>
      <c r="C15" s="37" t="s">
        <v>195</v>
      </c>
      <c r="D15" s="55" t="s">
        <v>196</v>
      </c>
      <c r="E15" s="57" t="s">
        <v>197</v>
      </c>
      <c r="F15" s="33" t="s">
        <v>198</v>
      </c>
      <c r="G15" s="36">
        <v>1</v>
      </c>
      <c r="H15" s="38">
        <v>25</v>
      </c>
      <c r="I15" s="7">
        <v>500</v>
      </c>
      <c r="J15" s="5">
        <v>240</v>
      </c>
      <c r="K15" s="15">
        <f>L15+240</f>
        <v>240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>
        <v>24</v>
      </c>
      <c r="T15" s="17"/>
      <c r="U15" s="17"/>
      <c r="V15" s="18"/>
      <c r="W15" s="19"/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0.50371423530967818</v>
      </c>
      <c r="AF15" s="94">
        <f t="shared" si="8"/>
        <v>9</v>
      </c>
    </row>
    <row r="16" spans="1:32" ht="27" customHeight="1">
      <c r="A16" s="109">
        <v>10</v>
      </c>
      <c r="B16" s="11" t="s">
        <v>149</v>
      </c>
      <c r="C16" s="11" t="s">
        <v>163</v>
      </c>
      <c r="D16" s="55" t="s">
        <v>167</v>
      </c>
      <c r="E16" s="57" t="s">
        <v>168</v>
      </c>
      <c r="F16" s="12" t="s">
        <v>166</v>
      </c>
      <c r="G16" s="12">
        <v>1</v>
      </c>
      <c r="H16" s="13">
        <v>20</v>
      </c>
      <c r="I16" s="34">
        <v>3000</v>
      </c>
      <c r="J16" s="14">
        <v>15880</v>
      </c>
      <c r="K16" s="15">
        <f>L16</f>
        <v>0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>
        <v>24</v>
      </c>
      <c r="W16" s="19"/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0.50371423530967818</v>
      </c>
      <c r="AF16" s="94">
        <f t="shared" si="8"/>
        <v>10</v>
      </c>
    </row>
    <row r="17" spans="1:36" ht="27.75" customHeight="1">
      <c r="A17" s="109">
        <v>11</v>
      </c>
      <c r="B17" s="11" t="s">
        <v>149</v>
      </c>
      <c r="C17" s="11" t="s">
        <v>189</v>
      </c>
      <c r="D17" s="55" t="s">
        <v>246</v>
      </c>
      <c r="E17" s="56" t="s">
        <v>249</v>
      </c>
      <c r="F17" s="12" t="s">
        <v>201</v>
      </c>
      <c r="G17" s="36">
        <v>1</v>
      </c>
      <c r="H17" s="38">
        <v>25</v>
      </c>
      <c r="I17" s="7">
        <v>2500</v>
      </c>
      <c r="J17" s="14">
        <v>6710</v>
      </c>
      <c r="K17" s="15">
        <f>L17</f>
        <v>3986</v>
      </c>
      <c r="L17" s="15">
        <f>2156+1830</f>
        <v>3986</v>
      </c>
      <c r="M17" s="16">
        <f t="shared" si="0"/>
        <v>3986</v>
      </c>
      <c r="N17" s="16">
        <v>0</v>
      </c>
      <c r="O17" s="62">
        <f t="shared" si="1"/>
        <v>0</v>
      </c>
      <c r="P17" s="42">
        <f t="shared" si="2"/>
        <v>21</v>
      </c>
      <c r="Q17" s="43">
        <f t="shared" si="3"/>
        <v>3</v>
      </c>
      <c r="R17" s="7"/>
      <c r="S17" s="6"/>
      <c r="T17" s="17">
        <v>3</v>
      </c>
      <c r="U17" s="17"/>
      <c r="V17" s="18"/>
      <c r="W17" s="19"/>
      <c r="X17" s="17"/>
      <c r="Y17" s="20"/>
      <c r="Z17" s="20"/>
      <c r="AA17" s="21"/>
      <c r="AB17" s="8">
        <f t="shared" si="4"/>
        <v>0.59403874813710877</v>
      </c>
      <c r="AC17" s="9">
        <f t="shared" si="5"/>
        <v>0.875</v>
      </c>
      <c r="AD17" s="10">
        <f t="shared" si="6"/>
        <v>0.51978390461997015</v>
      </c>
      <c r="AE17" s="39">
        <f t="shared" si="7"/>
        <v>0.50371423530967818</v>
      </c>
      <c r="AF17" s="94">
        <f>A17</f>
        <v>11</v>
      </c>
      <c r="AJ17" s="15"/>
    </row>
    <row r="18" spans="1:36" ht="27" customHeight="1">
      <c r="A18" s="109">
        <v>12</v>
      </c>
      <c r="B18" s="11" t="s">
        <v>149</v>
      </c>
      <c r="C18" s="37" t="s">
        <v>151</v>
      </c>
      <c r="D18" s="55" t="s">
        <v>202</v>
      </c>
      <c r="E18" s="56" t="s">
        <v>203</v>
      </c>
      <c r="F18" s="12">
        <v>8301</v>
      </c>
      <c r="G18" s="12">
        <v>1</v>
      </c>
      <c r="H18" s="13">
        <v>25</v>
      </c>
      <c r="I18" s="34">
        <v>2000</v>
      </c>
      <c r="J18" s="5">
        <v>2150</v>
      </c>
      <c r="K18" s="15">
        <f>L18+2150</f>
        <v>2150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0.50371423530967818</v>
      </c>
      <c r="AF18" s="94">
        <f t="shared" si="8"/>
        <v>12</v>
      </c>
    </row>
    <row r="19" spans="1:36" ht="27" customHeight="1">
      <c r="A19" s="110">
        <v>13</v>
      </c>
      <c r="B19" s="11" t="s">
        <v>58</v>
      </c>
      <c r="C19" s="37" t="s">
        <v>118</v>
      </c>
      <c r="D19" s="55" t="s">
        <v>131</v>
      </c>
      <c r="E19" s="57" t="s">
        <v>158</v>
      </c>
      <c r="F19" s="33" t="s">
        <v>142</v>
      </c>
      <c r="G19" s="36">
        <v>1</v>
      </c>
      <c r="H19" s="38">
        <v>25</v>
      </c>
      <c r="I19" s="7">
        <v>62000</v>
      </c>
      <c r="J19" s="5">
        <v>3870</v>
      </c>
      <c r="K19" s="15">
        <f>L19+2232+4609+1982+1137+3270+2188+1609</f>
        <v>20897</v>
      </c>
      <c r="L19" s="15">
        <f>2695+1175</f>
        <v>3870</v>
      </c>
      <c r="M19" s="16">
        <f t="shared" si="0"/>
        <v>3870</v>
      </c>
      <c r="N19" s="16">
        <v>0</v>
      </c>
      <c r="O19" s="62">
        <f t="shared" si="1"/>
        <v>0</v>
      </c>
      <c r="P19" s="42">
        <f t="shared" si="2"/>
        <v>20</v>
      </c>
      <c r="Q19" s="43">
        <f t="shared" si="3"/>
        <v>4</v>
      </c>
      <c r="R19" s="7"/>
      <c r="S19" s="6">
        <v>4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0.83333333333333337</v>
      </c>
      <c r="AD19" s="10">
        <f t="shared" si="6"/>
        <v>0.83333333333333337</v>
      </c>
      <c r="AE19" s="39">
        <f t="shared" si="7"/>
        <v>0.50371423530967818</v>
      </c>
      <c r="AF19" s="94">
        <f t="shared" si="8"/>
        <v>13</v>
      </c>
    </row>
    <row r="20" spans="1:36" ht="27" customHeight="1">
      <c r="A20" s="110">
        <v>14</v>
      </c>
      <c r="B20" s="11" t="s">
        <v>58</v>
      </c>
      <c r="C20" s="11" t="s">
        <v>118</v>
      </c>
      <c r="D20" s="55" t="s">
        <v>57</v>
      </c>
      <c r="E20" s="56" t="s">
        <v>159</v>
      </c>
      <c r="F20" s="12" t="s">
        <v>145</v>
      </c>
      <c r="G20" s="12">
        <v>1</v>
      </c>
      <c r="H20" s="38">
        <v>25</v>
      </c>
      <c r="I20" s="34">
        <v>45000</v>
      </c>
      <c r="J20" s="5">
        <v>3120</v>
      </c>
      <c r="K20" s="15">
        <f>L20+4457+5150+5194+2223+4847+5149+5390</f>
        <v>35529</v>
      </c>
      <c r="L20" s="15">
        <f>2535+584</f>
        <v>3119</v>
      </c>
      <c r="M20" s="16">
        <f t="shared" si="0"/>
        <v>3119</v>
      </c>
      <c r="N20" s="16">
        <v>0</v>
      </c>
      <c r="O20" s="62">
        <f t="shared" si="1"/>
        <v>0</v>
      </c>
      <c r="P20" s="42">
        <f t="shared" si="2"/>
        <v>18</v>
      </c>
      <c r="Q20" s="43">
        <f t="shared" si="3"/>
        <v>6</v>
      </c>
      <c r="R20" s="7"/>
      <c r="S20" s="6">
        <v>6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0.99967948717948718</v>
      </c>
      <c r="AC20" s="9">
        <f t="shared" si="5"/>
        <v>0.75</v>
      </c>
      <c r="AD20" s="10">
        <f t="shared" si="6"/>
        <v>0.74975961538461533</v>
      </c>
      <c r="AE20" s="39">
        <f t="shared" si="7"/>
        <v>0.50371423530967818</v>
      </c>
      <c r="AF20" s="94">
        <f t="shared" si="8"/>
        <v>14</v>
      </c>
    </row>
    <row r="21" spans="1:36" ht="27" customHeight="1" thickBot="1">
      <c r="A21" s="110">
        <v>15</v>
      </c>
      <c r="B21" s="11" t="s">
        <v>58</v>
      </c>
      <c r="C21" s="11" t="s">
        <v>115</v>
      </c>
      <c r="D21" s="55"/>
      <c r="E21" s="56" t="s">
        <v>250</v>
      </c>
      <c r="F21" s="12" t="s">
        <v>116</v>
      </c>
      <c r="G21" s="12">
        <v>4</v>
      </c>
      <c r="H21" s="38">
        <v>15</v>
      </c>
      <c r="I21" s="7">
        <v>300000</v>
      </c>
      <c r="J21" s="14">
        <v>35460</v>
      </c>
      <c r="K21" s="15">
        <f>L21</f>
        <v>35456</v>
      </c>
      <c r="L21" s="15">
        <f>646*4+8218*4</f>
        <v>35456</v>
      </c>
      <c r="M21" s="16">
        <f t="shared" si="0"/>
        <v>35456</v>
      </c>
      <c r="N21" s="16">
        <v>0</v>
      </c>
      <c r="O21" s="62">
        <f t="shared" si="1"/>
        <v>0</v>
      </c>
      <c r="P21" s="42">
        <f t="shared" si="2"/>
        <v>19</v>
      </c>
      <c r="Q21" s="43">
        <f t="shared" si="3"/>
        <v>5</v>
      </c>
      <c r="R21" s="7"/>
      <c r="S21" s="6"/>
      <c r="T21" s="17">
        <v>5</v>
      </c>
      <c r="U21" s="17"/>
      <c r="V21" s="18"/>
      <c r="W21" s="19"/>
      <c r="X21" s="17"/>
      <c r="Y21" s="20"/>
      <c r="Z21" s="20"/>
      <c r="AA21" s="21"/>
      <c r="AB21" s="8">
        <f t="shared" si="4"/>
        <v>0.99988719684151162</v>
      </c>
      <c r="AC21" s="9">
        <f t="shared" si="5"/>
        <v>0.79166666666666663</v>
      </c>
      <c r="AD21" s="10">
        <f t="shared" si="6"/>
        <v>0.79157736416619662</v>
      </c>
      <c r="AE21" s="39">
        <f t="shared" si="7"/>
        <v>0.50371423530967818</v>
      </c>
      <c r="AF21" s="94">
        <f t="shared" si="8"/>
        <v>15</v>
      </c>
    </row>
    <row r="22" spans="1:36" ht="31.5" customHeight="1" thickBot="1">
      <c r="A22" s="465" t="s">
        <v>34</v>
      </c>
      <c r="B22" s="466"/>
      <c r="C22" s="466"/>
      <c r="D22" s="466"/>
      <c r="E22" s="466"/>
      <c r="F22" s="466"/>
      <c r="G22" s="466"/>
      <c r="H22" s="467"/>
      <c r="I22" s="25">
        <f t="shared" ref="I22:N22" si="10">SUM(I6:I21)</f>
        <v>629000</v>
      </c>
      <c r="J22" s="22">
        <f t="shared" si="10"/>
        <v>92310</v>
      </c>
      <c r="K22" s="23">
        <f t="shared" si="10"/>
        <v>211535</v>
      </c>
      <c r="L22" s="24">
        <f t="shared" si="10"/>
        <v>68216</v>
      </c>
      <c r="M22" s="23">
        <f t="shared" si="10"/>
        <v>68216</v>
      </c>
      <c r="N22" s="24">
        <f t="shared" si="10"/>
        <v>0</v>
      </c>
      <c r="O22" s="44">
        <f t="shared" si="1"/>
        <v>0</v>
      </c>
      <c r="P22" s="45">
        <f t="shared" ref="P22:AA22" si="11">SUM(P6:P21)</f>
        <v>190</v>
      </c>
      <c r="Q22" s="46">
        <f t="shared" si="11"/>
        <v>194</v>
      </c>
      <c r="R22" s="26">
        <f t="shared" si="11"/>
        <v>48</v>
      </c>
      <c r="S22" s="27">
        <f t="shared" si="11"/>
        <v>47</v>
      </c>
      <c r="T22" s="27">
        <f t="shared" si="11"/>
        <v>27</v>
      </c>
      <c r="U22" s="27">
        <f t="shared" si="11"/>
        <v>0</v>
      </c>
      <c r="V22" s="28">
        <f t="shared" si="11"/>
        <v>24</v>
      </c>
      <c r="W22" s="29">
        <f t="shared" si="11"/>
        <v>48</v>
      </c>
      <c r="X22" s="30">
        <f t="shared" si="11"/>
        <v>0</v>
      </c>
      <c r="Y22" s="30">
        <f t="shared" si="11"/>
        <v>0</v>
      </c>
      <c r="Z22" s="30">
        <f t="shared" si="11"/>
        <v>0</v>
      </c>
      <c r="AA22" s="30">
        <f t="shared" si="11"/>
        <v>0</v>
      </c>
      <c r="AB22" s="31">
        <f>SUM(AB6:AB21)/15</f>
        <v>0.63908154573362463</v>
      </c>
      <c r="AC22" s="4">
        <f>SUM(AC6:AC21)/15</f>
        <v>0.52777777777777779</v>
      </c>
      <c r="AD22" s="4">
        <f>SUM(AD6:AD21)/15</f>
        <v>0.50371423530967818</v>
      </c>
      <c r="AE22" s="32"/>
    </row>
    <row r="24" spans="1:36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6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6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6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6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6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6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68" t="s">
        <v>45</v>
      </c>
      <c r="B49" s="468"/>
      <c r="C49" s="468"/>
      <c r="D49" s="468"/>
      <c r="E49" s="468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69" t="s">
        <v>251</v>
      </c>
      <c r="B50" s="470"/>
      <c r="C50" s="470"/>
      <c r="D50" s="470"/>
      <c r="E50" s="470"/>
      <c r="F50" s="470"/>
      <c r="G50" s="470"/>
      <c r="H50" s="470"/>
      <c r="I50" s="470"/>
      <c r="J50" s="470"/>
      <c r="K50" s="470"/>
      <c r="L50" s="470"/>
      <c r="M50" s="471"/>
      <c r="N50" s="472" t="s">
        <v>266</v>
      </c>
      <c r="O50" s="473"/>
      <c r="P50" s="473"/>
      <c r="Q50" s="473"/>
      <c r="R50" s="473"/>
      <c r="S50" s="473"/>
      <c r="T50" s="473"/>
      <c r="U50" s="473"/>
      <c r="V50" s="473"/>
      <c r="W50" s="473"/>
      <c r="X50" s="473"/>
      <c r="Y50" s="473"/>
      <c r="Z50" s="473"/>
      <c r="AA50" s="473"/>
      <c r="AB50" s="473"/>
      <c r="AC50" s="473"/>
      <c r="AD50" s="474"/>
    </row>
    <row r="51" spans="1:32" ht="27" customHeight="1">
      <c r="A51" s="475" t="s">
        <v>2</v>
      </c>
      <c r="B51" s="476"/>
      <c r="C51" s="139" t="s">
        <v>46</v>
      </c>
      <c r="D51" s="139" t="s">
        <v>47</v>
      </c>
      <c r="E51" s="139" t="s">
        <v>109</v>
      </c>
      <c r="F51" s="476" t="s">
        <v>108</v>
      </c>
      <c r="G51" s="476"/>
      <c r="H51" s="476"/>
      <c r="I51" s="476"/>
      <c r="J51" s="476"/>
      <c r="K51" s="476"/>
      <c r="L51" s="476"/>
      <c r="M51" s="477"/>
      <c r="N51" s="73" t="s">
        <v>113</v>
      </c>
      <c r="O51" s="139" t="s">
        <v>46</v>
      </c>
      <c r="P51" s="478" t="s">
        <v>47</v>
      </c>
      <c r="Q51" s="479"/>
      <c r="R51" s="478" t="s">
        <v>38</v>
      </c>
      <c r="S51" s="480"/>
      <c r="T51" s="480"/>
      <c r="U51" s="479"/>
      <c r="V51" s="478" t="s">
        <v>48</v>
      </c>
      <c r="W51" s="480"/>
      <c r="X51" s="480"/>
      <c r="Y51" s="480"/>
      <c r="Z51" s="480"/>
      <c r="AA51" s="480"/>
      <c r="AB51" s="480"/>
      <c r="AC51" s="480"/>
      <c r="AD51" s="481"/>
    </row>
    <row r="52" spans="1:32" ht="27" customHeight="1">
      <c r="A52" s="492" t="s">
        <v>205</v>
      </c>
      <c r="B52" s="493"/>
      <c r="C52" s="140" t="s">
        <v>252</v>
      </c>
      <c r="D52" s="141" t="s">
        <v>57</v>
      </c>
      <c r="E52" s="140" t="s">
        <v>249</v>
      </c>
      <c r="F52" s="494" t="s">
        <v>253</v>
      </c>
      <c r="G52" s="494"/>
      <c r="H52" s="494"/>
      <c r="I52" s="494"/>
      <c r="J52" s="494"/>
      <c r="K52" s="494"/>
      <c r="L52" s="494"/>
      <c r="M52" s="495"/>
      <c r="N52" s="145" t="s">
        <v>118</v>
      </c>
      <c r="O52" s="74" t="s">
        <v>267</v>
      </c>
      <c r="P52" s="496" t="s">
        <v>196</v>
      </c>
      <c r="Q52" s="497"/>
      <c r="R52" s="498" t="s">
        <v>268</v>
      </c>
      <c r="S52" s="498"/>
      <c r="T52" s="498"/>
      <c r="U52" s="498"/>
      <c r="V52" s="494" t="s">
        <v>269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254</v>
      </c>
      <c r="B53" s="493"/>
      <c r="C53" s="140" t="s">
        <v>229</v>
      </c>
      <c r="D53" s="141" t="s">
        <v>57</v>
      </c>
      <c r="E53" s="140" t="s">
        <v>247</v>
      </c>
      <c r="F53" s="494" t="s">
        <v>171</v>
      </c>
      <c r="G53" s="494"/>
      <c r="H53" s="494"/>
      <c r="I53" s="494"/>
      <c r="J53" s="494"/>
      <c r="K53" s="494"/>
      <c r="L53" s="494"/>
      <c r="M53" s="495"/>
      <c r="N53" s="145" t="s">
        <v>117</v>
      </c>
      <c r="O53" s="74" t="s">
        <v>143</v>
      </c>
      <c r="P53" s="496" t="s">
        <v>57</v>
      </c>
      <c r="Q53" s="497"/>
      <c r="R53" s="498" t="s">
        <v>162</v>
      </c>
      <c r="S53" s="498"/>
      <c r="T53" s="498"/>
      <c r="U53" s="498"/>
      <c r="V53" s="494" t="s">
        <v>144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173</v>
      </c>
      <c r="B54" s="493"/>
      <c r="C54" s="140" t="s">
        <v>174</v>
      </c>
      <c r="D54" s="141" t="s">
        <v>175</v>
      </c>
      <c r="E54" s="140" t="s">
        <v>158</v>
      </c>
      <c r="F54" s="494" t="s">
        <v>255</v>
      </c>
      <c r="G54" s="494"/>
      <c r="H54" s="494"/>
      <c r="I54" s="494"/>
      <c r="J54" s="494"/>
      <c r="K54" s="494"/>
      <c r="L54" s="494"/>
      <c r="M54" s="495"/>
      <c r="N54" s="145" t="s">
        <v>118</v>
      </c>
      <c r="O54" s="74" t="s">
        <v>229</v>
      </c>
      <c r="P54" s="496" t="s">
        <v>270</v>
      </c>
      <c r="Q54" s="497"/>
      <c r="R54" s="498" t="s">
        <v>139</v>
      </c>
      <c r="S54" s="498"/>
      <c r="T54" s="498"/>
      <c r="U54" s="498"/>
      <c r="V54" s="494" t="s">
        <v>237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173</v>
      </c>
      <c r="B55" s="493"/>
      <c r="C55" s="140" t="s">
        <v>235</v>
      </c>
      <c r="D55" s="141" t="s">
        <v>57</v>
      </c>
      <c r="E55" s="140" t="s">
        <v>256</v>
      </c>
      <c r="F55" s="494" t="s">
        <v>257</v>
      </c>
      <c r="G55" s="494"/>
      <c r="H55" s="494"/>
      <c r="I55" s="494"/>
      <c r="J55" s="494"/>
      <c r="K55" s="494"/>
      <c r="L55" s="494"/>
      <c r="M55" s="495"/>
      <c r="N55" s="145" t="s">
        <v>272</v>
      </c>
      <c r="O55" s="74" t="s">
        <v>273</v>
      </c>
      <c r="P55" s="496" t="s">
        <v>260</v>
      </c>
      <c r="Q55" s="497"/>
      <c r="R55" s="498" t="s">
        <v>271</v>
      </c>
      <c r="S55" s="498"/>
      <c r="T55" s="498"/>
      <c r="U55" s="498"/>
      <c r="V55" s="494" t="s">
        <v>274</v>
      </c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258</v>
      </c>
      <c r="B56" s="493"/>
      <c r="C56" s="140" t="s">
        <v>259</v>
      </c>
      <c r="D56" s="141" t="s">
        <v>260</v>
      </c>
      <c r="E56" s="140" t="s">
        <v>261</v>
      </c>
      <c r="F56" s="494" t="s">
        <v>237</v>
      </c>
      <c r="G56" s="494"/>
      <c r="H56" s="494"/>
      <c r="I56" s="494"/>
      <c r="J56" s="494"/>
      <c r="K56" s="494"/>
      <c r="L56" s="494"/>
      <c r="M56" s="495"/>
      <c r="N56" s="145"/>
      <c r="O56" s="74"/>
      <c r="P56" s="496"/>
      <c r="Q56" s="497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 t="s">
        <v>262</v>
      </c>
      <c r="B57" s="493"/>
      <c r="C57" s="140" t="s">
        <v>263</v>
      </c>
      <c r="D57" s="141"/>
      <c r="E57" s="140" t="s">
        <v>264</v>
      </c>
      <c r="F57" s="494" t="s">
        <v>265</v>
      </c>
      <c r="G57" s="494"/>
      <c r="H57" s="494"/>
      <c r="I57" s="494"/>
      <c r="J57" s="494"/>
      <c r="K57" s="494"/>
      <c r="L57" s="494"/>
      <c r="M57" s="495"/>
      <c r="N57" s="145"/>
      <c r="O57" s="74"/>
      <c r="P57" s="498"/>
      <c r="Q57" s="498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/>
      <c r="B58" s="493"/>
      <c r="C58" s="140"/>
      <c r="D58" s="141"/>
      <c r="E58" s="140"/>
      <c r="F58" s="494"/>
      <c r="G58" s="494"/>
      <c r="H58" s="494"/>
      <c r="I58" s="494"/>
      <c r="J58" s="494"/>
      <c r="K58" s="494"/>
      <c r="L58" s="494"/>
      <c r="M58" s="495"/>
      <c r="N58" s="145"/>
      <c r="O58" s="74"/>
      <c r="P58" s="496"/>
      <c r="Q58" s="497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492"/>
      <c r="B59" s="493"/>
      <c r="C59" s="140"/>
      <c r="D59" s="141"/>
      <c r="E59" s="140"/>
      <c r="F59" s="494"/>
      <c r="G59" s="494"/>
      <c r="H59" s="494"/>
      <c r="I59" s="494"/>
      <c r="J59" s="494"/>
      <c r="K59" s="494"/>
      <c r="L59" s="494"/>
      <c r="M59" s="495"/>
      <c r="N59" s="145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</row>
    <row r="60" spans="1:32" ht="27" customHeight="1">
      <c r="A60" s="508"/>
      <c r="B60" s="498"/>
      <c r="C60" s="141"/>
      <c r="D60" s="141"/>
      <c r="E60" s="141"/>
      <c r="F60" s="494"/>
      <c r="G60" s="494"/>
      <c r="H60" s="494"/>
      <c r="I60" s="494"/>
      <c r="J60" s="494"/>
      <c r="K60" s="494"/>
      <c r="L60" s="494"/>
      <c r="M60" s="495"/>
      <c r="N60" s="145"/>
      <c r="O60" s="74"/>
      <c r="P60" s="498"/>
      <c r="Q60" s="498"/>
      <c r="R60" s="498"/>
      <c r="S60" s="498"/>
      <c r="T60" s="498"/>
      <c r="U60" s="498"/>
      <c r="V60" s="494"/>
      <c r="W60" s="494"/>
      <c r="X60" s="494"/>
      <c r="Y60" s="494"/>
      <c r="Z60" s="494"/>
      <c r="AA60" s="494"/>
      <c r="AB60" s="494"/>
      <c r="AC60" s="494"/>
      <c r="AD60" s="495"/>
      <c r="AF60" s="94">
        <f>8*3000</f>
        <v>24000</v>
      </c>
    </row>
    <row r="61" spans="1:32" ht="27" customHeight="1" thickBot="1">
      <c r="A61" s="499"/>
      <c r="B61" s="500"/>
      <c r="C61" s="143"/>
      <c r="D61" s="143"/>
      <c r="E61" s="143"/>
      <c r="F61" s="501"/>
      <c r="G61" s="501"/>
      <c r="H61" s="501"/>
      <c r="I61" s="501"/>
      <c r="J61" s="501"/>
      <c r="K61" s="501"/>
      <c r="L61" s="501"/>
      <c r="M61" s="502"/>
      <c r="N61" s="142"/>
      <c r="O61" s="121"/>
      <c r="P61" s="500"/>
      <c r="Q61" s="500"/>
      <c r="R61" s="500"/>
      <c r="S61" s="500"/>
      <c r="T61" s="500"/>
      <c r="U61" s="500"/>
      <c r="V61" s="501"/>
      <c r="W61" s="501"/>
      <c r="X61" s="501"/>
      <c r="Y61" s="501"/>
      <c r="Z61" s="501"/>
      <c r="AA61" s="501"/>
      <c r="AB61" s="501"/>
      <c r="AC61" s="501"/>
      <c r="AD61" s="502"/>
      <c r="AF61" s="94">
        <f>16*3000</f>
        <v>48000</v>
      </c>
    </row>
    <row r="62" spans="1:32" ht="27.75" thickBot="1">
      <c r="A62" s="503" t="s">
        <v>275</v>
      </c>
      <c r="B62" s="503"/>
      <c r="C62" s="503"/>
      <c r="D62" s="503"/>
      <c r="E62" s="503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504" t="s">
        <v>114</v>
      </c>
      <c r="B63" s="505"/>
      <c r="C63" s="144" t="s">
        <v>2</v>
      </c>
      <c r="D63" s="144" t="s">
        <v>37</v>
      </c>
      <c r="E63" s="144" t="s">
        <v>3</v>
      </c>
      <c r="F63" s="505" t="s">
        <v>111</v>
      </c>
      <c r="G63" s="505"/>
      <c r="H63" s="505"/>
      <c r="I63" s="505"/>
      <c r="J63" s="505"/>
      <c r="K63" s="505" t="s">
        <v>39</v>
      </c>
      <c r="L63" s="505"/>
      <c r="M63" s="144" t="s">
        <v>40</v>
      </c>
      <c r="N63" s="505" t="s">
        <v>41</v>
      </c>
      <c r="O63" s="505"/>
      <c r="P63" s="506" t="s">
        <v>42</v>
      </c>
      <c r="Q63" s="507"/>
      <c r="R63" s="506" t="s">
        <v>43</v>
      </c>
      <c r="S63" s="509"/>
      <c r="T63" s="509"/>
      <c r="U63" s="509"/>
      <c r="V63" s="509"/>
      <c r="W63" s="509"/>
      <c r="X63" s="509"/>
      <c r="Y63" s="509"/>
      <c r="Z63" s="509"/>
      <c r="AA63" s="507"/>
      <c r="AB63" s="505" t="s">
        <v>44</v>
      </c>
      <c r="AC63" s="505"/>
      <c r="AD63" s="510"/>
      <c r="AF63" s="94">
        <f>SUM(AF60:AF62)</f>
        <v>96000</v>
      </c>
    </row>
    <row r="64" spans="1:32" ht="25.5" customHeight="1">
      <c r="A64" s="511">
        <v>1</v>
      </c>
      <c r="B64" s="512"/>
      <c r="C64" s="124" t="s">
        <v>276</v>
      </c>
      <c r="D64" s="148"/>
      <c r="E64" s="146" t="s">
        <v>57</v>
      </c>
      <c r="F64" s="513" t="s">
        <v>277</v>
      </c>
      <c r="G64" s="514"/>
      <c r="H64" s="514"/>
      <c r="I64" s="514"/>
      <c r="J64" s="514"/>
      <c r="K64" s="514" t="s">
        <v>278</v>
      </c>
      <c r="L64" s="514"/>
      <c r="M64" s="54" t="s">
        <v>161</v>
      </c>
      <c r="N64" s="514">
        <v>8</v>
      </c>
      <c r="O64" s="514"/>
      <c r="P64" s="515">
        <v>50</v>
      </c>
      <c r="Q64" s="515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2</v>
      </c>
      <c r="B65" s="512"/>
      <c r="C65" s="124" t="s">
        <v>279</v>
      </c>
      <c r="D65" s="148"/>
      <c r="E65" s="146" t="s">
        <v>280</v>
      </c>
      <c r="F65" s="513"/>
      <c r="G65" s="514"/>
      <c r="H65" s="514"/>
      <c r="I65" s="514"/>
      <c r="J65" s="514"/>
      <c r="K65" s="514" t="s">
        <v>281</v>
      </c>
      <c r="L65" s="514"/>
      <c r="M65" s="54" t="s">
        <v>161</v>
      </c>
      <c r="N65" s="514">
        <v>8</v>
      </c>
      <c r="O65" s="514"/>
      <c r="P65" s="515">
        <v>50</v>
      </c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3</v>
      </c>
      <c r="B66" s="512"/>
      <c r="C66" s="124" t="s">
        <v>118</v>
      </c>
      <c r="D66" s="148"/>
      <c r="E66" s="146" t="s">
        <v>246</v>
      </c>
      <c r="F66" s="513" t="s">
        <v>282</v>
      </c>
      <c r="G66" s="514"/>
      <c r="H66" s="514"/>
      <c r="I66" s="514"/>
      <c r="J66" s="514"/>
      <c r="K66" s="514" t="s">
        <v>283</v>
      </c>
      <c r="L66" s="514"/>
      <c r="M66" s="54" t="s">
        <v>284</v>
      </c>
      <c r="N66" s="514">
        <v>8</v>
      </c>
      <c r="O66" s="514"/>
      <c r="P66" s="515">
        <v>50</v>
      </c>
      <c r="Q66" s="515"/>
      <c r="R66" s="494" t="s">
        <v>285</v>
      </c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4</v>
      </c>
      <c r="B67" s="512"/>
      <c r="C67" s="124"/>
      <c r="D67" s="148"/>
      <c r="E67" s="146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5</v>
      </c>
      <c r="B68" s="512"/>
      <c r="C68" s="124"/>
      <c r="D68" s="148"/>
      <c r="E68" s="146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6</v>
      </c>
      <c r="B69" s="512"/>
      <c r="C69" s="124"/>
      <c r="D69" s="148"/>
      <c r="E69" s="146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7</v>
      </c>
      <c r="B70" s="512"/>
      <c r="C70" s="124"/>
      <c r="D70" s="148"/>
      <c r="E70" s="146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5.5" customHeight="1">
      <c r="A71" s="511">
        <v>8</v>
      </c>
      <c r="B71" s="512"/>
      <c r="C71" s="124"/>
      <c r="D71" s="148"/>
      <c r="E71" s="146"/>
      <c r="F71" s="513"/>
      <c r="G71" s="514"/>
      <c r="H71" s="514"/>
      <c r="I71" s="514"/>
      <c r="J71" s="514"/>
      <c r="K71" s="514"/>
      <c r="L71" s="514"/>
      <c r="M71" s="54"/>
      <c r="N71" s="514"/>
      <c r="O71" s="514"/>
      <c r="P71" s="515"/>
      <c r="Q71" s="515"/>
      <c r="R71" s="494"/>
      <c r="S71" s="494"/>
      <c r="T71" s="494"/>
      <c r="U71" s="494"/>
      <c r="V71" s="494"/>
      <c r="W71" s="494"/>
      <c r="X71" s="494"/>
      <c r="Y71" s="494"/>
      <c r="Z71" s="494"/>
      <c r="AA71" s="494"/>
      <c r="AB71" s="514"/>
      <c r="AC71" s="514"/>
      <c r="AD71" s="516"/>
      <c r="AF71" s="53"/>
    </row>
    <row r="72" spans="1:32" ht="26.25" customHeight="1" thickBot="1">
      <c r="A72" s="517" t="s">
        <v>286</v>
      </c>
      <c r="B72" s="517"/>
      <c r="C72" s="517"/>
      <c r="D72" s="517"/>
      <c r="E72" s="517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518" t="s">
        <v>114</v>
      </c>
      <c r="B73" s="519"/>
      <c r="C73" s="147" t="s">
        <v>2</v>
      </c>
      <c r="D73" s="147" t="s">
        <v>37</v>
      </c>
      <c r="E73" s="147" t="s">
        <v>3</v>
      </c>
      <c r="F73" s="519" t="s">
        <v>38</v>
      </c>
      <c r="G73" s="519"/>
      <c r="H73" s="519"/>
      <c r="I73" s="519"/>
      <c r="J73" s="519"/>
      <c r="K73" s="520" t="s">
        <v>59</v>
      </c>
      <c r="L73" s="521"/>
      <c r="M73" s="521"/>
      <c r="N73" s="521"/>
      <c r="O73" s="521"/>
      <c r="P73" s="521"/>
      <c r="Q73" s="521"/>
      <c r="R73" s="521"/>
      <c r="S73" s="522"/>
      <c r="T73" s="519" t="s">
        <v>49</v>
      </c>
      <c r="U73" s="519"/>
      <c r="V73" s="520" t="s">
        <v>50</v>
      </c>
      <c r="W73" s="522"/>
      <c r="X73" s="521" t="s">
        <v>51</v>
      </c>
      <c r="Y73" s="521"/>
      <c r="Z73" s="521"/>
      <c r="AA73" s="521"/>
      <c r="AB73" s="521"/>
      <c r="AC73" s="521"/>
      <c r="AD73" s="523"/>
      <c r="AF73" s="53"/>
    </row>
    <row r="74" spans="1:32" ht="33.75" customHeight="1">
      <c r="A74" s="532">
        <v>1</v>
      </c>
      <c r="B74" s="533"/>
      <c r="C74" s="149" t="s">
        <v>117</v>
      </c>
      <c r="D74" s="149"/>
      <c r="E74" s="71" t="s">
        <v>123</v>
      </c>
      <c r="F74" s="534" t="s">
        <v>124</v>
      </c>
      <c r="G74" s="535"/>
      <c r="H74" s="535"/>
      <c r="I74" s="535"/>
      <c r="J74" s="536"/>
      <c r="K74" s="537" t="s">
        <v>119</v>
      </c>
      <c r="L74" s="538"/>
      <c r="M74" s="538"/>
      <c r="N74" s="538"/>
      <c r="O74" s="538"/>
      <c r="P74" s="538"/>
      <c r="Q74" s="538"/>
      <c r="R74" s="538"/>
      <c r="S74" s="539"/>
      <c r="T74" s="540">
        <v>42901</v>
      </c>
      <c r="U74" s="541"/>
      <c r="V74" s="542"/>
      <c r="W74" s="542"/>
      <c r="X74" s="543"/>
      <c r="Y74" s="543"/>
      <c r="Z74" s="543"/>
      <c r="AA74" s="543"/>
      <c r="AB74" s="543"/>
      <c r="AC74" s="543"/>
      <c r="AD74" s="544"/>
      <c r="AF74" s="53"/>
    </row>
    <row r="75" spans="1:32" ht="30" customHeight="1">
      <c r="A75" s="524">
        <f>A74+1</f>
        <v>2</v>
      </c>
      <c r="B75" s="525"/>
      <c r="C75" s="148" t="s">
        <v>117</v>
      </c>
      <c r="D75" s="148"/>
      <c r="E75" s="35" t="s">
        <v>120</v>
      </c>
      <c r="F75" s="525" t="s">
        <v>121</v>
      </c>
      <c r="G75" s="525"/>
      <c r="H75" s="525"/>
      <c r="I75" s="525"/>
      <c r="J75" s="525"/>
      <c r="K75" s="526" t="s">
        <v>122</v>
      </c>
      <c r="L75" s="527"/>
      <c r="M75" s="527"/>
      <c r="N75" s="527"/>
      <c r="O75" s="527"/>
      <c r="P75" s="527"/>
      <c r="Q75" s="527"/>
      <c r="R75" s="527"/>
      <c r="S75" s="528"/>
      <c r="T75" s="529">
        <v>42867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ref="A76:A82" si="12">A75+1</f>
        <v>3</v>
      </c>
      <c r="B76" s="525"/>
      <c r="C76" s="148" t="s">
        <v>133</v>
      </c>
      <c r="D76" s="148"/>
      <c r="E76" s="35" t="s">
        <v>131</v>
      </c>
      <c r="F76" s="525" t="s">
        <v>134</v>
      </c>
      <c r="G76" s="525"/>
      <c r="H76" s="525"/>
      <c r="I76" s="525"/>
      <c r="J76" s="525"/>
      <c r="K76" s="526" t="s">
        <v>119</v>
      </c>
      <c r="L76" s="527"/>
      <c r="M76" s="527"/>
      <c r="N76" s="527"/>
      <c r="O76" s="527"/>
      <c r="P76" s="527"/>
      <c r="Q76" s="527"/>
      <c r="R76" s="527"/>
      <c r="S76" s="528"/>
      <c r="T76" s="529">
        <v>42937</v>
      </c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12"/>
        <v>4</v>
      </c>
      <c r="B77" s="525"/>
      <c r="C77" s="148" t="s">
        <v>118</v>
      </c>
      <c r="D77" s="148"/>
      <c r="E77" s="35" t="s">
        <v>129</v>
      </c>
      <c r="F77" s="525" t="s">
        <v>130</v>
      </c>
      <c r="G77" s="525"/>
      <c r="H77" s="525"/>
      <c r="I77" s="525"/>
      <c r="J77" s="525"/>
      <c r="K77" s="526" t="s">
        <v>132</v>
      </c>
      <c r="L77" s="527"/>
      <c r="M77" s="527"/>
      <c r="N77" s="527"/>
      <c r="O77" s="527"/>
      <c r="P77" s="527"/>
      <c r="Q77" s="527"/>
      <c r="R77" s="527"/>
      <c r="S77" s="528"/>
      <c r="T77" s="529">
        <v>42920</v>
      </c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12"/>
        <v>5</v>
      </c>
      <c r="B78" s="525"/>
      <c r="C78" s="148" t="s">
        <v>117</v>
      </c>
      <c r="D78" s="148"/>
      <c r="E78" s="35" t="s">
        <v>136</v>
      </c>
      <c r="F78" s="525" t="s">
        <v>156</v>
      </c>
      <c r="G78" s="525"/>
      <c r="H78" s="525"/>
      <c r="I78" s="525"/>
      <c r="J78" s="525"/>
      <c r="K78" s="526" t="s">
        <v>157</v>
      </c>
      <c r="L78" s="527"/>
      <c r="M78" s="527"/>
      <c r="N78" s="527"/>
      <c r="O78" s="527"/>
      <c r="P78" s="527"/>
      <c r="Q78" s="527"/>
      <c r="R78" s="527"/>
      <c r="S78" s="528"/>
      <c r="T78" s="529">
        <v>43033</v>
      </c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12"/>
        <v>6</v>
      </c>
      <c r="B79" s="525"/>
      <c r="C79" s="148"/>
      <c r="D79" s="148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12"/>
        <v>7</v>
      </c>
      <c r="B80" s="525"/>
      <c r="C80" s="148"/>
      <c r="D80" s="148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12"/>
        <v>8</v>
      </c>
      <c r="B81" s="525"/>
      <c r="C81" s="148"/>
      <c r="D81" s="148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0" customHeight="1">
      <c r="A82" s="524">
        <f t="shared" si="12"/>
        <v>9</v>
      </c>
      <c r="B82" s="525"/>
      <c r="C82" s="148"/>
      <c r="D82" s="148"/>
      <c r="E82" s="35"/>
      <c r="F82" s="525"/>
      <c r="G82" s="525"/>
      <c r="H82" s="525"/>
      <c r="I82" s="525"/>
      <c r="J82" s="525"/>
      <c r="K82" s="526"/>
      <c r="L82" s="527"/>
      <c r="M82" s="527"/>
      <c r="N82" s="527"/>
      <c r="O82" s="527"/>
      <c r="P82" s="527"/>
      <c r="Q82" s="527"/>
      <c r="R82" s="527"/>
      <c r="S82" s="528"/>
      <c r="T82" s="529"/>
      <c r="U82" s="529"/>
      <c r="V82" s="529"/>
      <c r="W82" s="529"/>
      <c r="X82" s="530"/>
      <c r="Y82" s="530"/>
      <c r="Z82" s="530"/>
      <c r="AA82" s="530"/>
      <c r="AB82" s="530"/>
      <c r="AC82" s="530"/>
      <c r="AD82" s="531"/>
      <c r="AF82" s="53"/>
    </row>
    <row r="83" spans="1:32" ht="36" thickBot="1">
      <c r="A83" s="517" t="s">
        <v>287</v>
      </c>
      <c r="B83" s="517"/>
      <c r="C83" s="517"/>
      <c r="D83" s="517"/>
      <c r="E83" s="517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518" t="s">
        <v>114</v>
      </c>
      <c r="B84" s="519"/>
      <c r="C84" s="545" t="s">
        <v>52</v>
      </c>
      <c r="D84" s="545"/>
      <c r="E84" s="545" t="s">
        <v>53</v>
      </c>
      <c r="F84" s="545"/>
      <c r="G84" s="545"/>
      <c r="H84" s="545"/>
      <c r="I84" s="545"/>
      <c r="J84" s="545"/>
      <c r="K84" s="545" t="s">
        <v>54</v>
      </c>
      <c r="L84" s="545"/>
      <c r="M84" s="545"/>
      <c r="N84" s="545"/>
      <c r="O84" s="545"/>
      <c r="P84" s="545"/>
      <c r="Q84" s="545"/>
      <c r="R84" s="545"/>
      <c r="S84" s="545"/>
      <c r="T84" s="545" t="s">
        <v>55</v>
      </c>
      <c r="U84" s="545"/>
      <c r="V84" s="545" t="s">
        <v>56</v>
      </c>
      <c r="W84" s="545"/>
      <c r="X84" s="545"/>
      <c r="Y84" s="545" t="s">
        <v>51</v>
      </c>
      <c r="Z84" s="545"/>
      <c r="AA84" s="545"/>
      <c r="AB84" s="545"/>
      <c r="AC84" s="545"/>
      <c r="AD84" s="546"/>
      <c r="AF84" s="53"/>
    </row>
    <row r="85" spans="1:32" ht="30.75" customHeight="1">
      <c r="A85" s="532">
        <v>1</v>
      </c>
      <c r="B85" s="533"/>
      <c r="C85" s="547">
        <v>1</v>
      </c>
      <c r="D85" s="547"/>
      <c r="E85" s="547" t="s">
        <v>125</v>
      </c>
      <c r="F85" s="547"/>
      <c r="G85" s="547"/>
      <c r="H85" s="547"/>
      <c r="I85" s="547"/>
      <c r="J85" s="547"/>
      <c r="K85" s="547" t="s">
        <v>126</v>
      </c>
      <c r="L85" s="547"/>
      <c r="M85" s="547"/>
      <c r="N85" s="547"/>
      <c r="O85" s="547"/>
      <c r="P85" s="547"/>
      <c r="Q85" s="547"/>
      <c r="R85" s="547"/>
      <c r="S85" s="547"/>
      <c r="T85" s="547" t="s">
        <v>127</v>
      </c>
      <c r="U85" s="547"/>
      <c r="V85" s="548">
        <v>1500000</v>
      </c>
      <c r="W85" s="548"/>
      <c r="X85" s="548"/>
      <c r="Y85" s="549" t="s">
        <v>128</v>
      </c>
      <c r="Z85" s="549"/>
      <c r="AA85" s="549"/>
      <c r="AB85" s="549"/>
      <c r="AC85" s="549"/>
      <c r="AD85" s="550"/>
      <c r="AF85" s="53"/>
    </row>
    <row r="86" spans="1:32" ht="30.75" customHeight="1">
      <c r="A86" s="524">
        <v>2</v>
      </c>
      <c r="B86" s="525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9"/>
      <c r="U86" s="559"/>
      <c r="V86" s="560"/>
      <c r="W86" s="560"/>
      <c r="X86" s="560"/>
      <c r="Y86" s="551"/>
      <c r="Z86" s="551"/>
      <c r="AA86" s="551"/>
      <c r="AB86" s="551"/>
      <c r="AC86" s="551"/>
      <c r="AD86" s="552"/>
      <c r="AF86" s="53"/>
    </row>
    <row r="87" spans="1:32" ht="30.75" customHeight="1" thickBot="1">
      <c r="A87" s="553">
        <v>3</v>
      </c>
      <c r="B87" s="554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555"/>
      <c r="Q87" s="555"/>
      <c r="R87" s="555"/>
      <c r="S87" s="555"/>
      <c r="T87" s="555"/>
      <c r="U87" s="555"/>
      <c r="V87" s="555"/>
      <c r="W87" s="555"/>
      <c r="X87" s="555"/>
      <c r="Y87" s="556"/>
      <c r="Z87" s="556"/>
      <c r="AA87" s="556"/>
      <c r="AB87" s="556"/>
      <c r="AC87" s="556"/>
      <c r="AD87" s="557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8"/>
  <sheetViews>
    <sheetView zoomScale="72" zoomScaleNormal="72" zoomScaleSheetLayoutView="70" workbookViewId="0">
      <selection activeCell="AE8" sqref="AE8:AE16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51" t="s">
        <v>288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2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150" t="s">
        <v>17</v>
      </c>
      <c r="L5" s="150" t="s">
        <v>18</v>
      </c>
      <c r="M5" s="150" t="s">
        <v>19</v>
      </c>
      <c r="N5" s="150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2" ht="27" customHeight="1">
      <c r="A6" s="108">
        <v>1</v>
      </c>
      <c r="B6" s="11"/>
      <c r="C6" s="11"/>
      <c r="D6" s="55"/>
      <c r="E6" s="56"/>
      <c r="F6" s="12"/>
      <c r="G6" s="36"/>
      <c r="H6" s="38"/>
      <c r="I6" s="7"/>
      <c r="J6" s="14"/>
      <c r="K6" s="15">
        <f>L6</f>
        <v>0</v>
      </c>
      <c r="L6" s="15"/>
      <c r="M6" s="16">
        <f t="shared" ref="M6:M22" si="0">L6-N6</f>
        <v>0</v>
      </c>
      <c r="N6" s="16">
        <v>0</v>
      </c>
      <c r="O6" s="62" t="str">
        <f t="shared" ref="O6:O23" si="1">IF(L6=0,"0",N6/L6)</f>
        <v>0</v>
      </c>
      <c r="P6" s="42" t="str">
        <f t="shared" ref="P6:P22" si="2">IF(L6=0,"0",(24-Q6))</f>
        <v>0</v>
      </c>
      <c r="Q6" s="43">
        <f t="shared" ref="Q6:Q22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2" si="4">IF(J6=0,"0",(L6/J6))</f>
        <v>0</v>
      </c>
      <c r="AC6" s="9">
        <f t="shared" ref="AC6:AC22" si="5">IF(P6=0,"0",(P6/24))</f>
        <v>0</v>
      </c>
      <c r="AD6" s="10">
        <f t="shared" ref="AD6:AD22" si="6">AC6*AB6*(1-O6)</f>
        <v>0</v>
      </c>
      <c r="AE6" s="39">
        <f>$AD$23</f>
        <v>0.61620120413513846</v>
      </c>
      <c r="AF6" s="94">
        <f t="shared" ref="AF6:AF22" si="7">A6</f>
        <v>1</v>
      </c>
    </row>
    <row r="7" spans="1:32" ht="27" customHeight="1">
      <c r="A7" s="108">
        <v>2</v>
      </c>
      <c r="B7" s="11" t="s">
        <v>149</v>
      </c>
      <c r="C7" s="37" t="s">
        <v>177</v>
      </c>
      <c r="D7" s="55" t="s">
        <v>190</v>
      </c>
      <c r="E7" s="57" t="s">
        <v>191</v>
      </c>
      <c r="F7" s="33" t="s">
        <v>192</v>
      </c>
      <c r="G7" s="12">
        <v>1</v>
      </c>
      <c r="H7" s="13">
        <v>25</v>
      </c>
      <c r="I7" s="34">
        <v>3000</v>
      </c>
      <c r="J7" s="5">
        <v>1320</v>
      </c>
      <c r="K7" s="15">
        <f>L7+1319</f>
        <v>1319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>
        <v>24</v>
      </c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>$AD$23</f>
        <v>0.61620120413513846</v>
      </c>
      <c r="AF7" s="94">
        <f t="shared" si="7"/>
        <v>2</v>
      </c>
    </row>
    <row r="8" spans="1:32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65000</v>
      </c>
      <c r="J8" s="14">
        <v>5390</v>
      </c>
      <c r="K8" s="15">
        <f>L8+452+3795+3955+5414</f>
        <v>18999</v>
      </c>
      <c r="L8" s="15">
        <f>2735+2648</f>
        <v>5383</v>
      </c>
      <c r="M8" s="16">
        <f t="shared" si="0"/>
        <v>5383</v>
      </c>
      <c r="N8" s="16">
        <v>0</v>
      </c>
      <c r="O8" s="62">
        <f t="shared" si="1"/>
        <v>0</v>
      </c>
      <c r="P8" s="42">
        <f t="shared" si="2"/>
        <v>23</v>
      </c>
      <c r="Q8" s="43">
        <f t="shared" si="3"/>
        <v>1</v>
      </c>
      <c r="R8" s="7"/>
      <c r="S8" s="6">
        <v>1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0.99870129870129876</v>
      </c>
      <c r="AC8" s="9">
        <f t="shared" si="5"/>
        <v>0.95833333333333337</v>
      </c>
      <c r="AD8" s="10">
        <f t="shared" si="6"/>
        <v>0.95708874458874471</v>
      </c>
      <c r="AE8" s="39">
        <f>$AD$23</f>
        <v>0.61620120413513846</v>
      </c>
      <c r="AF8" s="94">
        <f>A8</f>
        <v>3</v>
      </c>
    </row>
    <row r="9" spans="1:32" ht="27" customHeight="1">
      <c r="A9" s="110">
        <v>4</v>
      </c>
      <c r="B9" s="11" t="s">
        <v>58</v>
      </c>
      <c r="C9" s="37" t="s">
        <v>117</v>
      </c>
      <c r="D9" s="55" t="s">
        <v>246</v>
      </c>
      <c r="E9" s="57" t="s">
        <v>247</v>
      </c>
      <c r="F9" s="33" t="s">
        <v>248</v>
      </c>
      <c r="G9" s="36">
        <v>1</v>
      </c>
      <c r="H9" s="38">
        <v>25</v>
      </c>
      <c r="I9" s="7">
        <v>3000</v>
      </c>
      <c r="J9" s="5">
        <v>2240</v>
      </c>
      <c r="K9" s="15">
        <f>L9+3698</f>
        <v>5938</v>
      </c>
      <c r="L9" s="15">
        <v>2240</v>
      </c>
      <c r="M9" s="16">
        <f t="shared" si="0"/>
        <v>2240</v>
      </c>
      <c r="N9" s="16">
        <v>0</v>
      </c>
      <c r="O9" s="62">
        <f t="shared" si="1"/>
        <v>0</v>
      </c>
      <c r="P9" s="42">
        <f t="shared" si="2"/>
        <v>11</v>
      </c>
      <c r="Q9" s="43">
        <f t="shared" si="3"/>
        <v>13</v>
      </c>
      <c r="R9" s="7"/>
      <c r="S9" s="6"/>
      <c r="T9" s="17"/>
      <c r="U9" s="17"/>
      <c r="V9" s="18"/>
      <c r="W9" s="19">
        <v>13</v>
      </c>
      <c r="X9" s="17"/>
      <c r="Y9" s="20"/>
      <c r="Z9" s="20"/>
      <c r="AA9" s="21"/>
      <c r="AB9" s="8">
        <f t="shared" si="4"/>
        <v>1</v>
      </c>
      <c r="AC9" s="9">
        <f t="shared" si="5"/>
        <v>0.45833333333333331</v>
      </c>
      <c r="AD9" s="10">
        <f t="shared" si="6"/>
        <v>0.45833333333333331</v>
      </c>
      <c r="AE9" s="39">
        <f t="shared" ref="AE9:AE16" si="8">$AD$23</f>
        <v>0.61620120413513846</v>
      </c>
      <c r="AF9" s="94">
        <f t="shared" ref="AF9:AF10" si="9">A9</f>
        <v>4</v>
      </c>
    </row>
    <row r="10" spans="1:32" ht="27" customHeight="1">
      <c r="A10" s="110">
        <v>4</v>
      </c>
      <c r="B10" s="11" t="s">
        <v>58</v>
      </c>
      <c r="C10" s="37" t="s">
        <v>137</v>
      </c>
      <c r="D10" s="55" t="s">
        <v>138</v>
      </c>
      <c r="E10" s="57" t="s">
        <v>139</v>
      </c>
      <c r="F10" s="33" t="s">
        <v>146</v>
      </c>
      <c r="G10" s="36">
        <v>1</v>
      </c>
      <c r="H10" s="38">
        <v>25</v>
      </c>
      <c r="I10" s="7">
        <v>45000</v>
      </c>
      <c r="J10" s="5">
        <v>2120</v>
      </c>
      <c r="K10" s="15">
        <f>L10+2660+5083+4690</f>
        <v>14546</v>
      </c>
      <c r="L10" s="15">
        <v>2113</v>
      </c>
      <c r="M10" s="16">
        <f t="shared" si="0"/>
        <v>2113</v>
      </c>
      <c r="N10" s="16">
        <v>0</v>
      </c>
      <c r="O10" s="62">
        <f t="shared" si="1"/>
        <v>0</v>
      </c>
      <c r="P10" s="42">
        <f t="shared" si="2"/>
        <v>11</v>
      </c>
      <c r="Q10" s="43">
        <f t="shared" si="3"/>
        <v>13</v>
      </c>
      <c r="R10" s="7"/>
      <c r="S10" s="6">
        <v>13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0.9966981132075472</v>
      </c>
      <c r="AC10" s="9">
        <f t="shared" si="5"/>
        <v>0.45833333333333331</v>
      </c>
      <c r="AD10" s="10">
        <f t="shared" si="6"/>
        <v>0.45681996855345913</v>
      </c>
      <c r="AE10" s="39">
        <f t="shared" si="8"/>
        <v>0.61620120413513846</v>
      </c>
      <c r="AF10" s="94">
        <f t="shared" si="9"/>
        <v>4</v>
      </c>
    </row>
    <row r="11" spans="1:32" ht="27" customHeight="1">
      <c r="A11" s="110">
        <v>5</v>
      </c>
      <c r="B11" s="11" t="s">
        <v>58</v>
      </c>
      <c r="C11" s="11" t="s">
        <v>133</v>
      </c>
      <c r="D11" s="55" t="s">
        <v>131</v>
      </c>
      <c r="E11" s="56" t="s">
        <v>154</v>
      </c>
      <c r="F11" s="12" t="s">
        <v>148</v>
      </c>
      <c r="G11" s="12">
        <v>1</v>
      </c>
      <c r="H11" s="13">
        <v>25</v>
      </c>
      <c r="I11" s="34">
        <v>55000</v>
      </c>
      <c r="J11" s="14">
        <v>5700</v>
      </c>
      <c r="K11" s="15">
        <f>L11+2928+5697+2831+3697+5889+4241+5564+2325+1191+1007+5147+3591+3623+3888</f>
        <v>57314</v>
      </c>
      <c r="L11" s="15">
        <f>2908+2787</f>
        <v>5695</v>
      </c>
      <c r="M11" s="16">
        <f t="shared" si="0"/>
        <v>5695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0.99912280701754386</v>
      </c>
      <c r="AC11" s="9">
        <f t="shared" si="5"/>
        <v>1</v>
      </c>
      <c r="AD11" s="10">
        <f t="shared" si="6"/>
        <v>0.99912280701754386</v>
      </c>
      <c r="AE11" s="39">
        <f t="shared" si="8"/>
        <v>0.61620120413513846</v>
      </c>
      <c r="AF11" s="94">
        <f t="shared" si="7"/>
        <v>5</v>
      </c>
    </row>
    <row r="12" spans="1:32" ht="27" customHeight="1">
      <c r="A12" s="110">
        <v>6</v>
      </c>
      <c r="B12" s="11" t="s">
        <v>58</v>
      </c>
      <c r="C12" s="11" t="s">
        <v>163</v>
      </c>
      <c r="D12" s="55" t="s">
        <v>193</v>
      </c>
      <c r="E12" s="57" t="s">
        <v>194</v>
      </c>
      <c r="F12" s="12" t="s">
        <v>147</v>
      </c>
      <c r="G12" s="12">
        <v>1</v>
      </c>
      <c r="H12" s="13">
        <v>25</v>
      </c>
      <c r="I12" s="34">
        <v>11000</v>
      </c>
      <c r="J12" s="14">
        <v>6580</v>
      </c>
      <c r="K12" s="15">
        <f>L12+326+3623</f>
        <v>10529</v>
      </c>
      <c r="L12" s="15">
        <f>3400+3180</f>
        <v>6580</v>
      </c>
      <c r="M12" s="16">
        <f t="shared" si="0"/>
        <v>6580</v>
      </c>
      <c r="N12" s="16">
        <v>0</v>
      </c>
      <c r="O12" s="62">
        <f t="shared" si="1"/>
        <v>0</v>
      </c>
      <c r="P12" s="42">
        <f t="shared" si="2"/>
        <v>15</v>
      </c>
      <c r="Q12" s="43">
        <f t="shared" si="3"/>
        <v>9</v>
      </c>
      <c r="R12" s="7"/>
      <c r="S12" s="6"/>
      <c r="T12" s="17">
        <v>9</v>
      </c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0.625</v>
      </c>
      <c r="AD12" s="10">
        <f t="shared" si="6"/>
        <v>0.625</v>
      </c>
      <c r="AE12" s="39">
        <f t="shared" si="8"/>
        <v>0.61620120413513846</v>
      </c>
      <c r="AF12" s="94">
        <f t="shared" si="7"/>
        <v>6</v>
      </c>
    </row>
    <row r="13" spans="1:32" ht="27" customHeight="1">
      <c r="A13" s="110">
        <v>7</v>
      </c>
      <c r="B13" s="11" t="s">
        <v>58</v>
      </c>
      <c r="C13" s="11" t="s">
        <v>118</v>
      </c>
      <c r="D13" s="55" t="s">
        <v>57</v>
      </c>
      <c r="E13" s="57" t="s">
        <v>160</v>
      </c>
      <c r="F13" s="12" t="s">
        <v>145</v>
      </c>
      <c r="G13" s="12">
        <v>1</v>
      </c>
      <c r="H13" s="13">
        <v>25</v>
      </c>
      <c r="I13" s="7">
        <v>62000</v>
      </c>
      <c r="J13" s="14">
        <v>2930</v>
      </c>
      <c r="K13" s="15">
        <f>L13+3062+3955+2262+4171+4492+4201+2422</f>
        <v>27495</v>
      </c>
      <c r="L13" s="15">
        <f>2005+925</f>
        <v>2930</v>
      </c>
      <c r="M13" s="16">
        <f t="shared" si="0"/>
        <v>2930</v>
      </c>
      <c r="N13" s="16">
        <v>0</v>
      </c>
      <c r="O13" s="62">
        <f t="shared" si="1"/>
        <v>0</v>
      </c>
      <c r="P13" s="42">
        <f t="shared" si="2"/>
        <v>18</v>
      </c>
      <c r="Q13" s="43">
        <f t="shared" si="3"/>
        <v>6</v>
      </c>
      <c r="R13" s="7"/>
      <c r="S13" s="6">
        <v>6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0.75</v>
      </c>
      <c r="AD13" s="10">
        <f t="shared" si="6"/>
        <v>0.75</v>
      </c>
      <c r="AE13" s="39">
        <f t="shared" si="8"/>
        <v>0.61620120413513846</v>
      </c>
      <c r="AF13" s="94">
        <f t="shared" si="7"/>
        <v>7</v>
      </c>
    </row>
    <row r="14" spans="1:32" ht="27" customHeight="1">
      <c r="A14" s="110">
        <v>8</v>
      </c>
      <c r="B14" s="11" t="s">
        <v>58</v>
      </c>
      <c r="C14" s="11" t="s">
        <v>289</v>
      </c>
      <c r="D14" s="55" t="s">
        <v>290</v>
      </c>
      <c r="E14" s="57" t="s">
        <v>291</v>
      </c>
      <c r="F14" s="12" t="s">
        <v>142</v>
      </c>
      <c r="G14" s="12">
        <v>1</v>
      </c>
      <c r="H14" s="13">
        <v>25</v>
      </c>
      <c r="I14" s="7">
        <v>1000</v>
      </c>
      <c r="J14" s="14">
        <v>1260</v>
      </c>
      <c r="K14" s="15">
        <f t="shared" ref="K14:K19" si="10">L14</f>
        <v>1257</v>
      </c>
      <c r="L14" s="15">
        <f>732+525</f>
        <v>1257</v>
      </c>
      <c r="M14" s="16">
        <f t="shared" si="0"/>
        <v>1257</v>
      </c>
      <c r="N14" s="16">
        <v>0</v>
      </c>
      <c r="O14" s="62">
        <f t="shared" si="1"/>
        <v>0</v>
      </c>
      <c r="P14" s="42">
        <f t="shared" si="2"/>
        <v>8</v>
      </c>
      <c r="Q14" s="43">
        <f t="shared" si="3"/>
        <v>16</v>
      </c>
      <c r="R14" s="7"/>
      <c r="S14" s="6"/>
      <c r="T14" s="17"/>
      <c r="U14" s="17"/>
      <c r="V14" s="18"/>
      <c r="W14" s="19">
        <v>16</v>
      </c>
      <c r="X14" s="17"/>
      <c r="Y14" s="20"/>
      <c r="Z14" s="20"/>
      <c r="AA14" s="21"/>
      <c r="AB14" s="8">
        <f t="shared" si="4"/>
        <v>0.99761904761904763</v>
      </c>
      <c r="AC14" s="9">
        <f t="shared" si="5"/>
        <v>0.33333333333333331</v>
      </c>
      <c r="AD14" s="10">
        <f t="shared" si="6"/>
        <v>0.33253968253968252</v>
      </c>
      <c r="AE14" s="39">
        <f t="shared" si="8"/>
        <v>0.61620120413513846</v>
      </c>
      <c r="AF14" s="94">
        <f t="shared" si="7"/>
        <v>8</v>
      </c>
    </row>
    <row r="15" spans="1:32" ht="27" customHeight="1">
      <c r="A15" s="109">
        <v>9</v>
      </c>
      <c r="B15" s="11" t="s">
        <v>149</v>
      </c>
      <c r="C15" s="37" t="s">
        <v>195</v>
      </c>
      <c r="D15" s="55" t="s">
        <v>196</v>
      </c>
      <c r="E15" s="57" t="s">
        <v>292</v>
      </c>
      <c r="F15" s="33" t="s">
        <v>293</v>
      </c>
      <c r="G15" s="36">
        <v>1</v>
      </c>
      <c r="H15" s="38">
        <v>25</v>
      </c>
      <c r="I15" s="7">
        <v>100</v>
      </c>
      <c r="J15" s="5">
        <v>456</v>
      </c>
      <c r="K15" s="15">
        <f t="shared" si="10"/>
        <v>456</v>
      </c>
      <c r="L15" s="15">
        <f>240+216</f>
        <v>456</v>
      </c>
      <c r="M15" s="16">
        <f t="shared" si="0"/>
        <v>456</v>
      </c>
      <c r="N15" s="16">
        <v>0</v>
      </c>
      <c r="O15" s="62">
        <f t="shared" si="1"/>
        <v>0</v>
      </c>
      <c r="P15" s="42">
        <f t="shared" si="2"/>
        <v>8</v>
      </c>
      <c r="Q15" s="43">
        <f t="shared" si="3"/>
        <v>16</v>
      </c>
      <c r="R15" s="7"/>
      <c r="S15" s="6"/>
      <c r="T15" s="17"/>
      <c r="U15" s="17"/>
      <c r="V15" s="18"/>
      <c r="W15" s="19">
        <v>16</v>
      </c>
      <c r="X15" s="17"/>
      <c r="Y15" s="20"/>
      <c r="Z15" s="20"/>
      <c r="AA15" s="21"/>
      <c r="AB15" s="8">
        <f t="shared" si="4"/>
        <v>1</v>
      </c>
      <c r="AC15" s="9">
        <f t="shared" si="5"/>
        <v>0.33333333333333331</v>
      </c>
      <c r="AD15" s="10">
        <f t="shared" si="6"/>
        <v>0.33333333333333331</v>
      </c>
      <c r="AE15" s="39">
        <f t="shared" si="8"/>
        <v>0.61620120413513846</v>
      </c>
      <c r="AF15" s="94">
        <f t="shared" si="7"/>
        <v>9</v>
      </c>
    </row>
    <row r="16" spans="1:32" ht="27" customHeight="1">
      <c r="A16" s="109">
        <v>10</v>
      </c>
      <c r="B16" s="11" t="s">
        <v>149</v>
      </c>
      <c r="C16" s="11" t="s">
        <v>163</v>
      </c>
      <c r="D16" s="55" t="s">
        <v>167</v>
      </c>
      <c r="E16" s="57" t="s">
        <v>168</v>
      </c>
      <c r="F16" s="12" t="s">
        <v>166</v>
      </c>
      <c r="G16" s="12">
        <v>1</v>
      </c>
      <c r="H16" s="13">
        <v>20</v>
      </c>
      <c r="I16" s="34">
        <v>3000</v>
      </c>
      <c r="J16" s="14">
        <v>15880</v>
      </c>
      <c r="K16" s="15">
        <f t="shared" si="10"/>
        <v>0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>
        <v>24</v>
      </c>
      <c r="W16" s="19"/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8"/>
        <v>0.61620120413513846</v>
      </c>
      <c r="AF16" s="94">
        <f t="shared" si="7"/>
        <v>10</v>
      </c>
    </row>
    <row r="17" spans="1:36" ht="27.75" customHeight="1">
      <c r="A17" s="109">
        <v>11</v>
      </c>
      <c r="B17" s="11" t="s">
        <v>149</v>
      </c>
      <c r="C17" s="11" t="s">
        <v>177</v>
      </c>
      <c r="D17" s="55" t="s">
        <v>246</v>
      </c>
      <c r="E17" s="56" t="s">
        <v>294</v>
      </c>
      <c r="F17" s="12" t="s">
        <v>295</v>
      </c>
      <c r="G17" s="36">
        <v>1</v>
      </c>
      <c r="H17" s="38">
        <v>25</v>
      </c>
      <c r="I17" s="7">
        <v>2500</v>
      </c>
      <c r="J17" s="14">
        <v>4960</v>
      </c>
      <c r="K17" s="15">
        <f t="shared" si="10"/>
        <v>4958</v>
      </c>
      <c r="L17" s="15">
        <f>2050+2908</f>
        <v>4958</v>
      </c>
      <c r="M17" s="16">
        <f t="shared" si="0"/>
        <v>4958</v>
      </c>
      <c r="N17" s="16">
        <v>0</v>
      </c>
      <c r="O17" s="62">
        <f t="shared" si="1"/>
        <v>0</v>
      </c>
      <c r="P17" s="42">
        <f t="shared" si="2"/>
        <v>24</v>
      </c>
      <c r="Q17" s="43">
        <f t="shared" si="3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0.99959677419354842</v>
      </c>
      <c r="AC17" s="9">
        <f t="shared" si="5"/>
        <v>1</v>
      </c>
      <c r="AD17" s="10">
        <f t="shared" si="6"/>
        <v>0.99959677419354842</v>
      </c>
      <c r="AE17" s="39">
        <f t="shared" ref="AE17:AE22" si="11">$AD$23</f>
        <v>0.61620120413513846</v>
      </c>
      <c r="AF17" s="94">
        <f>A17</f>
        <v>11</v>
      </c>
      <c r="AJ17" s="15"/>
    </row>
    <row r="18" spans="1:36" ht="27" customHeight="1">
      <c r="A18" s="109">
        <v>12</v>
      </c>
      <c r="B18" s="11" t="s">
        <v>149</v>
      </c>
      <c r="C18" s="37" t="s">
        <v>151</v>
      </c>
      <c r="D18" s="55" t="s">
        <v>296</v>
      </c>
      <c r="E18" s="56" t="s">
        <v>297</v>
      </c>
      <c r="F18" s="12" t="s">
        <v>298</v>
      </c>
      <c r="G18" s="12">
        <v>1</v>
      </c>
      <c r="H18" s="13">
        <v>25</v>
      </c>
      <c r="I18" s="34">
        <v>1000</v>
      </c>
      <c r="J18" s="5">
        <v>2090</v>
      </c>
      <c r="K18" s="15">
        <f t="shared" si="10"/>
        <v>2090</v>
      </c>
      <c r="L18" s="15">
        <f>1045*2</f>
        <v>2090</v>
      </c>
      <c r="M18" s="16">
        <f t="shared" ref="M18" si="12">L18-N18</f>
        <v>2090</v>
      </c>
      <c r="N18" s="16">
        <v>0</v>
      </c>
      <c r="O18" s="62">
        <f t="shared" ref="O18" si="13">IF(L18=0,"0",N18/L18)</f>
        <v>0</v>
      </c>
      <c r="P18" s="42">
        <f t="shared" ref="P18" si="14">IF(L18=0,"0",(24-Q18))</f>
        <v>6</v>
      </c>
      <c r="Q18" s="43">
        <f t="shared" ref="Q18" si="15">SUM(R18:AA18)</f>
        <v>18</v>
      </c>
      <c r="R18" s="7"/>
      <c r="S18" s="6"/>
      <c r="T18" s="17"/>
      <c r="U18" s="17"/>
      <c r="V18" s="18"/>
      <c r="W18" s="19">
        <v>18</v>
      </c>
      <c r="X18" s="17"/>
      <c r="Y18" s="20"/>
      <c r="Z18" s="20"/>
      <c r="AA18" s="21"/>
      <c r="AB18" s="8">
        <f t="shared" ref="AB18" si="16">IF(J18=0,"0",(L18/J18))</f>
        <v>1</v>
      </c>
      <c r="AC18" s="9">
        <f t="shared" ref="AC18" si="17">IF(P18=0,"0",(P18/24))</f>
        <v>0.25</v>
      </c>
      <c r="AD18" s="10">
        <f t="shared" ref="AD18" si="18">AC18*AB18*(1-O18)</f>
        <v>0.25</v>
      </c>
      <c r="AE18" s="39">
        <f t="shared" si="11"/>
        <v>0.61620120413513846</v>
      </c>
      <c r="AF18" s="94">
        <f t="shared" ref="AF18" si="19">A18</f>
        <v>12</v>
      </c>
    </row>
    <row r="19" spans="1:36" ht="27" customHeight="1">
      <c r="A19" s="109">
        <v>12</v>
      </c>
      <c r="B19" s="11" t="s">
        <v>149</v>
      </c>
      <c r="C19" s="37" t="s">
        <v>151</v>
      </c>
      <c r="D19" s="55" t="s">
        <v>299</v>
      </c>
      <c r="E19" s="56" t="s">
        <v>300</v>
      </c>
      <c r="F19" s="12">
        <v>8301</v>
      </c>
      <c r="G19" s="12">
        <v>1</v>
      </c>
      <c r="H19" s="13">
        <v>25</v>
      </c>
      <c r="I19" s="34">
        <v>500</v>
      </c>
      <c r="J19" s="5">
        <v>510</v>
      </c>
      <c r="K19" s="15">
        <f t="shared" si="10"/>
        <v>506</v>
      </c>
      <c r="L19" s="15">
        <v>506</v>
      </c>
      <c r="M19" s="16">
        <f t="shared" si="0"/>
        <v>506</v>
      </c>
      <c r="N19" s="16">
        <v>0</v>
      </c>
      <c r="O19" s="62">
        <f t="shared" si="1"/>
        <v>0</v>
      </c>
      <c r="P19" s="42">
        <f t="shared" si="2"/>
        <v>4</v>
      </c>
      <c r="Q19" s="43">
        <f t="shared" si="3"/>
        <v>20</v>
      </c>
      <c r="R19" s="7"/>
      <c r="S19" s="6"/>
      <c r="T19" s="17"/>
      <c r="U19" s="17"/>
      <c r="V19" s="18"/>
      <c r="W19" s="19">
        <v>20</v>
      </c>
      <c r="X19" s="17"/>
      <c r="Y19" s="20"/>
      <c r="Z19" s="20"/>
      <c r="AA19" s="21"/>
      <c r="AB19" s="8">
        <f t="shared" si="4"/>
        <v>0.99215686274509807</v>
      </c>
      <c r="AC19" s="9">
        <f t="shared" si="5"/>
        <v>0.16666666666666666</v>
      </c>
      <c r="AD19" s="10">
        <f t="shared" si="6"/>
        <v>0.165359477124183</v>
      </c>
      <c r="AE19" s="39">
        <f t="shared" si="11"/>
        <v>0.61620120413513846</v>
      </c>
      <c r="AF19" s="94">
        <f t="shared" si="7"/>
        <v>12</v>
      </c>
    </row>
    <row r="20" spans="1:36" ht="27" customHeight="1">
      <c r="A20" s="110">
        <v>13</v>
      </c>
      <c r="B20" s="11" t="s">
        <v>58</v>
      </c>
      <c r="C20" s="37" t="s">
        <v>118</v>
      </c>
      <c r="D20" s="55" t="s">
        <v>131</v>
      </c>
      <c r="E20" s="57" t="s">
        <v>158</v>
      </c>
      <c r="F20" s="33" t="s">
        <v>142</v>
      </c>
      <c r="G20" s="36">
        <v>1</v>
      </c>
      <c r="H20" s="38">
        <v>25</v>
      </c>
      <c r="I20" s="7">
        <v>62000</v>
      </c>
      <c r="J20" s="5">
        <v>5110</v>
      </c>
      <c r="K20" s="15">
        <f>L20+2232+4609+1982+1137+3270+2188+1609+3870</f>
        <v>26005</v>
      </c>
      <c r="L20" s="15">
        <f>2788+2320</f>
        <v>5108</v>
      </c>
      <c r="M20" s="16">
        <f t="shared" si="0"/>
        <v>5108</v>
      </c>
      <c r="N20" s="16">
        <v>0</v>
      </c>
      <c r="O20" s="62">
        <f t="shared" si="1"/>
        <v>0</v>
      </c>
      <c r="P20" s="42">
        <f t="shared" si="2"/>
        <v>22</v>
      </c>
      <c r="Q20" s="43">
        <f t="shared" si="3"/>
        <v>2</v>
      </c>
      <c r="R20" s="7"/>
      <c r="S20" s="6">
        <v>2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0.99960861056751471</v>
      </c>
      <c r="AC20" s="9">
        <f t="shared" si="5"/>
        <v>0.91666666666666663</v>
      </c>
      <c r="AD20" s="10">
        <f t="shared" si="6"/>
        <v>0.91630789302022175</v>
      </c>
      <c r="AE20" s="39">
        <f t="shared" si="11"/>
        <v>0.61620120413513846</v>
      </c>
      <c r="AF20" s="94">
        <f t="shared" si="7"/>
        <v>13</v>
      </c>
    </row>
    <row r="21" spans="1:36" ht="27" customHeight="1">
      <c r="A21" s="110">
        <v>14</v>
      </c>
      <c r="B21" s="11" t="s">
        <v>58</v>
      </c>
      <c r="C21" s="11" t="s">
        <v>118</v>
      </c>
      <c r="D21" s="55" t="s">
        <v>57</v>
      </c>
      <c r="E21" s="56" t="s">
        <v>159</v>
      </c>
      <c r="F21" s="12" t="s">
        <v>145</v>
      </c>
      <c r="G21" s="12">
        <v>1</v>
      </c>
      <c r="H21" s="38">
        <v>25</v>
      </c>
      <c r="I21" s="34">
        <v>45000</v>
      </c>
      <c r="J21" s="5">
        <v>5130</v>
      </c>
      <c r="K21" s="15">
        <f>L21+4457+5150+5194+2223+4847+5149+5390+3119</f>
        <v>40657</v>
      </c>
      <c r="L21" s="15">
        <f>2628+2500</f>
        <v>5128</v>
      </c>
      <c r="M21" s="16">
        <f t="shared" si="0"/>
        <v>5128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0.99961013645224173</v>
      </c>
      <c r="AC21" s="9">
        <f t="shared" si="5"/>
        <v>1</v>
      </c>
      <c r="AD21" s="10">
        <f t="shared" si="6"/>
        <v>0.99961013645224173</v>
      </c>
      <c r="AE21" s="39">
        <f t="shared" si="11"/>
        <v>0.61620120413513846</v>
      </c>
      <c r="AF21" s="94">
        <f t="shared" si="7"/>
        <v>14</v>
      </c>
    </row>
    <row r="22" spans="1:36" ht="27" customHeight="1" thickBot="1">
      <c r="A22" s="110">
        <v>15</v>
      </c>
      <c r="B22" s="11" t="s">
        <v>58</v>
      </c>
      <c r="C22" s="11" t="s">
        <v>115</v>
      </c>
      <c r="D22" s="55"/>
      <c r="E22" s="56" t="s">
        <v>250</v>
      </c>
      <c r="F22" s="12" t="s">
        <v>116</v>
      </c>
      <c r="G22" s="12">
        <v>4</v>
      </c>
      <c r="H22" s="38">
        <v>15</v>
      </c>
      <c r="I22" s="7">
        <v>300000</v>
      </c>
      <c r="J22" s="14">
        <v>63770</v>
      </c>
      <c r="K22" s="15">
        <f>L22+35456</f>
        <v>99220</v>
      </c>
      <c r="L22" s="15">
        <f>8356*4+7585*4</f>
        <v>63764</v>
      </c>
      <c r="M22" s="16">
        <f t="shared" si="0"/>
        <v>63764</v>
      </c>
      <c r="N22" s="16">
        <v>0</v>
      </c>
      <c r="O22" s="62">
        <f t="shared" si="1"/>
        <v>0</v>
      </c>
      <c r="P22" s="42">
        <f t="shared" si="2"/>
        <v>24</v>
      </c>
      <c r="Q22" s="43">
        <f t="shared" si="3"/>
        <v>0</v>
      </c>
      <c r="R22" s="7"/>
      <c r="S22" s="6"/>
      <c r="T22" s="17"/>
      <c r="U22" s="17"/>
      <c r="V22" s="18"/>
      <c r="W22" s="19"/>
      <c r="X22" s="17"/>
      <c r="Y22" s="20"/>
      <c r="Z22" s="20"/>
      <c r="AA22" s="21"/>
      <c r="AB22" s="8">
        <f t="shared" si="4"/>
        <v>0.99990591187078559</v>
      </c>
      <c r="AC22" s="9">
        <f t="shared" si="5"/>
        <v>1</v>
      </c>
      <c r="AD22" s="10">
        <f t="shared" si="6"/>
        <v>0.99990591187078559</v>
      </c>
      <c r="AE22" s="39">
        <f t="shared" si="11"/>
        <v>0.61620120413513846</v>
      </c>
      <c r="AF22" s="94">
        <f t="shared" si="7"/>
        <v>15</v>
      </c>
    </row>
    <row r="23" spans="1:36" ht="31.5" customHeight="1" thickBot="1">
      <c r="A23" s="465" t="s">
        <v>34</v>
      </c>
      <c r="B23" s="466"/>
      <c r="C23" s="466"/>
      <c r="D23" s="466"/>
      <c r="E23" s="466"/>
      <c r="F23" s="466"/>
      <c r="G23" s="466"/>
      <c r="H23" s="467"/>
      <c r="I23" s="25">
        <f t="shared" ref="I23:N23" si="20">SUM(I6:I22)</f>
        <v>659100</v>
      </c>
      <c r="J23" s="22">
        <f t="shared" si="20"/>
        <v>125446</v>
      </c>
      <c r="K23" s="23">
        <f t="shared" si="20"/>
        <v>311289</v>
      </c>
      <c r="L23" s="24">
        <f t="shared" si="20"/>
        <v>108208</v>
      </c>
      <c r="M23" s="23">
        <f t="shared" si="20"/>
        <v>108208</v>
      </c>
      <c r="N23" s="24">
        <f t="shared" si="20"/>
        <v>0</v>
      </c>
      <c r="O23" s="44">
        <f t="shared" si="1"/>
        <v>0</v>
      </c>
      <c r="P23" s="45">
        <f t="shared" ref="P23:AA23" si="21">SUM(P6:P22)</f>
        <v>222</v>
      </c>
      <c r="Q23" s="46">
        <f t="shared" si="21"/>
        <v>186</v>
      </c>
      <c r="R23" s="26">
        <f t="shared" si="21"/>
        <v>48</v>
      </c>
      <c r="S23" s="27">
        <f t="shared" si="21"/>
        <v>22</v>
      </c>
      <c r="T23" s="27">
        <f t="shared" si="21"/>
        <v>9</v>
      </c>
      <c r="U23" s="27">
        <f t="shared" si="21"/>
        <v>0</v>
      </c>
      <c r="V23" s="28">
        <f t="shared" si="21"/>
        <v>24</v>
      </c>
      <c r="W23" s="29">
        <f t="shared" si="21"/>
        <v>83</v>
      </c>
      <c r="X23" s="30">
        <f t="shared" si="21"/>
        <v>0</v>
      </c>
      <c r="Y23" s="30">
        <f t="shared" si="21"/>
        <v>0</v>
      </c>
      <c r="Z23" s="30">
        <f t="shared" si="21"/>
        <v>0</v>
      </c>
      <c r="AA23" s="30">
        <f t="shared" si="21"/>
        <v>0</v>
      </c>
      <c r="AB23" s="31">
        <f>SUM(AB6:AB22)/15</f>
        <v>0.93220130415830837</v>
      </c>
      <c r="AC23" s="4">
        <f>SUM(AC6:AC22)/15</f>
        <v>0.6166666666666667</v>
      </c>
      <c r="AD23" s="4">
        <f>SUM(AD6:AD22)/15</f>
        <v>0.61620120413513846</v>
      </c>
      <c r="AE23" s="32"/>
    </row>
    <row r="25" spans="1:36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6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6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6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6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6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5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468" t="s">
        <v>45</v>
      </c>
      <c r="B50" s="468"/>
      <c r="C50" s="468"/>
      <c r="D50" s="468"/>
      <c r="E50" s="468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469" t="s">
        <v>301</v>
      </c>
      <c r="B51" s="470"/>
      <c r="C51" s="470"/>
      <c r="D51" s="470"/>
      <c r="E51" s="470"/>
      <c r="F51" s="470"/>
      <c r="G51" s="470"/>
      <c r="H51" s="470"/>
      <c r="I51" s="470"/>
      <c r="J51" s="470"/>
      <c r="K51" s="470"/>
      <c r="L51" s="470"/>
      <c r="M51" s="471"/>
      <c r="N51" s="472" t="s">
        <v>314</v>
      </c>
      <c r="O51" s="473"/>
      <c r="P51" s="473"/>
      <c r="Q51" s="473"/>
      <c r="R51" s="473"/>
      <c r="S51" s="473"/>
      <c r="T51" s="473"/>
      <c r="U51" s="473"/>
      <c r="V51" s="473"/>
      <c r="W51" s="473"/>
      <c r="X51" s="473"/>
      <c r="Y51" s="473"/>
      <c r="Z51" s="473"/>
      <c r="AA51" s="473"/>
      <c r="AB51" s="473"/>
      <c r="AC51" s="473"/>
      <c r="AD51" s="474"/>
    </row>
    <row r="52" spans="1:32" ht="27" customHeight="1">
      <c r="A52" s="475" t="s">
        <v>2</v>
      </c>
      <c r="B52" s="476"/>
      <c r="C52" s="151" t="s">
        <v>46</v>
      </c>
      <c r="D52" s="151" t="s">
        <v>47</v>
      </c>
      <c r="E52" s="151" t="s">
        <v>109</v>
      </c>
      <c r="F52" s="476" t="s">
        <v>108</v>
      </c>
      <c r="G52" s="476"/>
      <c r="H52" s="476"/>
      <c r="I52" s="476"/>
      <c r="J52" s="476"/>
      <c r="K52" s="476"/>
      <c r="L52" s="476"/>
      <c r="M52" s="477"/>
      <c r="N52" s="73" t="s">
        <v>113</v>
      </c>
      <c r="O52" s="151" t="s">
        <v>46</v>
      </c>
      <c r="P52" s="478" t="s">
        <v>47</v>
      </c>
      <c r="Q52" s="479"/>
      <c r="R52" s="478" t="s">
        <v>38</v>
      </c>
      <c r="S52" s="480"/>
      <c r="T52" s="480"/>
      <c r="U52" s="479"/>
      <c r="V52" s="478" t="s">
        <v>48</v>
      </c>
      <c r="W52" s="480"/>
      <c r="X52" s="480"/>
      <c r="Y52" s="480"/>
      <c r="Z52" s="480"/>
      <c r="AA52" s="480"/>
      <c r="AB52" s="480"/>
      <c r="AC52" s="480"/>
      <c r="AD52" s="481"/>
    </row>
    <row r="53" spans="1:32" ht="27" customHeight="1">
      <c r="A53" s="492" t="s">
        <v>205</v>
      </c>
      <c r="B53" s="493"/>
      <c r="C53" s="152" t="s">
        <v>252</v>
      </c>
      <c r="D53" s="153" t="s">
        <v>302</v>
      </c>
      <c r="E53" s="152" t="s">
        <v>294</v>
      </c>
      <c r="F53" s="494" t="s">
        <v>253</v>
      </c>
      <c r="G53" s="494"/>
      <c r="H53" s="494"/>
      <c r="I53" s="494"/>
      <c r="J53" s="494"/>
      <c r="K53" s="494"/>
      <c r="L53" s="494"/>
      <c r="M53" s="495"/>
      <c r="N53" s="157" t="s">
        <v>117</v>
      </c>
      <c r="O53" s="74" t="s">
        <v>143</v>
      </c>
      <c r="P53" s="496" t="s">
        <v>57</v>
      </c>
      <c r="Q53" s="497"/>
      <c r="R53" s="498" t="s">
        <v>315</v>
      </c>
      <c r="S53" s="498"/>
      <c r="T53" s="498"/>
      <c r="U53" s="498"/>
      <c r="V53" s="494" t="s">
        <v>313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303</v>
      </c>
      <c r="B54" s="493"/>
      <c r="C54" s="152" t="s">
        <v>229</v>
      </c>
      <c r="D54" s="153" t="s">
        <v>302</v>
      </c>
      <c r="E54" s="152" t="s">
        <v>304</v>
      </c>
      <c r="F54" s="494" t="s">
        <v>305</v>
      </c>
      <c r="G54" s="494"/>
      <c r="H54" s="494"/>
      <c r="I54" s="494"/>
      <c r="J54" s="494"/>
      <c r="K54" s="494"/>
      <c r="L54" s="494"/>
      <c r="M54" s="495"/>
      <c r="N54" s="157" t="s">
        <v>272</v>
      </c>
      <c r="O54" s="74" t="s">
        <v>273</v>
      </c>
      <c r="P54" s="496" t="s">
        <v>316</v>
      </c>
      <c r="Q54" s="497"/>
      <c r="R54" s="498" t="s">
        <v>317</v>
      </c>
      <c r="S54" s="498"/>
      <c r="T54" s="498"/>
      <c r="U54" s="498"/>
      <c r="V54" s="494" t="s">
        <v>274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173</v>
      </c>
      <c r="B55" s="493"/>
      <c r="C55" s="152" t="s">
        <v>174</v>
      </c>
      <c r="D55" s="153" t="s">
        <v>175</v>
      </c>
      <c r="E55" s="152" t="s">
        <v>158</v>
      </c>
      <c r="F55" s="494" t="s">
        <v>306</v>
      </c>
      <c r="G55" s="494"/>
      <c r="H55" s="494"/>
      <c r="I55" s="494"/>
      <c r="J55" s="494"/>
      <c r="K55" s="494"/>
      <c r="L55" s="494"/>
      <c r="M55" s="495"/>
      <c r="N55" s="157" t="s">
        <v>318</v>
      </c>
      <c r="O55" s="74" t="s">
        <v>319</v>
      </c>
      <c r="P55" s="496" t="s">
        <v>320</v>
      </c>
      <c r="Q55" s="497"/>
      <c r="R55" s="498" t="s">
        <v>321</v>
      </c>
      <c r="S55" s="498"/>
      <c r="T55" s="498"/>
      <c r="U55" s="498"/>
      <c r="V55" s="494" t="s">
        <v>274</v>
      </c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173</v>
      </c>
      <c r="B56" s="493"/>
      <c r="C56" s="152" t="s">
        <v>307</v>
      </c>
      <c r="D56" s="153" t="s">
        <v>57</v>
      </c>
      <c r="E56" s="152" t="s">
        <v>308</v>
      </c>
      <c r="F56" s="494" t="s">
        <v>257</v>
      </c>
      <c r="G56" s="494"/>
      <c r="H56" s="494"/>
      <c r="I56" s="494"/>
      <c r="J56" s="494"/>
      <c r="K56" s="494"/>
      <c r="L56" s="494"/>
      <c r="M56" s="495"/>
      <c r="N56" s="157" t="s">
        <v>272</v>
      </c>
      <c r="O56" s="74" t="s">
        <v>322</v>
      </c>
      <c r="P56" s="496" t="s">
        <v>323</v>
      </c>
      <c r="Q56" s="497"/>
      <c r="R56" s="498" t="s">
        <v>324</v>
      </c>
      <c r="S56" s="498"/>
      <c r="T56" s="498"/>
      <c r="U56" s="498"/>
      <c r="V56" s="494" t="s">
        <v>325</v>
      </c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 t="s">
        <v>309</v>
      </c>
      <c r="B57" s="493"/>
      <c r="C57" s="152" t="s">
        <v>310</v>
      </c>
      <c r="D57" s="153" t="s">
        <v>311</v>
      </c>
      <c r="E57" s="152" t="s">
        <v>312</v>
      </c>
      <c r="F57" s="494" t="s">
        <v>313</v>
      </c>
      <c r="G57" s="494"/>
      <c r="H57" s="494"/>
      <c r="I57" s="494"/>
      <c r="J57" s="494"/>
      <c r="K57" s="494"/>
      <c r="L57" s="494"/>
      <c r="M57" s="495"/>
      <c r="N57" s="157"/>
      <c r="O57" s="74"/>
      <c r="P57" s="496"/>
      <c r="Q57" s="497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/>
      <c r="B58" s="493"/>
      <c r="C58" s="152"/>
      <c r="D58" s="153"/>
      <c r="E58" s="152"/>
      <c r="F58" s="494"/>
      <c r="G58" s="494"/>
      <c r="H58" s="494"/>
      <c r="I58" s="494"/>
      <c r="J58" s="494"/>
      <c r="K58" s="494"/>
      <c r="L58" s="494"/>
      <c r="M58" s="495"/>
      <c r="N58" s="157"/>
      <c r="O58" s="74"/>
      <c r="P58" s="498"/>
      <c r="Q58" s="498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492"/>
      <c r="B59" s="493"/>
      <c r="C59" s="152"/>
      <c r="D59" s="153"/>
      <c r="E59" s="152"/>
      <c r="F59" s="494"/>
      <c r="G59" s="494"/>
      <c r="H59" s="494"/>
      <c r="I59" s="494"/>
      <c r="J59" s="494"/>
      <c r="K59" s="494"/>
      <c r="L59" s="494"/>
      <c r="M59" s="495"/>
      <c r="N59" s="157"/>
      <c r="O59" s="74"/>
      <c r="P59" s="496"/>
      <c r="Q59" s="497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</row>
    <row r="60" spans="1:32" ht="27" customHeight="1">
      <c r="A60" s="492"/>
      <c r="B60" s="493"/>
      <c r="C60" s="152"/>
      <c r="D60" s="153"/>
      <c r="E60" s="152"/>
      <c r="F60" s="494"/>
      <c r="G60" s="494"/>
      <c r="H60" s="494"/>
      <c r="I60" s="494"/>
      <c r="J60" s="494"/>
      <c r="K60" s="494"/>
      <c r="L60" s="494"/>
      <c r="M60" s="495"/>
      <c r="N60" s="157"/>
      <c r="O60" s="74"/>
      <c r="P60" s="498"/>
      <c r="Q60" s="498"/>
      <c r="R60" s="498"/>
      <c r="S60" s="498"/>
      <c r="T60" s="498"/>
      <c r="U60" s="498"/>
      <c r="V60" s="494"/>
      <c r="W60" s="494"/>
      <c r="X60" s="494"/>
      <c r="Y60" s="494"/>
      <c r="Z60" s="494"/>
      <c r="AA60" s="494"/>
      <c r="AB60" s="494"/>
      <c r="AC60" s="494"/>
      <c r="AD60" s="495"/>
    </row>
    <row r="61" spans="1:32" ht="27" customHeight="1">
      <c r="A61" s="508"/>
      <c r="B61" s="498"/>
      <c r="C61" s="153"/>
      <c r="D61" s="153"/>
      <c r="E61" s="153"/>
      <c r="F61" s="494"/>
      <c r="G61" s="494"/>
      <c r="H61" s="494"/>
      <c r="I61" s="494"/>
      <c r="J61" s="494"/>
      <c r="K61" s="494"/>
      <c r="L61" s="494"/>
      <c r="M61" s="495"/>
      <c r="N61" s="157"/>
      <c r="O61" s="74"/>
      <c r="P61" s="498"/>
      <c r="Q61" s="498"/>
      <c r="R61" s="498"/>
      <c r="S61" s="498"/>
      <c r="T61" s="498"/>
      <c r="U61" s="498"/>
      <c r="V61" s="494"/>
      <c r="W61" s="494"/>
      <c r="X61" s="494"/>
      <c r="Y61" s="494"/>
      <c r="Z61" s="494"/>
      <c r="AA61" s="494"/>
      <c r="AB61" s="494"/>
      <c r="AC61" s="494"/>
      <c r="AD61" s="495"/>
      <c r="AF61" s="94">
        <f>8*3000</f>
        <v>24000</v>
      </c>
    </row>
    <row r="62" spans="1:32" ht="27" customHeight="1" thickBot="1">
      <c r="A62" s="499"/>
      <c r="B62" s="500"/>
      <c r="C62" s="155"/>
      <c r="D62" s="155"/>
      <c r="E62" s="155"/>
      <c r="F62" s="501"/>
      <c r="G62" s="501"/>
      <c r="H62" s="501"/>
      <c r="I62" s="501"/>
      <c r="J62" s="501"/>
      <c r="K62" s="501"/>
      <c r="L62" s="501"/>
      <c r="M62" s="502"/>
      <c r="N62" s="154"/>
      <c r="O62" s="121"/>
      <c r="P62" s="500"/>
      <c r="Q62" s="500"/>
      <c r="R62" s="500"/>
      <c r="S62" s="500"/>
      <c r="T62" s="500"/>
      <c r="U62" s="500"/>
      <c r="V62" s="501"/>
      <c r="W62" s="501"/>
      <c r="X62" s="501"/>
      <c r="Y62" s="501"/>
      <c r="Z62" s="501"/>
      <c r="AA62" s="501"/>
      <c r="AB62" s="501"/>
      <c r="AC62" s="501"/>
      <c r="AD62" s="502"/>
      <c r="AF62" s="94">
        <f>16*3000</f>
        <v>48000</v>
      </c>
    </row>
    <row r="63" spans="1:32" ht="27.75" thickBot="1">
      <c r="A63" s="503" t="s">
        <v>326</v>
      </c>
      <c r="B63" s="503"/>
      <c r="C63" s="503"/>
      <c r="D63" s="503"/>
      <c r="E63" s="503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4">
        <v>24000</v>
      </c>
    </row>
    <row r="64" spans="1:32" ht="29.25" customHeight="1" thickBot="1">
      <c r="A64" s="504" t="s">
        <v>114</v>
      </c>
      <c r="B64" s="505"/>
      <c r="C64" s="156" t="s">
        <v>2</v>
      </c>
      <c r="D64" s="156" t="s">
        <v>37</v>
      </c>
      <c r="E64" s="156" t="s">
        <v>3</v>
      </c>
      <c r="F64" s="505" t="s">
        <v>111</v>
      </c>
      <c r="G64" s="505"/>
      <c r="H64" s="505"/>
      <c r="I64" s="505"/>
      <c r="J64" s="505"/>
      <c r="K64" s="505" t="s">
        <v>39</v>
      </c>
      <c r="L64" s="505"/>
      <c r="M64" s="156" t="s">
        <v>40</v>
      </c>
      <c r="N64" s="505" t="s">
        <v>41</v>
      </c>
      <c r="O64" s="505"/>
      <c r="P64" s="506" t="s">
        <v>42</v>
      </c>
      <c r="Q64" s="507"/>
      <c r="R64" s="506" t="s">
        <v>43</v>
      </c>
      <c r="S64" s="509"/>
      <c r="T64" s="509"/>
      <c r="U64" s="509"/>
      <c r="V64" s="509"/>
      <c r="W64" s="509"/>
      <c r="X64" s="509"/>
      <c r="Y64" s="509"/>
      <c r="Z64" s="509"/>
      <c r="AA64" s="507"/>
      <c r="AB64" s="505" t="s">
        <v>44</v>
      </c>
      <c r="AC64" s="505"/>
      <c r="AD64" s="510"/>
      <c r="AF64" s="94">
        <f>SUM(AF61:AF63)</f>
        <v>96000</v>
      </c>
    </row>
    <row r="65" spans="1:32" ht="25.5" customHeight="1">
      <c r="A65" s="511">
        <v>1</v>
      </c>
      <c r="B65" s="512"/>
      <c r="C65" s="124" t="s">
        <v>327</v>
      </c>
      <c r="D65" s="160"/>
      <c r="E65" s="158" t="s">
        <v>328</v>
      </c>
      <c r="F65" s="513" t="s">
        <v>329</v>
      </c>
      <c r="G65" s="514"/>
      <c r="H65" s="514"/>
      <c r="I65" s="514"/>
      <c r="J65" s="514"/>
      <c r="K65" s="514" t="s">
        <v>330</v>
      </c>
      <c r="L65" s="514"/>
      <c r="M65" s="54" t="s">
        <v>331</v>
      </c>
      <c r="N65" s="514">
        <v>8</v>
      </c>
      <c r="O65" s="514"/>
      <c r="P65" s="515">
        <v>50</v>
      </c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2</v>
      </c>
      <c r="B66" s="512"/>
      <c r="C66" s="124" t="s">
        <v>332</v>
      </c>
      <c r="D66" s="160"/>
      <c r="E66" s="158" t="s">
        <v>328</v>
      </c>
      <c r="F66" s="513" t="s">
        <v>333</v>
      </c>
      <c r="G66" s="514"/>
      <c r="H66" s="514"/>
      <c r="I66" s="514"/>
      <c r="J66" s="514"/>
      <c r="K66" s="514" t="s">
        <v>334</v>
      </c>
      <c r="L66" s="514"/>
      <c r="M66" s="54" t="s">
        <v>335</v>
      </c>
      <c r="N66" s="514">
        <v>8</v>
      </c>
      <c r="O66" s="514"/>
      <c r="P66" s="515">
        <v>50</v>
      </c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3</v>
      </c>
      <c r="B67" s="512"/>
      <c r="C67" s="124" t="s">
        <v>332</v>
      </c>
      <c r="D67" s="160"/>
      <c r="E67" s="158" t="s">
        <v>311</v>
      </c>
      <c r="F67" s="513" t="s">
        <v>336</v>
      </c>
      <c r="G67" s="514"/>
      <c r="H67" s="514"/>
      <c r="I67" s="514"/>
      <c r="J67" s="514"/>
      <c r="K67" s="514" t="s">
        <v>337</v>
      </c>
      <c r="L67" s="514"/>
      <c r="M67" s="54" t="s">
        <v>338</v>
      </c>
      <c r="N67" s="514">
        <v>8</v>
      </c>
      <c r="O67" s="514"/>
      <c r="P67" s="515">
        <v>50</v>
      </c>
      <c r="Q67" s="515"/>
      <c r="R67" s="494" t="s">
        <v>339</v>
      </c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4</v>
      </c>
      <c r="B68" s="512"/>
      <c r="C68" s="124"/>
      <c r="D68" s="160"/>
      <c r="E68" s="158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5</v>
      </c>
      <c r="B69" s="512"/>
      <c r="C69" s="124"/>
      <c r="D69" s="160"/>
      <c r="E69" s="158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6</v>
      </c>
      <c r="B70" s="512"/>
      <c r="C70" s="124"/>
      <c r="D70" s="160"/>
      <c r="E70" s="158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5.5" customHeight="1">
      <c r="A71" s="511">
        <v>7</v>
      </c>
      <c r="B71" s="512"/>
      <c r="C71" s="124"/>
      <c r="D71" s="160"/>
      <c r="E71" s="158"/>
      <c r="F71" s="513"/>
      <c r="G71" s="514"/>
      <c r="H71" s="514"/>
      <c r="I71" s="514"/>
      <c r="J71" s="514"/>
      <c r="K71" s="514"/>
      <c r="L71" s="514"/>
      <c r="M71" s="54"/>
      <c r="N71" s="514"/>
      <c r="O71" s="514"/>
      <c r="P71" s="515"/>
      <c r="Q71" s="515"/>
      <c r="R71" s="494"/>
      <c r="S71" s="494"/>
      <c r="T71" s="494"/>
      <c r="U71" s="494"/>
      <c r="V71" s="494"/>
      <c r="W71" s="494"/>
      <c r="X71" s="494"/>
      <c r="Y71" s="494"/>
      <c r="Z71" s="494"/>
      <c r="AA71" s="494"/>
      <c r="AB71" s="514"/>
      <c r="AC71" s="514"/>
      <c r="AD71" s="516"/>
      <c r="AF71" s="53"/>
    </row>
    <row r="72" spans="1:32" ht="25.5" customHeight="1">
      <c r="A72" s="511">
        <v>8</v>
      </c>
      <c r="B72" s="512"/>
      <c r="C72" s="124"/>
      <c r="D72" s="160"/>
      <c r="E72" s="158"/>
      <c r="F72" s="513"/>
      <c r="G72" s="514"/>
      <c r="H72" s="514"/>
      <c r="I72" s="514"/>
      <c r="J72" s="514"/>
      <c r="K72" s="514"/>
      <c r="L72" s="514"/>
      <c r="M72" s="54"/>
      <c r="N72" s="514"/>
      <c r="O72" s="514"/>
      <c r="P72" s="515"/>
      <c r="Q72" s="515"/>
      <c r="R72" s="494"/>
      <c r="S72" s="494"/>
      <c r="T72" s="494"/>
      <c r="U72" s="494"/>
      <c r="V72" s="494"/>
      <c r="W72" s="494"/>
      <c r="X72" s="494"/>
      <c r="Y72" s="494"/>
      <c r="Z72" s="494"/>
      <c r="AA72" s="494"/>
      <c r="AB72" s="514"/>
      <c r="AC72" s="514"/>
      <c r="AD72" s="516"/>
      <c r="AF72" s="53"/>
    </row>
    <row r="73" spans="1:32" ht="26.25" customHeight="1" thickBot="1">
      <c r="A73" s="517" t="s">
        <v>340</v>
      </c>
      <c r="B73" s="517"/>
      <c r="C73" s="517"/>
      <c r="D73" s="517"/>
      <c r="E73" s="517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518" t="s">
        <v>114</v>
      </c>
      <c r="B74" s="519"/>
      <c r="C74" s="159" t="s">
        <v>2</v>
      </c>
      <c r="D74" s="159" t="s">
        <v>37</v>
      </c>
      <c r="E74" s="159" t="s">
        <v>3</v>
      </c>
      <c r="F74" s="519" t="s">
        <v>38</v>
      </c>
      <c r="G74" s="519"/>
      <c r="H74" s="519"/>
      <c r="I74" s="519"/>
      <c r="J74" s="519"/>
      <c r="K74" s="520" t="s">
        <v>59</v>
      </c>
      <c r="L74" s="521"/>
      <c r="M74" s="521"/>
      <c r="N74" s="521"/>
      <c r="O74" s="521"/>
      <c r="P74" s="521"/>
      <c r="Q74" s="521"/>
      <c r="R74" s="521"/>
      <c r="S74" s="522"/>
      <c r="T74" s="519" t="s">
        <v>49</v>
      </c>
      <c r="U74" s="519"/>
      <c r="V74" s="520" t="s">
        <v>50</v>
      </c>
      <c r="W74" s="522"/>
      <c r="X74" s="521" t="s">
        <v>51</v>
      </c>
      <c r="Y74" s="521"/>
      <c r="Z74" s="521"/>
      <c r="AA74" s="521"/>
      <c r="AB74" s="521"/>
      <c r="AC74" s="521"/>
      <c r="AD74" s="523"/>
      <c r="AF74" s="53"/>
    </row>
    <row r="75" spans="1:32" ht="33.75" customHeight="1">
      <c r="A75" s="532">
        <v>1</v>
      </c>
      <c r="B75" s="533"/>
      <c r="C75" s="161" t="s">
        <v>117</v>
      </c>
      <c r="D75" s="161"/>
      <c r="E75" s="71" t="s">
        <v>123</v>
      </c>
      <c r="F75" s="534" t="s">
        <v>124</v>
      </c>
      <c r="G75" s="535"/>
      <c r="H75" s="535"/>
      <c r="I75" s="535"/>
      <c r="J75" s="536"/>
      <c r="K75" s="537" t="s">
        <v>119</v>
      </c>
      <c r="L75" s="538"/>
      <c r="M75" s="538"/>
      <c r="N75" s="538"/>
      <c r="O75" s="538"/>
      <c r="P75" s="538"/>
      <c r="Q75" s="538"/>
      <c r="R75" s="538"/>
      <c r="S75" s="539"/>
      <c r="T75" s="540">
        <v>42901</v>
      </c>
      <c r="U75" s="541"/>
      <c r="V75" s="542"/>
      <c r="W75" s="542"/>
      <c r="X75" s="543"/>
      <c r="Y75" s="543"/>
      <c r="Z75" s="543"/>
      <c r="AA75" s="543"/>
      <c r="AB75" s="543"/>
      <c r="AC75" s="543"/>
      <c r="AD75" s="544"/>
      <c r="AF75" s="53"/>
    </row>
    <row r="76" spans="1:32" ht="30" customHeight="1">
      <c r="A76" s="524">
        <f>A75+1</f>
        <v>2</v>
      </c>
      <c r="B76" s="525"/>
      <c r="C76" s="160" t="s">
        <v>117</v>
      </c>
      <c r="D76" s="160"/>
      <c r="E76" s="35" t="s">
        <v>120</v>
      </c>
      <c r="F76" s="525" t="s">
        <v>121</v>
      </c>
      <c r="G76" s="525"/>
      <c r="H76" s="525"/>
      <c r="I76" s="525"/>
      <c r="J76" s="525"/>
      <c r="K76" s="526" t="s">
        <v>122</v>
      </c>
      <c r="L76" s="527"/>
      <c r="M76" s="527"/>
      <c r="N76" s="527"/>
      <c r="O76" s="527"/>
      <c r="P76" s="527"/>
      <c r="Q76" s="527"/>
      <c r="R76" s="527"/>
      <c r="S76" s="528"/>
      <c r="T76" s="529">
        <v>42867</v>
      </c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ref="A77:A83" si="22">A76+1</f>
        <v>3</v>
      </c>
      <c r="B77" s="525"/>
      <c r="C77" s="160" t="s">
        <v>133</v>
      </c>
      <c r="D77" s="160"/>
      <c r="E77" s="35" t="s">
        <v>131</v>
      </c>
      <c r="F77" s="525" t="s">
        <v>134</v>
      </c>
      <c r="G77" s="525"/>
      <c r="H77" s="525"/>
      <c r="I77" s="525"/>
      <c r="J77" s="525"/>
      <c r="K77" s="526" t="s">
        <v>119</v>
      </c>
      <c r="L77" s="527"/>
      <c r="M77" s="527"/>
      <c r="N77" s="527"/>
      <c r="O77" s="527"/>
      <c r="P77" s="527"/>
      <c r="Q77" s="527"/>
      <c r="R77" s="527"/>
      <c r="S77" s="528"/>
      <c r="T77" s="529">
        <v>42937</v>
      </c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22"/>
        <v>4</v>
      </c>
      <c r="B78" s="525"/>
      <c r="C78" s="160" t="s">
        <v>118</v>
      </c>
      <c r="D78" s="160"/>
      <c r="E78" s="35" t="s">
        <v>129</v>
      </c>
      <c r="F78" s="525" t="s">
        <v>130</v>
      </c>
      <c r="G78" s="525"/>
      <c r="H78" s="525"/>
      <c r="I78" s="525"/>
      <c r="J78" s="525"/>
      <c r="K78" s="526" t="s">
        <v>132</v>
      </c>
      <c r="L78" s="527"/>
      <c r="M78" s="527"/>
      <c r="N78" s="527"/>
      <c r="O78" s="527"/>
      <c r="P78" s="527"/>
      <c r="Q78" s="527"/>
      <c r="R78" s="527"/>
      <c r="S78" s="528"/>
      <c r="T78" s="529">
        <v>42920</v>
      </c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22"/>
        <v>5</v>
      </c>
      <c r="B79" s="525"/>
      <c r="C79" s="160" t="s">
        <v>117</v>
      </c>
      <c r="D79" s="160"/>
      <c r="E79" s="35" t="s">
        <v>136</v>
      </c>
      <c r="F79" s="525" t="s">
        <v>156</v>
      </c>
      <c r="G79" s="525"/>
      <c r="H79" s="525"/>
      <c r="I79" s="525"/>
      <c r="J79" s="525"/>
      <c r="K79" s="526" t="s">
        <v>157</v>
      </c>
      <c r="L79" s="527"/>
      <c r="M79" s="527"/>
      <c r="N79" s="527"/>
      <c r="O79" s="527"/>
      <c r="P79" s="527"/>
      <c r="Q79" s="527"/>
      <c r="R79" s="527"/>
      <c r="S79" s="528"/>
      <c r="T79" s="529">
        <v>43033</v>
      </c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22"/>
        <v>6</v>
      </c>
      <c r="B80" s="525"/>
      <c r="C80" s="160"/>
      <c r="D80" s="160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22"/>
        <v>7</v>
      </c>
      <c r="B81" s="525"/>
      <c r="C81" s="160"/>
      <c r="D81" s="160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0" customHeight="1">
      <c r="A82" s="524">
        <f t="shared" si="22"/>
        <v>8</v>
      </c>
      <c r="B82" s="525"/>
      <c r="C82" s="160"/>
      <c r="D82" s="160"/>
      <c r="E82" s="35"/>
      <c r="F82" s="525"/>
      <c r="G82" s="525"/>
      <c r="H82" s="525"/>
      <c r="I82" s="525"/>
      <c r="J82" s="525"/>
      <c r="K82" s="526"/>
      <c r="L82" s="527"/>
      <c r="M82" s="527"/>
      <c r="N82" s="527"/>
      <c r="O82" s="527"/>
      <c r="P82" s="527"/>
      <c r="Q82" s="527"/>
      <c r="R82" s="527"/>
      <c r="S82" s="528"/>
      <c r="T82" s="529"/>
      <c r="U82" s="529"/>
      <c r="V82" s="529"/>
      <c r="W82" s="529"/>
      <c r="X82" s="530"/>
      <c r="Y82" s="530"/>
      <c r="Z82" s="530"/>
      <c r="AA82" s="530"/>
      <c r="AB82" s="530"/>
      <c r="AC82" s="530"/>
      <c r="AD82" s="531"/>
      <c r="AF82" s="53"/>
    </row>
    <row r="83" spans="1:32" ht="30" customHeight="1">
      <c r="A83" s="524">
        <f t="shared" si="22"/>
        <v>9</v>
      </c>
      <c r="B83" s="525"/>
      <c r="C83" s="160"/>
      <c r="D83" s="160"/>
      <c r="E83" s="35"/>
      <c r="F83" s="525"/>
      <c r="G83" s="525"/>
      <c r="H83" s="525"/>
      <c r="I83" s="525"/>
      <c r="J83" s="525"/>
      <c r="K83" s="526"/>
      <c r="L83" s="527"/>
      <c r="M83" s="527"/>
      <c r="N83" s="527"/>
      <c r="O83" s="527"/>
      <c r="P83" s="527"/>
      <c r="Q83" s="527"/>
      <c r="R83" s="527"/>
      <c r="S83" s="528"/>
      <c r="T83" s="529"/>
      <c r="U83" s="529"/>
      <c r="V83" s="529"/>
      <c r="W83" s="529"/>
      <c r="X83" s="530"/>
      <c r="Y83" s="530"/>
      <c r="Z83" s="530"/>
      <c r="AA83" s="530"/>
      <c r="AB83" s="530"/>
      <c r="AC83" s="530"/>
      <c r="AD83" s="531"/>
      <c r="AF83" s="53"/>
    </row>
    <row r="84" spans="1:32" ht="36" thickBot="1">
      <c r="A84" s="517" t="s">
        <v>341</v>
      </c>
      <c r="B84" s="517"/>
      <c r="C84" s="517"/>
      <c r="D84" s="517"/>
      <c r="E84" s="517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518" t="s">
        <v>114</v>
      </c>
      <c r="B85" s="519"/>
      <c r="C85" s="545" t="s">
        <v>52</v>
      </c>
      <c r="D85" s="545"/>
      <c r="E85" s="545" t="s">
        <v>53</v>
      </c>
      <c r="F85" s="545"/>
      <c r="G85" s="545"/>
      <c r="H85" s="545"/>
      <c r="I85" s="545"/>
      <c r="J85" s="545"/>
      <c r="K85" s="545" t="s">
        <v>54</v>
      </c>
      <c r="L85" s="545"/>
      <c r="M85" s="545"/>
      <c r="N85" s="545"/>
      <c r="O85" s="545"/>
      <c r="P85" s="545"/>
      <c r="Q85" s="545"/>
      <c r="R85" s="545"/>
      <c r="S85" s="545"/>
      <c r="T85" s="545" t="s">
        <v>55</v>
      </c>
      <c r="U85" s="545"/>
      <c r="V85" s="545" t="s">
        <v>56</v>
      </c>
      <c r="W85" s="545"/>
      <c r="X85" s="545"/>
      <c r="Y85" s="545" t="s">
        <v>51</v>
      </c>
      <c r="Z85" s="545"/>
      <c r="AA85" s="545"/>
      <c r="AB85" s="545"/>
      <c r="AC85" s="545"/>
      <c r="AD85" s="546"/>
      <c r="AF85" s="53"/>
    </row>
    <row r="86" spans="1:32" ht="30.75" customHeight="1">
      <c r="A86" s="532">
        <v>1</v>
      </c>
      <c r="B86" s="533"/>
      <c r="C86" s="547">
        <v>1</v>
      </c>
      <c r="D86" s="547"/>
      <c r="E86" s="547" t="s">
        <v>125</v>
      </c>
      <c r="F86" s="547"/>
      <c r="G86" s="547"/>
      <c r="H86" s="547"/>
      <c r="I86" s="547"/>
      <c r="J86" s="547"/>
      <c r="K86" s="547" t="s">
        <v>126</v>
      </c>
      <c r="L86" s="547"/>
      <c r="M86" s="547"/>
      <c r="N86" s="547"/>
      <c r="O86" s="547"/>
      <c r="P86" s="547"/>
      <c r="Q86" s="547"/>
      <c r="R86" s="547"/>
      <c r="S86" s="547"/>
      <c r="T86" s="547" t="s">
        <v>127</v>
      </c>
      <c r="U86" s="547"/>
      <c r="V86" s="548">
        <v>1500000</v>
      </c>
      <c r="W86" s="548"/>
      <c r="X86" s="548"/>
      <c r="Y86" s="549" t="s">
        <v>128</v>
      </c>
      <c r="Z86" s="549"/>
      <c r="AA86" s="549"/>
      <c r="AB86" s="549"/>
      <c r="AC86" s="549"/>
      <c r="AD86" s="550"/>
      <c r="AF86" s="53"/>
    </row>
    <row r="87" spans="1:32" ht="30.75" customHeight="1">
      <c r="A87" s="524">
        <v>2</v>
      </c>
      <c r="B87" s="525"/>
      <c r="C87" s="558"/>
      <c r="D87" s="558"/>
      <c r="E87" s="558"/>
      <c r="F87" s="558"/>
      <c r="G87" s="558"/>
      <c r="H87" s="558"/>
      <c r="I87" s="558"/>
      <c r="J87" s="558"/>
      <c r="K87" s="558"/>
      <c r="L87" s="558"/>
      <c r="M87" s="558"/>
      <c r="N87" s="558"/>
      <c r="O87" s="558"/>
      <c r="P87" s="558"/>
      <c r="Q87" s="558"/>
      <c r="R87" s="558"/>
      <c r="S87" s="558"/>
      <c r="T87" s="559"/>
      <c r="U87" s="559"/>
      <c r="V87" s="560"/>
      <c r="W87" s="560"/>
      <c r="X87" s="560"/>
      <c r="Y87" s="551"/>
      <c r="Z87" s="551"/>
      <c r="AA87" s="551"/>
      <c r="AB87" s="551"/>
      <c r="AC87" s="551"/>
      <c r="AD87" s="552"/>
      <c r="AF87" s="53"/>
    </row>
    <row r="88" spans="1:32" ht="30.75" customHeight="1" thickBot="1">
      <c r="A88" s="553">
        <v>3</v>
      </c>
      <c r="B88" s="554"/>
      <c r="C88" s="555"/>
      <c r="D88" s="555"/>
      <c r="E88" s="555"/>
      <c r="F88" s="555"/>
      <c r="G88" s="555"/>
      <c r="H88" s="555"/>
      <c r="I88" s="555"/>
      <c r="J88" s="555"/>
      <c r="K88" s="555"/>
      <c r="L88" s="555"/>
      <c r="M88" s="555"/>
      <c r="N88" s="555"/>
      <c r="O88" s="555"/>
      <c r="P88" s="555"/>
      <c r="Q88" s="555"/>
      <c r="R88" s="555"/>
      <c r="S88" s="555"/>
      <c r="T88" s="555"/>
      <c r="U88" s="555"/>
      <c r="V88" s="555"/>
      <c r="W88" s="555"/>
      <c r="X88" s="555"/>
      <c r="Y88" s="556"/>
      <c r="Z88" s="556"/>
      <c r="AA88" s="556"/>
      <c r="AB88" s="556"/>
      <c r="AC88" s="556"/>
      <c r="AD88" s="557"/>
      <c r="AF88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9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zoomScale="72" zoomScaleNormal="72" zoomScaleSheetLayoutView="70" workbookViewId="0">
      <selection activeCell="K85" sqref="K85:S85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51" t="s">
        <v>342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6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173" t="s">
        <v>17</v>
      </c>
      <c r="L5" s="173" t="s">
        <v>18</v>
      </c>
      <c r="M5" s="173" t="s">
        <v>19</v>
      </c>
      <c r="N5" s="17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6" ht="27" customHeight="1">
      <c r="A6" s="108">
        <v>1</v>
      </c>
      <c r="B6" s="11" t="s">
        <v>149</v>
      </c>
      <c r="C6" s="37" t="s">
        <v>177</v>
      </c>
      <c r="D6" s="55" t="s">
        <v>190</v>
      </c>
      <c r="E6" s="57" t="s">
        <v>191</v>
      </c>
      <c r="F6" s="33" t="s">
        <v>192</v>
      </c>
      <c r="G6" s="12">
        <v>1</v>
      </c>
      <c r="H6" s="13">
        <v>25</v>
      </c>
      <c r="I6" s="34">
        <v>3000</v>
      </c>
      <c r="J6" s="5">
        <v>1030</v>
      </c>
      <c r="K6" s="15">
        <f>L6+1319</f>
        <v>2343</v>
      </c>
      <c r="L6" s="15">
        <f>562+462</f>
        <v>1024</v>
      </c>
      <c r="M6" s="16">
        <f t="shared" ref="M6" si="0">L6-N6</f>
        <v>1024</v>
      </c>
      <c r="N6" s="16">
        <v>0</v>
      </c>
      <c r="O6" s="62">
        <f t="shared" ref="O6" si="1">IF(L6=0,"0",N6/L6)</f>
        <v>0</v>
      </c>
      <c r="P6" s="42">
        <f t="shared" ref="P6" si="2">IF(L6=0,"0",(24-Q6))</f>
        <v>9</v>
      </c>
      <c r="Q6" s="43">
        <f t="shared" ref="Q6" si="3">SUM(R6:AA6)</f>
        <v>15</v>
      </c>
      <c r="R6" s="7">
        <v>15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" si="4">IF(J6=0,"0",(L6/J6))</f>
        <v>0.99417475728155336</v>
      </c>
      <c r="AC6" s="9">
        <f t="shared" ref="AC6" si="5">IF(P6=0,"0",(P6/24))</f>
        <v>0.375</v>
      </c>
      <c r="AD6" s="10">
        <f t="shared" ref="AD6" si="6">AC6*AB6*(1-O6)</f>
        <v>0.37281553398058254</v>
      </c>
      <c r="AE6" s="39">
        <f t="shared" ref="AE6:AE20" si="7">$AD$21</f>
        <v>0.66454379103035088</v>
      </c>
      <c r="AF6" s="94">
        <f t="shared" ref="AF6" si="8">A6</f>
        <v>1</v>
      </c>
    </row>
    <row r="7" spans="1:36" ht="27" customHeight="1">
      <c r="A7" s="108">
        <v>2</v>
      </c>
      <c r="B7" s="11" t="s">
        <v>149</v>
      </c>
      <c r="C7" s="37" t="s">
        <v>177</v>
      </c>
      <c r="D7" s="55" t="s">
        <v>190</v>
      </c>
      <c r="E7" s="57" t="s">
        <v>191</v>
      </c>
      <c r="F7" s="33" t="s">
        <v>192</v>
      </c>
      <c r="G7" s="12">
        <v>1</v>
      </c>
      <c r="H7" s="13">
        <v>25</v>
      </c>
      <c r="I7" s="34">
        <v>3000</v>
      </c>
      <c r="J7" s="5">
        <v>1320</v>
      </c>
      <c r="K7" s="15">
        <f>L7+1319</f>
        <v>1319</v>
      </c>
      <c r="L7" s="15"/>
      <c r="M7" s="16">
        <f t="shared" ref="M7:M20" si="9">L7-N7</f>
        <v>0</v>
      </c>
      <c r="N7" s="16">
        <v>0</v>
      </c>
      <c r="O7" s="62" t="str">
        <f t="shared" ref="O7:O21" si="10">IF(L7=0,"0",N7/L7)</f>
        <v>0</v>
      </c>
      <c r="P7" s="42" t="str">
        <f t="shared" ref="P7:P20" si="11">IF(L7=0,"0",(24-Q7))</f>
        <v>0</v>
      </c>
      <c r="Q7" s="43">
        <f t="shared" ref="Q7:Q20" si="12">SUM(R7:AA7)</f>
        <v>24</v>
      </c>
      <c r="R7" s="7">
        <v>24</v>
      </c>
      <c r="S7" s="6"/>
      <c r="T7" s="17"/>
      <c r="U7" s="17"/>
      <c r="V7" s="18"/>
      <c r="W7" s="19"/>
      <c r="X7" s="17"/>
      <c r="Y7" s="20"/>
      <c r="Z7" s="20"/>
      <c r="AA7" s="21"/>
      <c r="AB7" s="8">
        <f t="shared" ref="AB7:AB20" si="13">IF(J7=0,"0",(L7/J7))</f>
        <v>0</v>
      </c>
      <c r="AC7" s="9">
        <f t="shared" ref="AC7:AC20" si="14">IF(P7=0,"0",(P7/24))</f>
        <v>0</v>
      </c>
      <c r="AD7" s="10">
        <f t="shared" ref="AD7:AD20" si="15">AC7*AB7*(1-O7)</f>
        <v>0</v>
      </c>
      <c r="AE7" s="39">
        <f t="shared" si="7"/>
        <v>0.66454379103035088</v>
      </c>
      <c r="AF7" s="94">
        <f t="shared" ref="AF7:AF20" si="16">A7</f>
        <v>2</v>
      </c>
    </row>
    <row r="8" spans="1:36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65000</v>
      </c>
      <c r="J8" s="14">
        <v>3790</v>
      </c>
      <c r="K8" s="15">
        <f>L8+452+3795+3955+5414+5383</f>
        <v>22787</v>
      </c>
      <c r="L8" s="15">
        <f>2798+990</f>
        <v>3788</v>
      </c>
      <c r="M8" s="16">
        <f t="shared" si="9"/>
        <v>3788</v>
      </c>
      <c r="N8" s="16">
        <v>0</v>
      </c>
      <c r="O8" s="62">
        <f t="shared" si="10"/>
        <v>0</v>
      </c>
      <c r="P8" s="42">
        <f t="shared" si="11"/>
        <v>18</v>
      </c>
      <c r="Q8" s="43">
        <f t="shared" si="12"/>
        <v>6</v>
      </c>
      <c r="R8" s="7"/>
      <c r="S8" s="6">
        <v>6</v>
      </c>
      <c r="T8" s="17"/>
      <c r="U8" s="17"/>
      <c r="V8" s="18"/>
      <c r="W8" s="19"/>
      <c r="X8" s="17"/>
      <c r="Y8" s="20"/>
      <c r="Z8" s="20"/>
      <c r="AA8" s="21"/>
      <c r="AB8" s="8">
        <f t="shared" si="13"/>
        <v>0.99947229551451189</v>
      </c>
      <c r="AC8" s="9">
        <f t="shared" si="14"/>
        <v>0.75</v>
      </c>
      <c r="AD8" s="10">
        <f t="shared" si="15"/>
        <v>0.74960422163588392</v>
      </c>
      <c r="AE8" s="39">
        <f t="shared" si="7"/>
        <v>0.66454379103035088</v>
      </c>
      <c r="AF8" s="94">
        <f>A8</f>
        <v>3</v>
      </c>
    </row>
    <row r="9" spans="1:36" ht="27" customHeight="1">
      <c r="A9" s="110">
        <v>4</v>
      </c>
      <c r="B9" s="11" t="s">
        <v>58</v>
      </c>
      <c r="C9" s="37" t="s">
        <v>118</v>
      </c>
      <c r="D9" s="55" t="s">
        <v>131</v>
      </c>
      <c r="E9" s="57" t="s">
        <v>139</v>
      </c>
      <c r="F9" s="33" t="s">
        <v>146</v>
      </c>
      <c r="G9" s="36">
        <v>1</v>
      </c>
      <c r="H9" s="38">
        <v>25</v>
      </c>
      <c r="I9" s="7">
        <v>45000</v>
      </c>
      <c r="J9" s="5">
        <v>4830</v>
      </c>
      <c r="K9" s="15">
        <f>L9+2660+5083+4690+2113</f>
        <v>19373</v>
      </c>
      <c r="L9" s="15">
        <f>2710+2117</f>
        <v>4827</v>
      </c>
      <c r="M9" s="16">
        <f t="shared" si="9"/>
        <v>4827</v>
      </c>
      <c r="N9" s="16">
        <v>0</v>
      </c>
      <c r="O9" s="62">
        <f t="shared" si="10"/>
        <v>0</v>
      </c>
      <c r="P9" s="42">
        <f t="shared" si="11"/>
        <v>24</v>
      </c>
      <c r="Q9" s="43">
        <f t="shared" si="12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13"/>
        <v>0.99937888198757763</v>
      </c>
      <c r="AC9" s="9">
        <f t="shared" si="14"/>
        <v>1</v>
      </c>
      <c r="AD9" s="10">
        <f t="shared" si="15"/>
        <v>0.99937888198757763</v>
      </c>
      <c r="AE9" s="39">
        <f t="shared" si="7"/>
        <v>0.66454379103035088</v>
      </c>
      <c r="AF9" s="94">
        <f t="shared" ref="AF9" si="17">A9</f>
        <v>4</v>
      </c>
    </row>
    <row r="10" spans="1:36" ht="27" customHeight="1">
      <c r="A10" s="110">
        <v>5</v>
      </c>
      <c r="B10" s="11" t="s">
        <v>58</v>
      </c>
      <c r="C10" s="11" t="s">
        <v>133</v>
      </c>
      <c r="D10" s="55" t="s">
        <v>131</v>
      </c>
      <c r="E10" s="56" t="s">
        <v>154</v>
      </c>
      <c r="F10" s="12" t="s">
        <v>148</v>
      </c>
      <c r="G10" s="12">
        <v>1</v>
      </c>
      <c r="H10" s="13">
        <v>25</v>
      </c>
      <c r="I10" s="34">
        <v>55000</v>
      </c>
      <c r="J10" s="14">
        <v>4220</v>
      </c>
      <c r="K10" s="15">
        <f>L10+2928+5697+2831+3697+5889+4241+5564+2325+1191+1007+5147+3591+3623+3888+5695</f>
        <v>61534</v>
      </c>
      <c r="L10" s="15">
        <f>3328+892</f>
        <v>4220</v>
      </c>
      <c r="M10" s="16">
        <f t="shared" si="9"/>
        <v>4220</v>
      </c>
      <c r="N10" s="16">
        <v>0</v>
      </c>
      <c r="O10" s="62">
        <f t="shared" si="10"/>
        <v>0</v>
      </c>
      <c r="P10" s="42">
        <f t="shared" si="11"/>
        <v>20</v>
      </c>
      <c r="Q10" s="43">
        <f t="shared" si="12"/>
        <v>4</v>
      </c>
      <c r="R10" s="7"/>
      <c r="S10" s="6">
        <v>4</v>
      </c>
      <c r="T10" s="17"/>
      <c r="U10" s="17"/>
      <c r="V10" s="18"/>
      <c r="W10" s="19"/>
      <c r="X10" s="17"/>
      <c r="Y10" s="20"/>
      <c r="Z10" s="20"/>
      <c r="AA10" s="21"/>
      <c r="AB10" s="8">
        <f t="shared" si="13"/>
        <v>1</v>
      </c>
      <c r="AC10" s="9">
        <f t="shared" si="14"/>
        <v>0.83333333333333337</v>
      </c>
      <c r="AD10" s="10">
        <f t="shared" si="15"/>
        <v>0.83333333333333337</v>
      </c>
      <c r="AE10" s="39">
        <f t="shared" si="7"/>
        <v>0.66454379103035088</v>
      </c>
      <c r="AF10" s="94">
        <f t="shared" si="16"/>
        <v>5</v>
      </c>
    </row>
    <row r="11" spans="1:36" ht="27" customHeight="1">
      <c r="A11" s="110">
        <v>6</v>
      </c>
      <c r="B11" s="11" t="s">
        <v>58</v>
      </c>
      <c r="C11" s="11" t="s">
        <v>163</v>
      </c>
      <c r="D11" s="55" t="s">
        <v>193</v>
      </c>
      <c r="E11" s="57" t="s">
        <v>194</v>
      </c>
      <c r="F11" s="12" t="s">
        <v>147</v>
      </c>
      <c r="G11" s="12">
        <v>1</v>
      </c>
      <c r="H11" s="13">
        <v>25</v>
      </c>
      <c r="I11" s="34">
        <v>11000</v>
      </c>
      <c r="J11" s="14">
        <v>6320</v>
      </c>
      <c r="K11" s="15">
        <f>L11+326+3623+6580</f>
        <v>16842</v>
      </c>
      <c r="L11" s="15">
        <f>3553+2760</f>
        <v>6313</v>
      </c>
      <c r="M11" s="16">
        <f t="shared" si="9"/>
        <v>6313</v>
      </c>
      <c r="N11" s="16">
        <v>0</v>
      </c>
      <c r="O11" s="62">
        <f t="shared" si="10"/>
        <v>0</v>
      </c>
      <c r="P11" s="42">
        <f t="shared" si="11"/>
        <v>24</v>
      </c>
      <c r="Q11" s="43">
        <f t="shared" si="12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13"/>
        <v>0.99889240506329113</v>
      </c>
      <c r="AC11" s="9">
        <f t="shared" si="14"/>
        <v>1</v>
      </c>
      <c r="AD11" s="10">
        <f t="shared" si="15"/>
        <v>0.99889240506329113</v>
      </c>
      <c r="AE11" s="39">
        <f t="shared" si="7"/>
        <v>0.66454379103035088</v>
      </c>
      <c r="AF11" s="94">
        <f t="shared" si="16"/>
        <v>6</v>
      </c>
    </row>
    <row r="12" spans="1:36" ht="27" customHeight="1">
      <c r="A12" s="110">
        <v>7</v>
      </c>
      <c r="B12" s="11" t="s">
        <v>58</v>
      </c>
      <c r="C12" s="11" t="s">
        <v>118</v>
      </c>
      <c r="D12" s="55" t="s">
        <v>57</v>
      </c>
      <c r="E12" s="57" t="s">
        <v>160</v>
      </c>
      <c r="F12" s="12" t="s">
        <v>145</v>
      </c>
      <c r="G12" s="12">
        <v>1</v>
      </c>
      <c r="H12" s="13">
        <v>25</v>
      </c>
      <c r="I12" s="7">
        <v>62000</v>
      </c>
      <c r="J12" s="14">
        <v>4890</v>
      </c>
      <c r="K12" s="15">
        <f>L12+3062+3955+2262+4171+4492+4201+2422+2930</f>
        <v>32278</v>
      </c>
      <c r="L12" s="15">
        <f>2788+1995</f>
        <v>4783</v>
      </c>
      <c r="M12" s="16">
        <f t="shared" si="9"/>
        <v>4783</v>
      </c>
      <c r="N12" s="16">
        <v>0</v>
      </c>
      <c r="O12" s="62">
        <f t="shared" si="10"/>
        <v>0</v>
      </c>
      <c r="P12" s="42">
        <f t="shared" si="11"/>
        <v>24</v>
      </c>
      <c r="Q12" s="43">
        <f t="shared" si="12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13"/>
        <v>0.97811860940695294</v>
      </c>
      <c r="AC12" s="9">
        <f t="shared" si="14"/>
        <v>1</v>
      </c>
      <c r="AD12" s="10">
        <f t="shared" si="15"/>
        <v>0.97811860940695294</v>
      </c>
      <c r="AE12" s="39">
        <f t="shared" si="7"/>
        <v>0.66454379103035088</v>
      </c>
      <c r="AF12" s="94">
        <f t="shared" si="16"/>
        <v>7</v>
      </c>
    </row>
    <row r="13" spans="1:36" ht="27" customHeight="1">
      <c r="A13" s="110">
        <v>8</v>
      </c>
      <c r="B13" s="11" t="s">
        <v>58</v>
      </c>
      <c r="C13" s="11" t="s">
        <v>289</v>
      </c>
      <c r="D13" s="55" t="s">
        <v>290</v>
      </c>
      <c r="E13" s="57" t="s">
        <v>291</v>
      </c>
      <c r="F13" s="12" t="s">
        <v>142</v>
      </c>
      <c r="G13" s="12">
        <v>1</v>
      </c>
      <c r="H13" s="13">
        <v>25</v>
      </c>
      <c r="I13" s="7">
        <v>1000</v>
      </c>
      <c r="J13" s="14">
        <v>1260</v>
      </c>
      <c r="K13" s="15">
        <f>L13+1257</f>
        <v>1257</v>
      </c>
      <c r="L13" s="15"/>
      <c r="M13" s="16">
        <f t="shared" si="9"/>
        <v>0</v>
      </c>
      <c r="N13" s="16">
        <v>0</v>
      </c>
      <c r="O13" s="62" t="str">
        <f t="shared" si="10"/>
        <v>0</v>
      </c>
      <c r="P13" s="42" t="str">
        <f t="shared" si="11"/>
        <v>0</v>
      </c>
      <c r="Q13" s="43">
        <f t="shared" si="12"/>
        <v>24</v>
      </c>
      <c r="R13" s="7"/>
      <c r="S13" s="6"/>
      <c r="T13" s="17"/>
      <c r="U13" s="17"/>
      <c r="V13" s="18"/>
      <c r="W13" s="19"/>
      <c r="X13" s="17"/>
      <c r="Y13" s="20"/>
      <c r="Z13" s="20"/>
      <c r="AA13" s="21">
        <v>24</v>
      </c>
      <c r="AB13" s="8">
        <f t="shared" si="13"/>
        <v>0</v>
      </c>
      <c r="AC13" s="9">
        <f t="shared" si="14"/>
        <v>0</v>
      </c>
      <c r="AD13" s="10">
        <f t="shared" si="15"/>
        <v>0</v>
      </c>
      <c r="AE13" s="39">
        <f t="shared" si="7"/>
        <v>0.66454379103035088</v>
      </c>
      <c r="AF13" s="94">
        <f t="shared" si="16"/>
        <v>8</v>
      </c>
    </row>
    <row r="14" spans="1:36" ht="27" customHeight="1">
      <c r="A14" s="109">
        <v>9</v>
      </c>
      <c r="B14" s="11" t="s">
        <v>149</v>
      </c>
      <c r="C14" s="37" t="s">
        <v>195</v>
      </c>
      <c r="D14" s="55" t="s">
        <v>196</v>
      </c>
      <c r="E14" s="57" t="s">
        <v>343</v>
      </c>
      <c r="F14" s="33" t="s">
        <v>293</v>
      </c>
      <c r="G14" s="36">
        <v>1</v>
      </c>
      <c r="H14" s="38">
        <v>25</v>
      </c>
      <c r="I14" s="7">
        <v>100</v>
      </c>
      <c r="J14" s="5">
        <v>650</v>
      </c>
      <c r="K14" s="15">
        <f>L14</f>
        <v>649</v>
      </c>
      <c r="L14" s="15">
        <f>649</f>
        <v>649</v>
      </c>
      <c r="M14" s="16">
        <f t="shared" si="9"/>
        <v>649</v>
      </c>
      <c r="N14" s="16">
        <v>0</v>
      </c>
      <c r="O14" s="62">
        <f t="shared" si="10"/>
        <v>0</v>
      </c>
      <c r="P14" s="42">
        <f t="shared" si="11"/>
        <v>8</v>
      </c>
      <c r="Q14" s="43">
        <f t="shared" si="12"/>
        <v>16</v>
      </c>
      <c r="R14" s="7"/>
      <c r="S14" s="6"/>
      <c r="T14" s="17"/>
      <c r="U14" s="17"/>
      <c r="V14" s="18"/>
      <c r="W14" s="19">
        <v>16</v>
      </c>
      <c r="X14" s="17"/>
      <c r="Y14" s="20"/>
      <c r="Z14" s="20"/>
      <c r="AA14" s="21"/>
      <c r="AB14" s="8">
        <f t="shared" si="13"/>
        <v>0.99846153846153851</v>
      </c>
      <c r="AC14" s="9">
        <f t="shared" si="14"/>
        <v>0.33333333333333331</v>
      </c>
      <c r="AD14" s="10">
        <f t="shared" si="15"/>
        <v>0.33282051282051284</v>
      </c>
      <c r="AE14" s="39">
        <f t="shared" si="7"/>
        <v>0.66454379103035088</v>
      </c>
      <c r="AF14" s="94">
        <f t="shared" si="16"/>
        <v>9</v>
      </c>
    </row>
    <row r="15" spans="1:36" ht="27" customHeight="1">
      <c r="A15" s="109">
        <v>10</v>
      </c>
      <c r="B15" s="11" t="s">
        <v>149</v>
      </c>
      <c r="C15" s="11" t="s">
        <v>344</v>
      </c>
      <c r="D15" s="55" t="s">
        <v>345</v>
      </c>
      <c r="E15" s="57" t="s">
        <v>346</v>
      </c>
      <c r="F15" s="12" t="s">
        <v>347</v>
      </c>
      <c r="G15" s="12">
        <v>1</v>
      </c>
      <c r="H15" s="13">
        <v>20</v>
      </c>
      <c r="I15" s="34">
        <v>3000</v>
      </c>
      <c r="J15" s="14">
        <v>5050</v>
      </c>
      <c r="K15" s="15">
        <f>L15</f>
        <v>5046</v>
      </c>
      <c r="L15" s="15">
        <f>3337+1709</f>
        <v>5046</v>
      </c>
      <c r="M15" s="16">
        <f t="shared" si="9"/>
        <v>5046</v>
      </c>
      <c r="N15" s="16">
        <v>0</v>
      </c>
      <c r="O15" s="62">
        <f t="shared" si="10"/>
        <v>0</v>
      </c>
      <c r="P15" s="42">
        <f t="shared" si="11"/>
        <v>24</v>
      </c>
      <c r="Q15" s="43">
        <f t="shared" si="12"/>
        <v>0</v>
      </c>
      <c r="R15" s="7"/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13"/>
        <v>0.99920792079207921</v>
      </c>
      <c r="AC15" s="9">
        <f t="shared" si="14"/>
        <v>1</v>
      </c>
      <c r="AD15" s="10">
        <f t="shared" si="15"/>
        <v>0.99920792079207921</v>
      </c>
      <c r="AE15" s="39">
        <f t="shared" si="7"/>
        <v>0.66454379103035088</v>
      </c>
      <c r="AF15" s="94">
        <f t="shared" si="16"/>
        <v>10</v>
      </c>
    </row>
    <row r="16" spans="1:36" ht="27.75" customHeight="1">
      <c r="A16" s="109">
        <v>11</v>
      </c>
      <c r="B16" s="11" t="s">
        <v>149</v>
      </c>
      <c r="C16" s="11" t="s">
        <v>177</v>
      </c>
      <c r="D16" s="55" t="s">
        <v>348</v>
      </c>
      <c r="E16" s="56" t="s">
        <v>349</v>
      </c>
      <c r="F16" s="12" t="s">
        <v>350</v>
      </c>
      <c r="G16" s="36">
        <v>1</v>
      </c>
      <c r="H16" s="38">
        <v>25</v>
      </c>
      <c r="I16" s="7">
        <v>2500</v>
      </c>
      <c r="J16" s="14">
        <v>4970</v>
      </c>
      <c r="K16" s="15">
        <f>L16</f>
        <v>4961</v>
      </c>
      <c r="L16" s="15">
        <f>3247+1714</f>
        <v>4961</v>
      </c>
      <c r="M16" s="16">
        <f t="shared" si="9"/>
        <v>4961</v>
      </c>
      <c r="N16" s="16">
        <v>0</v>
      </c>
      <c r="O16" s="62">
        <f t="shared" si="10"/>
        <v>0</v>
      </c>
      <c r="P16" s="42">
        <f t="shared" si="11"/>
        <v>24</v>
      </c>
      <c r="Q16" s="43">
        <f t="shared" si="12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13"/>
        <v>0.99818913480885307</v>
      </c>
      <c r="AC16" s="9">
        <f t="shared" si="14"/>
        <v>1</v>
      </c>
      <c r="AD16" s="10">
        <f t="shared" si="15"/>
        <v>0.99818913480885307</v>
      </c>
      <c r="AE16" s="39">
        <f t="shared" si="7"/>
        <v>0.66454379103035088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149</v>
      </c>
      <c r="C17" s="37" t="s">
        <v>151</v>
      </c>
      <c r="D17" s="55" t="s">
        <v>296</v>
      </c>
      <c r="E17" s="56" t="s">
        <v>297</v>
      </c>
      <c r="F17" s="12" t="s">
        <v>298</v>
      </c>
      <c r="G17" s="12">
        <v>1</v>
      </c>
      <c r="H17" s="13">
        <v>25</v>
      </c>
      <c r="I17" s="34">
        <v>1000</v>
      </c>
      <c r="J17" s="5">
        <v>2090</v>
      </c>
      <c r="K17" s="15">
        <f>L17+2090</f>
        <v>2090</v>
      </c>
      <c r="L17" s="15"/>
      <c r="M17" s="16">
        <f t="shared" si="9"/>
        <v>0</v>
      </c>
      <c r="N17" s="16">
        <v>0</v>
      </c>
      <c r="O17" s="62" t="str">
        <f t="shared" si="10"/>
        <v>0</v>
      </c>
      <c r="P17" s="42" t="str">
        <f t="shared" si="11"/>
        <v>0</v>
      </c>
      <c r="Q17" s="43">
        <f t="shared" si="12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13"/>
        <v>0</v>
      </c>
      <c r="AC17" s="9">
        <f t="shared" si="14"/>
        <v>0</v>
      </c>
      <c r="AD17" s="10">
        <f t="shared" si="15"/>
        <v>0</v>
      </c>
      <c r="AE17" s="39">
        <f t="shared" si="7"/>
        <v>0.66454379103035088</v>
      </c>
      <c r="AF17" s="94">
        <f t="shared" ref="AF17" si="18">A17</f>
        <v>12</v>
      </c>
    </row>
    <row r="18" spans="1:32" ht="27" customHeight="1">
      <c r="A18" s="110">
        <v>13</v>
      </c>
      <c r="B18" s="11" t="s">
        <v>58</v>
      </c>
      <c r="C18" s="37" t="s">
        <v>118</v>
      </c>
      <c r="D18" s="55" t="s">
        <v>131</v>
      </c>
      <c r="E18" s="57" t="s">
        <v>158</v>
      </c>
      <c r="F18" s="33" t="s">
        <v>142</v>
      </c>
      <c r="G18" s="36">
        <v>1</v>
      </c>
      <c r="H18" s="38">
        <v>25</v>
      </c>
      <c r="I18" s="7">
        <v>62000</v>
      </c>
      <c r="J18" s="5">
        <v>3020</v>
      </c>
      <c r="K18" s="15">
        <f>L18+2232+4609+1982+1137+3270+2188+1609+3870+5108</f>
        <v>29018</v>
      </c>
      <c r="L18" s="15">
        <f>743+2270</f>
        <v>3013</v>
      </c>
      <c r="M18" s="16">
        <f t="shared" si="9"/>
        <v>3013</v>
      </c>
      <c r="N18" s="16">
        <v>0</v>
      </c>
      <c r="O18" s="62">
        <f t="shared" si="10"/>
        <v>0</v>
      </c>
      <c r="P18" s="42">
        <f t="shared" si="11"/>
        <v>18</v>
      </c>
      <c r="Q18" s="43">
        <f t="shared" si="12"/>
        <v>6</v>
      </c>
      <c r="R18" s="7">
        <v>6</v>
      </c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13"/>
        <v>0.99768211920529803</v>
      </c>
      <c r="AC18" s="9">
        <f t="shared" si="14"/>
        <v>0.75</v>
      </c>
      <c r="AD18" s="10">
        <f t="shared" si="15"/>
        <v>0.74826158940397347</v>
      </c>
      <c r="AE18" s="39">
        <f t="shared" si="7"/>
        <v>0.66454379103035088</v>
      </c>
      <c r="AF18" s="94">
        <f t="shared" si="16"/>
        <v>13</v>
      </c>
    </row>
    <row r="19" spans="1:32" ht="27" customHeight="1">
      <c r="A19" s="110">
        <v>14</v>
      </c>
      <c r="B19" s="11" t="s">
        <v>58</v>
      </c>
      <c r="C19" s="11" t="s">
        <v>118</v>
      </c>
      <c r="D19" s="55" t="s">
        <v>57</v>
      </c>
      <c r="E19" s="56" t="s">
        <v>159</v>
      </c>
      <c r="F19" s="12" t="s">
        <v>145</v>
      </c>
      <c r="G19" s="12">
        <v>1</v>
      </c>
      <c r="H19" s="38">
        <v>25</v>
      </c>
      <c r="I19" s="34">
        <v>45000</v>
      </c>
      <c r="J19" s="5">
        <v>4800</v>
      </c>
      <c r="K19" s="15">
        <f>L19+4457+5150+5194+2223+4847+5149+5390+3119+5128</f>
        <v>45453</v>
      </c>
      <c r="L19" s="15">
        <f>3041+1755</f>
        <v>4796</v>
      </c>
      <c r="M19" s="16">
        <f t="shared" si="9"/>
        <v>4796</v>
      </c>
      <c r="N19" s="16">
        <v>0</v>
      </c>
      <c r="O19" s="62">
        <f t="shared" si="10"/>
        <v>0</v>
      </c>
      <c r="P19" s="42">
        <f t="shared" si="11"/>
        <v>23</v>
      </c>
      <c r="Q19" s="43">
        <f t="shared" si="12"/>
        <v>1</v>
      </c>
      <c r="R19" s="7"/>
      <c r="S19" s="6">
        <v>1</v>
      </c>
      <c r="T19" s="17"/>
      <c r="U19" s="17"/>
      <c r="V19" s="18"/>
      <c r="W19" s="19"/>
      <c r="X19" s="17"/>
      <c r="Y19" s="20"/>
      <c r="Z19" s="20"/>
      <c r="AA19" s="21"/>
      <c r="AB19" s="8">
        <f t="shared" si="13"/>
        <v>0.99916666666666665</v>
      </c>
      <c r="AC19" s="9">
        <f t="shared" si="14"/>
        <v>0.95833333333333337</v>
      </c>
      <c r="AD19" s="10">
        <f t="shared" si="15"/>
        <v>0.95753472222222225</v>
      </c>
      <c r="AE19" s="39">
        <f t="shared" si="7"/>
        <v>0.66454379103035088</v>
      </c>
      <c r="AF19" s="94">
        <f t="shared" si="16"/>
        <v>14</v>
      </c>
    </row>
    <row r="20" spans="1:32" ht="27" customHeight="1" thickBot="1">
      <c r="A20" s="110">
        <v>15</v>
      </c>
      <c r="B20" s="11" t="s">
        <v>58</v>
      </c>
      <c r="C20" s="11" t="s">
        <v>115</v>
      </c>
      <c r="D20" s="55"/>
      <c r="E20" s="56" t="s">
        <v>250</v>
      </c>
      <c r="F20" s="12" t="s">
        <v>116</v>
      </c>
      <c r="G20" s="12">
        <v>4</v>
      </c>
      <c r="H20" s="38">
        <v>15</v>
      </c>
      <c r="I20" s="7">
        <v>300000</v>
      </c>
      <c r="J20" s="14">
        <v>63820</v>
      </c>
      <c r="K20" s="15">
        <f>L20+35456+63764</f>
        <v>163040</v>
      </c>
      <c r="L20" s="15">
        <f>9445*4+6510*4</f>
        <v>63820</v>
      </c>
      <c r="M20" s="16">
        <f t="shared" si="9"/>
        <v>63820</v>
      </c>
      <c r="N20" s="16">
        <v>0</v>
      </c>
      <c r="O20" s="62">
        <f t="shared" si="10"/>
        <v>0</v>
      </c>
      <c r="P20" s="42">
        <f t="shared" si="11"/>
        <v>24</v>
      </c>
      <c r="Q20" s="43">
        <f t="shared" si="12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13"/>
        <v>1</v>
      </c>
      <c r="AC20" s="9">
        <f t="shared" si="14"/>
        <v>1</v>
      </c>
      <c r="AD20" s="10">
        <f t="shared" si="15"/>
        <v>1</v>
      </c>
      <c r="AE20" s="39">
        <f t="shared" si="7"/>
        <v>0.66454379103035088</v>
      </c>
      <c r="AF20" s="94">
        <f t="shared" si="16"/>
        <v>15</v>
      </c>
    </row>
    <row r="21" spans="1:32" ht="31.5" customHeight="1" thickBot="1">
      <c r="A21" s="465" t="s">
        <v>34</v>
      </c>
      <c r="B21" s="466"/>
      <c r="C21" s="466"/>
      <c r="D21" s="466"/>
      <c r="E21" s="466"/>
      <c r="F21" s="466"/>
      <c r="G21" s="466"/>
      <c r="H21" s="467"/>
      <c r="I21" s="25">
        <f t="shared" ref="I21:N21" si="19">SUM(I6:I20)</f>
        <v>658600</v>
      </c>
      <c r="J21" s="22">
        <f t="shared" si="19"/>
        <v>112060</v>
      </c>
      <c r="K21" s="23">
        <f t="shared" si="19"/>
        <v>407990</v>
      </c>
      <c r="L21" s="24">
        <f t="shared" si="19"/>
        <v>107240</v>
      </c>
      <c r="M21" s="23">
        <f t="shared" si="19"/>
        <v>107240</v>
      </c>
      <c r="N21" s="24">
        <f t="shared" si="19"/>
        <v>0</v>
      </c>
      <c r="O21" s="44">
        <f t="shared" si="10"/>
        <v>0</v>
      </c>
      <c r="P21" s="45">
        <f t="shared" ref="P21:AA21" si="20">SUM(P6:P20)</f>
        <v>240</v>
      </c>
      <c r="Q21" s="46">
        <f t="shared" si="20"/>
        <v>120</v>
      </c>
      <c r="R21" s="26">
        <f t="shared" si="20"/>
        <v>45</v>
      </c>
      <c r="S21" s="27">
        <f t="shared" si="20"/>
        <v>11</v>
      </c>
      <c r="T21" s="27">
        <f t="shared" si="20"/>
        <v>0</v>
      </c>
      <c r="U21" s="27">
        <f t="shared" si="20"/>
        <v>0</v>
      </c>
      <c r="V21" s="28">
        <f t="shared" si="20"/>
        <v>0</v>
      </c>
      <c r="W21" s="29">
        <f t="shared" si="20"/>
        <v>40</v>
      </c>
      <c r="X21" s="30">
        <f t="shared" si="20"/>
        <v>0</v>
      </c>
      <c r="Y21" s="30">
        <f t="shared" si="20"/>
        <v>0</v>
      </c>
      <c r="Z21" s="30">
        <f t="shared" si="20"/>
        <v>0</v>
      </c>
      <c r="AA21" s="30">
        <f t="shared" si="20"/>
        <v>24</v>
      </c>
      <c r="AB21" s="31">
        <f>SUM(AB6:AB20)/15</f>
        <v>0.79751628861255475</v>
      </c>
      <c r="AC21" s="4">
        <f>SUM(AC6:AC20)/15</f>
        <v>0.66666666666666674</v>
      </c>
      <c r="AD21" s="4">
        <f>SUM(AD6:AD20)/15</f>
        <v>0.66454379103035088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68" t="s">
        <v>45</v>
      </c>
      <c r="B48" s="468"/>
      <c r="C48" s="468"/>
      <c r="D48" s="468"/>
      <c r="E48" s="468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69" t="s">
        <v>351</v>
      </c>
      <c r="B49" s="470"/>
      <c r="C49" s="470"/>
      <c r="D49" s="470"/>
      <c r="E49" s="470"/>
      <c r="F49" s="470"/>
      <c r="G49" s="470"/>
      <c r="H49" s="470"/>
      <c r="I49" s="470"/>
      <c r="J49" s="470"/>
      <c r="K49" s="470"/>
      <c r="L49" s="470"/>
      <c r="M49" s="471"/>
      <c r="N49" s="472" t="s">
        <v>364</v>
      </c>
      <c r="O49" s="473"/>
      <c r="P49" s="473"/>
      <c r="Q49" s="473"/>
      <c r="R49" s="473"/>
      <c r="S49" s="473"/>
      <c r="T49" s="473"/>
      <c r="U49" s="473"/>
      <c r="V49" s="473"/>
      <c r="W49" s="473"/>
      <c r="X49" s="473"/>
      <c r="Y49" s="473"/>
      <c r="Z49" s="473"/>
      <c r="AA49" s="473"/>
      <c r="AB49" s="473"/>
      <c r="AC49" s="473"/>
      <c r="AD49" s="474"/>
    </row>
    <row r="50" spans="1:32" ht="27" customHeight="1">
      <c r="A50" s="475" t="s">
        <v>2</v>
      </c>
      <c r="B50" s="476"/>
      <c r="C50" s="172" t="s">
        <v>46</v>
      </c>
      <c r="D50" s="172" t="s">
        <v>47</v>
      </c>
      <c r="E50" s="172" t="s">
        <v>109</v>
      </c>
      <c r="F50" s="476" t="s">
        <v>108</v>
      </c>
      <c r="G50" s="476"/>
      <c r="H50" s="476"/>
      <c r="I50" s="476"/>
      <c r="J50" s="476"/>
      <c r="K50" s="476"/>
      <c r="L50" s="476"/>
      <c r="M50" s="477"/>
      <c r="N50" s="73" t="s">
        <v>113</v>
      </c>
      <c r="O50" s="172" t="s">
        <v>46</v>
      </c>
      <c r="P50" s="478" t="s">
        <v>47</v>
      </c>
      <c r="Q50" s="479"/>
      <c r="R50" s="478" t="s">
        <v>38</v>
      </c>
      <c r="S50" s="480"/>
      <c r="T50" s="480"/>
      <c r="U50" s="479"/>
      <c r="V50" s="478" t="s">
        <v>48</v>
      </c>
      <c r="W50" s="480"/>
      <c r="X50" s="480"/>
      <c r="Y50" s="480"/>
      <c r="Z50" s="480"/>
      <c r="AA50" s="480"/>
      <c r="AB50" s="480"/>
      <c r="AC50" s="480"/>
      <c r="AD50" s="481"/>
    </row>
    <row r="51" spans="1:32" ht="27" customHeight="1">
      <c r="A51" s="492" t="s">
        <v>205</v>
      </c>
      <c r="B51" s="493"/>
      <c r="C51" s="171" t="s">
        <v>252</v>
      </c>
      <c r="D51" s="168" t="s">
        <v>352</v>
      </c>
      <c r="E51" s="171" t="s">
        <v>349</v>
      </c>
      <c r="F51" s="494" t="s">
        <v>253</v>
      </c>
      <c r="G51" s="494"/>
      <c r="H51" s="494"/>
      <c r="I51" s="494"/>
      <c r="J51" s="494"/>
      <c r="K51" s="494"/>
      <c r="L51" s="494"/>
      <c r="M51" s="495"/>
      <c r="N51" s="167" t="s">
        <v>117</v>
      </c>
      <c r="O51" s="74" t="s">
        <v>143</v>
      </c>
      <c r="P51" s="496" t="s">
        <v>57</v>
      </c>
      <c r="Q51" s="497"/>
      <c r="R51" s="498" t="s">
        <v>365</v>
      </c>
      <c r="S51" s="498"/>
      <c r="T51" s="498"/>
      <c r="U51" s="498"/>
      <c r="V51" s="494" t="s">
        <v>313</v>
      </c>
      <c r="W51" s="494"/>
      <c r="X51" s="494"/>
      <c r="Y51" s="494"/>
      <c r="Z51" s="494"/>
      <c r="AA51" s="494"/>
      <c r="AB51" s="494"/>
      <c r="AC51" s="494"/>
      <c r="AD51" s="495"/>
    </row>
    <row r="52" spans="1:32" ht="27" customHeight="1">
      <c r="A52" s="492" t="s">
        <v>353</v>
      </c>
      <c r="B52" s="493"/>
      <c r="C52" s="171" t="s">
        <v>354</v>
      </c>
      <c r="D52" s="168" t="s">
        <v>355</v>
      </c>
      <c r="E52" s="171" t="s">
        <v>356</v>
      </c>
      <c r="F52" s="494" t="s">
        <v>357</v>
      </c>
      <c r="G52" s="494"/>
      <c r="H52" s="494"/>
      <c r="I52" s="494"/>
      <c r="J52" s="494"/>
      <c r="K52" s="494"/>
      <c r="L52" s="494"/>
      <c r="M52" s="495"/>
      <c r="N52" s="167" t="s">
        <v>272</v>
      </c>
      <c r="O52" s="74" t="s">
        <v>252</v>
      </c>
      <c r="P52" s="496" t="s">
        <v>367</v>
      </c>
      <c r="Q52" s="497"/>
      <c r="R52" s="498" t="s">
        <v>366</v>
      </c>
      <c r="S52" s="498"/>
      <c r="T52" s="498"/>
      <c r="U52" s="498"/>
      <c r="V52" s="494" t="s">
        <v>253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173</v>
      </c>
      <c r="B53" s="493"/>
      <c r="C53" s="171" t="s">
        <v>358</v>
      </c>
      <c r="D53" s="168" t="s">
        <v>57</v>
      </c>
      <c r="E53" s="171" t="s">
        <v>359</v>
      </c>
      <c r="F53" s="494" t="s">
        <v>360</v>
      </c>
      <c r="G53" s="494"/>
      <c r="H53" s="494"/>
      <c r="I53" s="494"/>
      <c r="J53" s="494"/>
      <c r="K53" s="494"/>
      <c r="L53" s="494"/>
      <c r="M53" s="495"/>
      <c r="N53" s="167" t="s">
        <v>117</v>
      </c>
      <c r="O53" s="74" t="s">
        <v>368</v>
      </c>
      <c r="P53" s="496" t="s">
        <v>320</v>
      </c>
      <c r="Q53" s="497"/>
      <c r="R53" s="498" t="s">
        <v>369</v>
      </c>
      <c r="S53" s="498"/>
      <c r="T53" s="498"/>
      <c r="U53" s="498"/>
      <c r="V53" s="494" t="s">
        <v>253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173</v>
      </c>
      <c r="B54" s="493"/>
      <c r="C54" s="171" t="s">
        <v>361</v>
      </c>
      <c r="D54" s="168" t="s">
        <v>348</v>
      </c>
      <c r="E54" s="171" t="s">
        <v>362</v>
      </c>
      <c r="F54" s="494" t="s">
        <v>363</v>
      </c>
      <c r="G54" s="494"/>
      <c r="H54" s="494"/>
      <c r="I54" s="494"/>
      <c r="J54" s="494"/>
      <c r="K54" s="494"/>
      <c r="L54" s="494"/>
      <c r="M54" s="495"/>
      <c r="N54" s="167" t="s">
        <v>117</v>
      </c>
      <c r="O54" s="74" t="s">
        <v>370</v>
      </c>
      <c r="P54" s="496" t="s">
        <v>131</v>
      </c>
      <c r="Q54" s="497"/>
      <c r="R54" s="498" t="s">
        <v>371</v>
      </c>
      <c r="S54" s="498"/>
      <c r="T54" s="498"/>
      <c r="U54" s="498"/>
      <c r="V54" s="494" t="s">
        <v>372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309</v>
      </c>
      <c r="B55" s="493"/>
      <c r="C55" s="171" t="s">
        <v>310</v>
      </c>
      <c r="D55" s="168" t="s">
        <v>311</v>
      </c>
      <c r="E55" s="171" t="s">
        <v>343</v>
      </c>
      <c r="F55" s="494" t="s">
        <v>313</v>
      </c>
      <c r="G55" s="494"/>
      <c r="H55" s="494"/>
      <c r="I55" s="494"/>
      <c r="J55" s="494"/>
      <c r="K55" s="494"/>
      <c r="L55" s="494"/>
      <c r="M55" s="495"/>
      <c r="N55" s="167" t="s">
        <v>373</v>
      </c>
      <c r="O55" s="74" t="s">
        <v>374</v>
      </c>
      <c r="P55" s="496" t="s">
        <v>375</v>
      </c>
      <c r="Q55" s="497"/>
      <c r="R55" s="498" t="s">
        <v>376</v>
      </c>
      <c r="S55" s="498"/>
      <c r="T55" s="498"/>
      <c r="U55" s="498"/>
      <c r="V55" s="494" t="s">
        <v>372</v>
      </c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/>
      <c r="B56" s="493"/>
      <c r="C56" s="171"/>
      <c r="D56" s="168"/>
      <c r="E56" s="171"/>
      <c r="F56" s="494"/>
      <c r="G56" s="494"/>
      <c r="H56" s="494"/>
      <c r="I56" s="494"/>
      <c r="J56" s="494"/>
      <c r="K56" s="494"/>
      <c r="L56" s="494"/>
      <c r="M56" s="495"/>
      <c r="N56" s="167"/>
      <c r="O56" s="74"/>
      <c r="P56" s="498"/>
      <c r="Q56" s="498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/>
      <c r="B57" s="493"/>
      <c r="C57" s="171"/>
      <c r="D57" s="168"/>
      <c r="E57" s="171"/>
      <c r="F57" s="494"/>
      <c r="G57" s="494"/>
      <c r="H57" s="494"/>
      <c r="I57" s="494"/>
      <c r="J57" s="494"/>
      <c r="K57" s="494"/>
      <c r="L57" s="494"/>
      <c r="M57" s="495"/>
      <c r="N57" s="167"/>
      <c r="O57" s="74"/>
      <c r="P57" s="496"/>
      <c r="Q57" s="497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/>
      <c r="B58" s="493"/>
      <c r="C58" s="171"/>
      <c r="D58" s="168"/>
      <c r="E58" s="171"/>
      <c r="F58" s="494"/>
      <c r="G58" s="494"/>
      <c r="H58" s="494"/>
      <c r="I58" s="494"/>
      <c r="J58" s="494"/>
      <c r="K58" s="494"/>
      <c r="L58" s="494"/>
      <c r="M58" s="495"/>
      <c r="N58" s="167"/>
      <c r="O58" s="74"/>
      <c r="P58" s="498"/>
      <c r="Q58" s="498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508"/>
      <c r="B59" s="498"/>
      <c r="C59" s="168"/>
      <c r="D59" s="168"/>
      <c r="E59" s="168"/>
      <c r="F59" s="494"/>
      <c r="G59" s="494"/>
      <c r="H59" s="494"/>
      <c r="I59" s="494"/>
      <c r="J59" s="494"/>
      <c r="K59" s="494"/>
      <c r="L59" s="494"/>
      <c r="M59" s="495"/>
      <c r="N59" s="167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  <c r="AF59" s="94">
        <f>8*3000</f>
        <v>24000</v>
      </c>
    </row>
    <row r="60" spans="1:32" ht="27" customHeight="1" thickBot="1">
      <c r="A60" s="499"/>
      <c r="B60" s="500"/>
      <c r="C60" s="170"/>
      <c r="D60" s="170"/>
      <c r="E60" s="170"/>
      <c r="F60" s="501"/>
      <c r="G60" s="501"/>
      <c r="H60" s="501"/>
      <c r="I60" s="501"/>
      <c r="J60" s="501"/>
      <c r="K60" s="501"/>
      <c r="L60" s="501"/>
      <c r="M60" s="502"/>
      <c r="N60" s="169"/>
      <c r="O60" s="121"/>
      <c r="P60" s="500"/>
      <c r="Q60" s="500"/>
      <c r="R60" s="500"/>
      <c r="S60" s="500"/>
      <c r="T60" s="500"/>
      <c r="U60" s="500"/>
      <c r="V60" s="501"/>
      <c r="W60" s="501"/>
      <c r="X60" s="501"/>
      <c r="Y60" s="501"/>
      <c r="Z60" s="501"/>
      <c r="AA60" s="501"/>
      <c r="AB60" s="501"/>
      <c r="AC60" s="501"/>
      <c r="AD60" s="502"/>
      <c r="AF60" s="94">
        <f>16*3000</f>
        <v>48000</v>
      </c>
    </row>
    <row r="61" spans="1:32" ht="27.75" thickBot="1">
      <c r="A61" s="503" t="s">
        <v>377</v>
      </c>
      <c r="B61" s="503"/>
      <c r="C61" s="503"/>
      <c r="D61" s="503"/>
      <c r="E61" s="503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504" t="s">
        <v>114</v>
      </c>
      <c r="B62" s="505"/>
      <c r="C62" s="166" t="s">
        <v>2</v>
      </c>
      <c r="D62" s="166" t="s">
        <v>37</v>
      </c>
      <c r="E62" s="166" t="s">
        <v>3</v>
      </c>
      <c r="F62" s="505" t="s">
        <v>111</v>
      </c>
      <c r="G62" s="505"/>
      <c r="H62" s="505"/>
      <c r="I62" s="505"/>
      <c r="J62" s="505"/>
      <c r="K62" s="505" t="s">
        <v>39</v>
      </c>
      <c r="L62" s="505"/>
      <c r="M62" s="166" t="s">
        <v>40</v>
      </c>
      <c r="N62" s="505" t="s">
        <v>41</v>
      </c>
      <c r="O62" s="505"/>
      <c r="P62" s="506" t="s">
        <v>42</v>
      </c>
      <c r="Q62" s="507"/>
      <c r="R62" s="506" t="s">
        <v>43</v>
      </c>
      <c r="S62" s="509"/>
      <c r="T62" s="509"/>
      <c r="U62" s="509"/>
      <c r="V62" s="509"/>
      <c r="W62" s="509"/>
      <c r="X62" s="509"/>
      <c r="Y62" s="509"/>
      <c r="Z62" s="509"/>
      <c r="AA62" s="507"/>
      <c r="AB62" s="505" t="s">
        <v>44</v>
      </c>
      <c r="AC62" s="505"/>
      <c r="AD62" s="510"/>
      <c r="AF62" s="94">
        <f>SUM(AF59:AF61)</f>
        <v>96000</v>
      </c>
    </row>
    <row r="63" spans="1:32" ht="25.5" customHeight="1">
      <c r="A63" s="511">
        <v>1</v>
      </c>
      <c r="B63" s="512"/>
      <c r="C63" s="124" t="s">
        <v>118</v>
      </c>
      <c r="D63" s="162"/>
      <c r="E63" s="165" t="s">
        <v>378</v>
      </c>
      <c r="F63" s="513" t="s">
        <v>379</v>
      </c>
      <c r="G63" s="514"/>
      <c r="H63" s="514"/>
      <c r="I63" s="514"/>
      <c r="J63" s="514"/>
      <c r="K63" s="514" t="s">
        <v>380</v>
      </c>
      <c r="L63" s="514"/>
      <c r="M63" s="54" t="s">
        <v>381</v>
      </c>
      <c r="N63" s="514">
        <v>8</v>
      </c>
      <c r="O63" s="514"/>
      <c r="P63" s="515">
        <v>800</v>
      </c>
      <c r="Q63" s="515"/>
      <c r="R63" s="494"/>
      <c r="S63" s="494"/>
      <c r="T63" s="494"/>
      <c r="U63" s="494"/>
      <c r="V63" s="494"/>
      <c r="W63" s="494"/>
      <c r="X63" s="494"/>
      <c r="Y63" s="494"/>
      <c r="Z63" s="494"/>
      <c r="AA63" s="494"/>
      <c r="AB63" s="514"/>
      <c r="AC63" s="514"/>
      <c r="AD63" s="516"/>
      <c r="AF63" s="53"/>
    </row>
    <row r="64" spans="1:32" ht="25.5" customHeight="1">
      <c r="A64" s="511">
        <v>2</v>
      </c>
      <c r="B64" s="512"/>
      <c r="C64" s="124" t="s">
        <v>117</v>
      </c>
      <c r="D64" s="162"/>
      <c r="E64" s="165" t="s">
        <v>382</v>
      </c>
      <c r="F64" s="513" t="s">
        <v>383</v>
      </c>
      <c r="G64" s="514"/>
      <c r="H64" s="514"/>
      <c r="I64" s="514"/>
      <c r="J64" s="514"/>
      <c r="K64" s="514">
        <v>7301</v>
      </c>
      <c r="L64" s="514"/>
      <c r="M64" s="54" t="s">
        <v>381</v>
      </c>
      <c r="N64" s="514">
        <v>8</v>
      </c>
      <c r="O64" s="514"/>
      <c r="P64" s="515">
        <v>20</v>
      </c>
      <c r="Q64" s="515"/>
      <c r="R64" s="494" t="s">
        <v>384</v>
      </c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3</v>
      </c>
      <c r="B65" s="512"/>
      <c r="C65" s="124"/>
      <c r="D65" s="162"/>
      <c r="E65" s="165"/>
      <c r="F65" s="513"/>
      <c r="G65" s="514"/>
      <c r="H65" s="514"/>
      <c r="I65" s="514"/>
      <c r="J65" s="514"/>
      <c r="K65" s="514"/>
      <c r="L65" s="514"/>
      <c r="M65" s="54"/>
      <c r="N65" s="514"/>
      <c r="O65" s="514"/>
      <c r="P65" s="515"/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4</v>
      </c>
      <c r="B66" s="512"/>
      <c r="C66" s="124"/>
      <c r="D66" s="162"/>
      <c r="E66" s="165"/>
      <c r="F66" s="513"/>
      <c r="G66" s="514"/>
      <c r="H66" s="514"/>
      <c r="I66" s="514"/>
      <c r="J66" s="514"/>
      <c r="K66" s="514"/>
      <c r="L66" s="514"/>
      <c r="M66" s="54"/>
      <c r="N66" s="514"/>
      <c r="O66" s="514"/>
      <c r="P66" s="515"/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5</v>
      </c>
      <c r="B67" s="512"/>
      <c r="C67" s="124"/>
      <c r="D67" s="162"/>
      <c r="E67" s="165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6</v>
      </c>
      <c r="B68" s="512"/>
      <c r="C68" s="124"/>
      <c r="D68" s="162"/>
      <c r="E68" s="165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7</v>
      </c>
      <c r="B69" s="512"/>
      <c r="C69" s="124"/>
      <c r="D69" s="162"/>
      <c r="E69" s="165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8</v>
      </c>
      <c r="B70" s="512"/>
      <c r="C70" s="124"/>
      <c r="D70" s="162"/>
      <c r="E70" s="165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6.25" customHeight="1" thickBot="1">
      <c r="A71" s="517" t="s">
        <v>385</v>
      </c>
      <c r="B71" s="517"/>
      <c r="C71" s="517"/>
      <c r="D71" s="517"/>
      <c r="E71" s="51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518" t="s">
        <v>114</v>
      </c>
      <c r="B72" s="519"/>
      <c r="C72" s="164" t="s">
        <v>2</v>
      </c>
      <c r="D72" s="164" t="s">
        <v>37</v>
      </c>
      <c r="E72" s="164" t="s">
        <v>3</v>
      </c>
      <c r="F72" s="519" t="s">
        <v>38</v>
      </c>
      <c r="G72" s="519"/>
      <c r="H72" s="519"/>
      <c r="I72" s="519"/>
      <c r="J72" s="519"/>
      <c r="K72" s="520" t="s">
        <v>59</v>
      </c>
      <c r="L72" s="521"/>
      <c r="M72" s="521"/>
      <c r="N72" s="521"/>
      <c r="O72" s="521"/>
      <c r="P72" s="521"/>
      <c r="Q72" s="521"/>
      <c r="R72" s="521"/>
      <c r="S72" s="522"/>
      <c r="T72" s="519" t="s">
        <v>49</v>
      </c>
      <c r="U72" s="519"/>
      <c r="V72" s="520" t="s">
        <v>50</v>
      </c>
      <c r="W72" s="522"/>
      <c r="X72" s="521" t="s">
        <v>51</v>
      </c>
      <c r="Y72" s="521"/>
      <c r="Z72" s="521"/>
      <c r="AA72" s="521"/>
      <c r="AB72" s="521"/>
      <c r="AC72" s="521"/>
      <c r="AD72" s="523"/>
      <c r="AF72" s="53"/>
    </row>
    <row r="73" spans="1:32" ht="33.75" customHeight="1">
      <c r="A73" s="532">
        <v>1</v>
      </c>
      <c r="B73" s="533"/>
      <c r="C73" s="163" t="s">
        <v>117</v>
      </c>
      <c r="D73" s="163"/>
      <c r="E73" s="71" t="s">
        <v>123</v>
      </c>
      <c r="F73" s="534" t="s">
        <v>124</v>
      </c>
      <c r="G73" s="535"/>
      <c r="H73" s="535"/>
      <c r="I73" s="535"/>
      <c r="J73" s="536"/>
      <c r="K73" s="537" t="s">
        <v>119</v>
      </c>
      <c r="L73" s="538"/>
      <c r="M73" s="538"/>
      <c r="N73" s="538"/>
      <c r="O73" s="538"/>
      <c r="P73" s="538"/>
      <c r="Q73" s="538"/>
      <c r="R73" s="538"/>
      <c r="S73" s="539"/>
      <c r="T73" s="540">
        <v>42901</v>
      </c>
      <c r="U73" s="541"/>
      <c r="V73" s="542"/>
      <c r="W73" s="542"/>
      <c r="X73" s="543"/>
      <c r="Y73" s="543"/>
      <c r="Z73" s="543"/>
      <c r="AA73" s="543"/>
      <c r="AB73" s="543"/>
      <c r="AC73" s="543"/>
      <c r="AD73" s="544"/>
      <c r="AF73" s="53"/>
    </row>
    <row r="74" spans="1:32" ht="30" customHeight="1">
      <c r="A74" s="524">
        <f>A73+1</f>
        <v>2</v>
      </c>
      <c r="B74" s="525"/>
      <c r="C74" s="162" t="s">
        <v>117</v>
      </c>
      <c r="D74" s="162"/>
      <c r="E74" s="35" t="s">
        <v>120</v>
      </c>
      <c r="F74" s="525" t="s">
        <v>121</v>
      </c>
      <c r="G74" s="525"/>
      <c r="H74" s="525"/>
      <c r="I74" s="525"/>
      <c r="J74" s="525"/>
      <c r="K74" s="526" t="s">
        <v>122</v>
      </c>
      <c r="L74" s="527"/>
      <c r="M74" s="527"/>
      <c r="N74" s="527"/>
      <c r="O74" s="527"/>
      <c r="P74" s="527"/>
      <c r="Q74" s="527"/>
      <c r="R74" s="527"/>
      <c r="S74" s="528"/>
      <c r="T74" s="529">
        <v>42867</v>
      </c>
      <c r="U74" s="529"/>
      <c r="V74" s="529"/>
      <c r="W74" s="529"/>
      <c r="X74" s="530"/>
      <c r="Y74" s="530"/>
      <c r="Z74" s="530"/>
      <c r="AA74" s="530"/>
      <c r="AB74" s="530"/>
      <c r="AC74" s="530"/>
      <c r="AD74" s="531"/>
      <c r="AF74" s="53"/>
    </row>
    <row r="75" spans="1:32" ht="30" customHeight="1">
      <c r="A75" s="524">
        <f t="shared" ref="A75:A81" si="21">A74+1</f>
        <v>3</v>
      </c>
      <c r="B75" s="525"/>
      <c r="C75" s="162" t="s">
        <v>133</v>
      </c>
      <c r="D75" s="162"/>
      <c r="E75" s="35" t="s">
        <v>131</v>
      </c>
      <c r="F75" s="525" t="s">
        <v>134</v>
      </c>
      <c r="G75" s="525"/>
      <c r="H75" s="525"/>
      <c r="I75" s="525"/>
      <c r="J75" s="525"/>
      <c r="K75" s="526" t="s">
        <v>119</v>
      </c>
      <c r="L75" s="527"/>
      <c r="M75" s="527"/>
      <c r="N75" s="527"/>
      <c r="O75" s="527"/>
      <c r="P75" s="527"/>
      <c r="Q75" s="527"/>
      <c r="R75" s="527"/>
      <c r="S75" s="528"/>
      <c r="T75" s="529">
        <v>42937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si="21"/>
        <v>4</v>
      </c>
      <c r="B76" s="525"/>
      <c r="C76" s="162" t="s">
        <v>118</v>
      </c>
      <c r="D76" s="162"/>
      <c r="E76" s="35" t="s">
        <v>129</v>
      </c>
      <c r="F76" s="525" t="s">
        <v>130</v>
      </c>
      <c r="G76" s="525"/>
      <c r="H76" s="525"/>
      <c r="I76" s="525"/>
      <c r="J76" s="525"/>
      <c r="K76" s="526" t="s">
        <v>132</v>
      </c>
      <c r="L76" s="527"/>
      <c r="M76" s="527"/>
      <c r="N76" s="527"/>
      <c r="O76" s="527"/>
      <c r="P76" s="527"/>
      <c r="Q76" s="527"/>
      <c r="R76" s="527"/>
      <c r="S76" s="528"/>
      <c r="T76" s="529">
        <v>42920</v>
      </c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21"/>
        <v>5</v>
      </c>
      <c r="B77" s="525"/>
      <c r="C77" s="162" t="s">
        <v>117</v>
      </c>
      <c r="D77" s="162"/>
      <c r="E77" s="35" t="s">
        <v>136</v>
      </c>
      <c r="F77" s="525" t="s">
        <v>156</v>
      </c>
      <c r="G77" s="525"/>
      <c r="H77" s="525"/>
      <c r="I77" s="525"/>
      <c r="J77" s="525"/>
      <c r="K77" s="526" t="s">
        <v>157</v>
      </c>
      <c r="L77" s="527"/>
      <c r="M77" s="527"/>
      <c r="N77" s="527"/>
      <c r="O77" s="527"/>
      <c r="P77" s="527"/>
      <c r="Q77" s="527"/>
      <c r="R77" s="527"/>
      <c r="S77" s="528"/>
      <c r="T77" s="529">
        <v>43033</v>
      </c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21"/>
        <v>6</v>
      </c>
      <c r="B78" s="525"/>
      <c r="C78" s="162"/>
      <c r="D78" s="162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21"/>
        <v>7</v>
      </c>
      <c r="B79" s="525"/>
      <c r="C79" s="162"/>
      <c r="D79" s="162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21"/>
        <v>8</v>
      </c>
      <c r="B80" s="525"/>
      <c r="C80" s="162"/>
      <c r="D80" s="162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21"/>
        <v>9</v>
      </c>
      <c r="B81" s="525"/>
      <c r="C81" s="162"/>
      <c r="D81" s="162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6" thickBot="1">
      <c r="A82" s="517" t="s">
        <v>386</v>
      </c>
      <c r="B82" s="517"/>
      <c r="C82" s="517"/>
      <c r="D82" s="517"/>
      <c r="E82" s="51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518" t="s">
        <v>114</v>
      </c>
      <c r="B83" s="519"/>
      <c r="C83" s="545" t="s">
        <v>52</v>
      </c>
      <c r="D83" s="545"/>
      <c r="E83" s="545" t="s">
        <v>53</v>
      </c>
      <c r="F83" s="545"/>
      <c r="G83" s="545"/>
      <c r="H83" s="545"/>
      <c r="I83" s="545"/>
      <c r="J83" s="545"/>
      <c r="K83" s="545" t="s">
        <v>54</v>
      </c>
      <c r="L83" s="545"/>
      <c r="M83" s="545"/>
      <c r="N83" s="545"/>
      <c r="O83" s="545"/>
      <c r="P83" s="545"/>
      <c r="Q83" s="545"/>
      <c r="R83" s="545"/>
      <c r="S83" s="545"/>
      <c r="T83" s="545" t="s">
        <v>55</v>
      </c>
      <c r="U83" s="545"/>
      <c r="V83" s="545" t="s">
        <v>56</v>
      </c>
      <c r="W83" s="545"/>
      <c r="X83" s="545"/>
      <c r="Y83" s="545" t="s">
        <v>51</v>
      </c>
      <c r="Z83" s="545"/>
      <c r="AA83" s="545"/>
      <c r="AB83" s="545"/>
      <c r="AC83" s="545"/>
      <c r="AD83" s="546"/>
      <c r="AF83" s="53"/>
    </row>
    <row r="84" spans="1:32" ht="30.75" customHeight="1">
      <c r="A84" s="532">
        <v>1</v>
      </c>
      <c r="B84" s="533"/>
      <c r="C84" s="547">
        <v>1</v>
      </c>
      <c r="D84" s="547"/>
      <c r="E84" s="547" t="s">
        <v>125</v>
      </c>
      <c r="F84" s="547"/>
      <c r="G84" s="547"/>
      <c r="H84" s="547"/>
      <c r="I84" s="547"/>
      <c r="J84" s="547"/>
      <c r="K84" s="547" t="s">
        <v>387</v>
      </c>
      <c r="L84" s="547"/>
      <c r="M84" s="547"/>
      <c r="N84" s="547"/>
      <c r="O84" s="547"/>
      <c r="P84" s="547"/>
      <c r="Q84" s="547"/>
      <c r="R84" s="547"/>
      <c r="S84" s="547"/>
      <c r="T84" s="547" t="s">
        <v>127</v>
      </c>
      <c r="U84" s="547"/>
      <c r="V84" s="548">
        <v>400000</v>
      </c>
      <c r="W84" s="548"/>
      <c r="X84" s="548"/>
      <c r="Y84" s="549"/>
      <c r="Z84" s="549"/>
      <c r="AA84" s="549"/>
      <c r="AB84" s="549"/>
      <c r="AC84" s="549"/>
      <c r="AD84" s="550"/>
      <c r="AF84" s="53"/>
    </row>
    <row r="85" spans="1:32" ht="30.75" customHeight="1">
      <c r="A85" s="524">
        <v>2</v>
      </c>
      <c r="B85" s="525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9"/>
      <c r="U85" s="559"/>
      <c r="V85" s="560"/>
      <c r="W85" s="560"/>
      <c r="X85" s="560"/>
      <c r="Y85" s="551"/>
      <c r="Z85" s="551"/>
      <c r="AA85" s="551"/>
      <c r="AB85" s="551"/>
      <c r="AC85" s="551"/>
      <c r="AD85" s="552"/>
      <c r="AF85" s="53"/>
    </row>
    <row r="86" spans="1:32" ht="30.75" customHeight="1" thickBot="1">
      <c r="A86" s="553">
        <v>3</v>
      </c>
      <c r="B86" s="554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6"/>
      <c r="Z86" s="556"/>
      <c r="AA86" s="556"/>
      <c r="AB86" s="556"/>
      <c r="AC86" s="556"/>
      <c r="AD86" s="55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zoomScale="72" zoomScaleNormal="72" zoomScaleSheetLayoutView="70" workbookViewId="0">
      <selection activeCell="F79" sqref="F79:J79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51" t="s">
        <v>388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6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174" t="s">
        <v>17</v>
      </c>
      <c r="L5" s="174" t="s">
        <v>18</v>
      </c>
      <c r="M5" s="174" t="s">
        <v>19</v>
      </c>
      <c r="N5" s="17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6" ht="27" customHeight="1">
      <c r="A6" s="108">
        <v>1</v>
      </c>
      <c r="B6" s="11" t="s">
        <v>149</v>
      </c>
      <c r="C6" s="37" t="s">
        <v>177</v>
      </c>
      <c r="D6" s="55" t="s">
        <v>190</v>
      </c>
      <c r="E6" s="57" t="s">
        <v>191</v>
      </c>
      <c r="F6" s="33" t="s">
        <v>192</v>
      </c>
      <c r="G6" s="12">
        <v>1</v>
      </c>
      <c r="H6" s="13">
        <v>25</v>
      </c>
      <c r="I6" s="34">
        <v>3000</v>
      </c>
      <c r="J6" s="5">
        <v>1030</v>
      </c>
      <c r="K6" s="15">
        <f>L6+1319+1024</f>
        <v>2343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0.3126151238085717</v>
      </c>
      <c r="AF6" s="94">
        <f t="shared" ref="AF6:AF20" si="8">A6</f>
        <v>1</v>
      </c>
    </row>
    <row r="7" spans="1:36" ht="27" customHeight="1">
      <c r="A7" s="108">
        <v>2</v>
      </c>
      <c r="B7" s="11" t="s">
        <v>149</v>
      </c>
      <c r="C7" s="37" t="s">
        <v>177</v>
      </c>
      <c r="D7" s="55" t="s">
        <v>190</v>
      </c>
      <c r="E7" s="57" t="s">
        <v>191</v>
      </c>
      <c r="F7" s="33" t="s">
        <v>192</v>
      </c>
      <c r="G7" s="12">
        <v>1</v>
      </c>
      <c r="H7" s="13">
        <v>25</v>
      </c>
      <c r="I7" s="34">
        <v>3000</v>
      </c>
      <c r="J7" s="5">
        <v>1320</v>
      </c>
      <c r="K7" s="15">
        <f>L7+1319</f>
        <v>1319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>
        <v>24</v>
      </c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0.3126151238085717</v>
      </c>
      <c r="AF7" s="94">
        <f t="shared" si="8"/>
        <v>2</v>
      </c>
    </row>
    <row r="8" spans="1:36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65000</v>
      </c>
      <c r="J8" s="14">
        <v>2230</v>
      </c>
      <c r="K8" s="15">
        <f>L8+452+3795+3955+5414+5383+3788</f>
        <v>25009</v>
      </c>
      <c r="L8" s="15">
        <v>2222</v>
      </c>
      <c r="M8" s="16">
        <f t="shared" si="0"/>
        <v>2222</v>
      </c>
      <c r="N8" s="16">
        <v>0</v>
      </c>
      <c r="O8" s="62">
        <f t="shared" si="1"/>
        <v>0</v>
      </c>
      <c r="P8" s="42">
        <f t="shared" si="2"/>
        <v>9</v>
      </c>
      <c r="Q8" s="43">
        <f t="shared" si="3"/>
        <v>15</v>
      </c>
      <c r="R8" s="7"/>
      <c r="S8" s="6">
        <v>1</v>
      </c>
      <c r="T8" s="17"/>
      <c r="U8" s="17"/>
      <c r="V8" s="18">
        <v>14</v>
      </c>
      <c r="W8" s="19"/>
      <c r="X8" s="17"/>
      <c r="Y8" s="20"/>
      <c r="Z8" s="20"/>
      <c r="AA8" s="21"/>
      <c r="AB8" s="8">
        <f t="shared" si="4"/>
        <v>0.99641255605381163</v>
      </c>
      <c r="AC8" s="9">
        <f t="shared" si="5"/>
        <v>0.375</v>
      </c>
      <c r="AD8" s="10">
        <f t="shared" si="6"/>
        <v>0.37365470852017935</v>
      </c>
      <c r="AE8" s="39">
        <f t="shared" si="7"/>
        <v>0.3126151238085717</v>
      </c>
      <c r="AF8" s="94">
        <f>A8</f>
        <v>3</v>
      </c>
    </row>
    <row r="9" spans="1:36" ht="27" customHeight="1">
      <c r="A9" s="110">
        <v>4</v>
      </c>
      <c r="B9" s="11" t="s">
        <v>58</v>
      </c>
      <c r="C9" s="37" t="s">
        <v>118</v>
      </c>
      <c r="D9" s="55" t="s">
        <v>131</v>
      </c>
      <c r="E9" s="57" t="s">
        <v>139</v>
      </c>
      <c r="F9" s="33" t="s">
        <v>146</v>
      </c>
      <c r="G9" s="36">
        <v>1</v>
      </c>
      <c r="H9" s="38">
        <v>25</v>
      </c>
      <c r="I9" s="7">
        <v>45000</v>
      </c>
      <c r="J9" s="5">
        <v>1920</v>
      </c>
      <c r="K9" s="15">
        <f>L9+2660+5083+4690+2113+4827</f>
        <v>21288</v>
      </c>
      <c r="L9" s="15">
        <v>1915</v>
      </c>
      <c r="M9" s="16">
        <f t="shared" si="0"/>
        <v>1915</v>
      </c>
      <c r="N9" s="16">
        <v>0</v>
      </c>
      <c r="O9" s="62">
        <f t="shared" si="1"/>
        <v>0</v>
      </c>
      <c r="P9" s="42">
        <f t="shared" si="2"/>
        <v>10</v>
      </c>
      <c r="Q9" s="43">
        <f t="shared" si="3"/>
        <v>14</v>
      </c>
      <c r="R9" s="7"/>
      <c r="S9" s="6"/>
      <c r="T9" s="17"/>
      <c r="U9" s="17"/>
      <c r="V9" s="18">
        <v>14</v>
      </c>
      <c r="W9" s="19"/>
      <c r="X9" s="17"/>
      <c r="Y9" s="20"/>
      <c r="Z9" s="20"/>
      <c r="AA9" s="21"/>
      <c r="AB9" s="8">
        <f t="shared" si="4"/>
        <v>0.99739583333333337</v>
      </c>
      <c r="AC9" s="9">
        <f t="shared" si="5"/>
        <v>0.41666666666666669</v>
      </c>
      <c r="AD9" s="10">
        <f t="shared" si="6"/>
        <v>0.41558159722222227</v>
      </c>
      <c r="AE9" s="39">
        <f t="shared" si="7"/>
        <v>0.3126151238085717</v>
      </c>
      <c r="AF9" s="94">
        <f t="shared" ref="AF9" si="9">A9</f>
        <v>4</v>
      </c>
    </row>
    <row r="10" spans="1:36" ht="27" customHeight="1">
      <c r="A10" s="110">
        <v>5</v>
      </c>
      <c r="B10" s="11" t="s">
        <v>58</v>
      </c>
      <c r="C10" s="11" t="s">
        <v>133</v>
      </c>
      <c r="D10" s="55" t="s">
        <v>131</v>
      </c>
      <c r="E10" s="56" t="s">
        <v>154</v>
      </c>
      <c r="F10" s="12" t="s">
        <v>148</v>
      </c>
      <c r="G10" s="12">
        <v>1</v>
      </c>
      <c r="H10" s="13">
        <v>25</v>
      </c>
      <c r="I10" s="34">
        <v>55000</v>
      </c>
      <c r="J10" s="14">
        <v>2390</v>
      </c>
      <c r="K10" s="15">
        <f>L10+2928+5697+2831+3697+5889+4241+5564+2325+1191+1007+5147+3591+3623+3888+5695+4220</f>
        <v>63922</v>
      </c>
      <c r="L10" s="15">
        <v>2388</v>
      </c>
      <c r="M10" s="16">
        <f t="shared" si="0"/>
        <v>2388</v>
      </c>
      <c r="N10" s="16">
        <v>0</v>
      </c>
      <c r="O10" s="62">
        <f t="shared" si="1"/>
        <v>0</v>
      </c>
      <c r="P10" s="42">
        <f t="shared" si="2"/>
        <v>10</v>
      </c>
      <c r="Q10" s="43">
        <f t="shared" si="3"/>
        <v>14</v>
      </c>
      <c r="R10" s="7"/>
      <c r="S10" s="6"/>
      <c r="T10" s="17"/>
      <c r="U10" s="17"/>
      <c r="V10" s="18">
        <v>14</v>
      </c>
      <c r="W10" s="19"/>
      <c r="X10" s="17"/>
      <c r="Y10" s="20"/>
      <c r="Z10" s="20"/>
      <c r="AA10" s="21"/>
      <c r="AB10" s="8">
        <f t="shared" si="4"/>
        <v>0.99916317991631798</v>
      </c>
      <c r="AC10" s="9">
        <f t="shared" si="5"/>
        <v>0.41666666666666669</v>
      </c>
      <c r="AD10" s="10">
        <f t="shared" si="6"/>
        <v>0.41631799163179917</v>
      </c>
      <c r="AE10" s="39">
        <f t="shared" si="7"/>
        <v>0.3126151238085717</v>
      </c>
      <c r="AF10" s="94">
        <f t="shared" si="8"/>
        <v>5</v>
      </c>
    </row>
    <row r="11" spans="1:36" ht="27" customHeight="1">
      <c r="A11" s="110">
        <v>6</v>
      </c>
      <c r="B11" s="11" t="s">
        <v>58</v>
      </c>
      <c r="C11" s="11" t="s">
        <v>389</v>
      </c>
      <c r="D11" s="55" t="s">
        <v>390</v>
      </c>
      <c r="E11" s="57" t="s">
        <v>391</v>
      </c>
      <c r="F11" s="12" t="s">
        <v>148</v>
      </c>
      <c r="G11" s="12">
        <v>1</v>
      </c>
      <c r="H11" s="13">
        <v>25</v>
      </c>
      <c r="I11" s="34">
        <v>16000</v>
      </c>
      <c r="J11" s="14">
        <v>2730</v>
      </c>
      <c r="K11" s="15">
        <f>L11</f>
        <v>2730</v>
      </c>
      <c r="L11" s="15">
        <f>1365*2</f>
        <v>2730</v>
      </c>
      <c r="M11" s="16">
        <f t="shared" si="0"/>
        <v>2730</v>
      </c>
      <c r="N11" s="16">
        <v>0</v>
      </c>
      <c r="O11" s="62">
        <f t="shared" si="1"/>
        <v>0</v>
      </c>
      <c r="P11" s="42">
        <f t="shared" si="2"/>
        <v>8</v>
      </c>
      <c r="Q11" s="43">
        <f t="shared" si="3"/>
        <v>16</v>
      </c>
      <c r="R11" s="7"/>
      <c r="S11" s="6"/>
      <c r="T11" s="17">
        <v>2</v>
      </c>
      <c r="U11" s="17"/>
      <c r="V11" s="18">
        <v>14</v>
      </c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0.33333333333333331</v>
      </c>
      <c r="AD11" s="10">
        <f t="shared" si="6"/>
        <v>0.33333333333333331</v>
      </c>
      <c r="AE11" s="39">
        <f t="shared" si="7"/>
        <v>0.3126151238085717</v>
      </c>
      <c r="AF11" s="94">
        <f t="shared" si="8"/>
        <v>6</v>
      </c>
    </row>
    <row r="12" spans="1:36" ht="27" customHeight="1">
      <c r="A12" s="110">
        <v>7</v>
      </c>
      <c r="B12" s="11" t="s">
        <v>58</v>
      </c>
      <c r="C12" s="11" t="s">
        <v>118</v>
      </c>
      <c r="D12" s="55" t="s">
        <v>57</v>
      </c>
      <c r="E12" s="57" t="s">
        <v>160</v>
      </c>
      <c r="F12" s="12" t="s">
        <v>145</v>
      </c>
      <c r="G12" s="12">
        <v>1</v>
      </c>
      <c r="H12" s="13">
        <v>25</v>
      </c>
      <c r="I12" s="7">
        <v>62000</v>
      </c>
      <c r="J12" s="14">
        <v>1830</v>
      </c>
      <c r="K12" s="15">
        <f>L12+3062+3955+2262+4171+4492+4201+2422+2930+4783</f>
        <v>34105</v>
      </c>
      <c r="L12" s="15">
        <v>1827</v>
      </c>
      <c r="M12" s="16">
        <f t="shared" si="0"/>
        <v>1827</v>
      </c>
      <c r="N12" s="16">
        <v>0</v>
      </c>
      <c r="O12" s="62">
        <f t="shared" si="1"/>
        <v>0</v>
      </c>
      <c r="P12" s="42">
        <f t="shared" si="2"/>
        <v>10</v>
      </c>
      <c r="Q12" s="43">
        <f t="shared" si="3"/>
        <v>14</v>
      </c>
      <c r="R12" s="7"/>
      <c r="S12" s="6"/>
      <c r="T12" s="17"/>
      <c r="U12" s="17"/>
      <c r="V12" s="18">
        <v>14</v>
      </c>
      <c r="W12" s="19"/>
      <c r="X12" s="17"/>
      <c r="Y12" s="20"/>
      <c r="Z12" s="20"/>
      <c r="AA12" s="21"/>
      <c r="AB12" s="8">
        <f t="shared" si="4"/>
        <v>0.99836065573770494</v>
      </c>
      <c r="AC12" s="9">
        <f t="shared" si="5"/>
        <v>0.41666666666666669</v>
      </c>
      <c r="AD12" s="10">
        <f t="shared" si="6"/>
        <v>0.41598360655737709</v>
      </c>
      <c r="AE12" s="39">
        <f t="shared" si="7"/>
        <v>0.3126151238085717</v>
      </c>
      <c r="AF12" s="94">
        <f t="shared" si="8"/>
        <v>7</v>
      </c>
    </row>
    <row r="13" spans="1:36" ht="27" customHeight="1">
      <c r="A13" s="110">
        <v>8</v>
      </c>
      <c r="B13" s="11" t="s">
        <v>58</v>
      </c>
      <c r="C13" s="11" t="s">
        <v>392</v>
      </c>
      <c r="D13" s="55" t="s">
        <v>390</v>
      </c>
      <c r="E13" s="57" t="s">
        <v>393</v>
      </c>
      <c r="F13" s="12" t="s">
        <v>394</v>
      </c>
      <c r="G13" s="12">
        <v>2</v>
      </c>
      <c r="H13" s="13">
        <v>25</v>
      </c>
      <c r="I13" s="7">
        <v>1000</v>
      </c>
      <c r="J13" s="14">
        <v>2855</v>
      </c>
      <c r="K13" s="15">
        <f>L13</f>
        <v>2854</v>
      </c>
      <c r="L13" s="15">
        <f>1427*2</f>
        <v>2854</v>
      </c>
      <c r="M13" s="16">
        <f t="shared" si="0"/>
        <v>2854</v>
      </c>
      <c r="N13" s="16">
        <v>0</v>
      </c>
      <c r="O13" s="62">
        <f t="shared" si="1"/>
        <v>0</v>
      </c>
      <c r="P13" s="42">
        <f t="shared" si="2"/>
        <v>8</v>
      </c>
      <c r="Q13" s="43">
        <f t="shared" si="3"/>
        <v>16</v>
      </c>
      <c r="R13" s="7"/>
      <c r="S13" s="6"/>
      <c r="T13" s="17">
        <v>2</v>
      </c>
      <c r="U13" s="17"/>
      <c r="V13" s="18">
        <v>14</v>
      </c>
      <c r="W13" s="19"/>
      <c r="X13" s="17"/>
      <c r="Y13" s="20"/>
      <c r="Z13" s="20"/>
      <c r="AA13" s="21"/>
      <c r="AB13" s="8">
        <f t="shared" si="4"/>
        <v>0.99964973730297724</v>
      </c>
      <c r="AC13" s="9">
        <f t="shared" si="5"/>
        <v>0.33333333333333331</v>
      </c>
      <c r="AD13" s="10">
        <f t="shared" si="6"/>
        <v>0.33321657910099239</v>
      </c>
      <c r="AE13" s="39">
        <f t="shared" si="7"/>
        <v>0.3126151238085717</v>
      </c>
      <c r="AF13" s="94">
        <f t="shared" si="8"/>
        <v>8</v>
      </c>
    </row>
    <row r="14" spans="1:36" ht="27" customHeight="1">
      <c r="A14" s="109">
        <v>9</v>
      </c>
      <c r="B14" s="11" t="s">
        <v>149</v>
      </c>
      <c r="C14" s="37" t="s">
        <v>195</v>
      </c>
      <c r="D14" s="55" t="s">
        <v>196</v>
      </c>
      <c r="E14" s="57" t="s">
        <v>395</v>
      </c>
      <c r="F14" s="33" t="s">
        <v>396</v>
      </c>
      <c r="G14" s="36">
        <v>1</v>
      </c>
      <c r="H14" s="38">
        <v>25</v>
      </c>
      <c r="I14" s="7">
        <v>500</v>
      </c>
      <c r="J14" s="5">
        <v>290</v>
      </c>
      <c r="K14" s="15">
        <f>L14</f>
        <v>281</v>
      </c>
      <c r="L14" s="15">
        <v>281</v>
      </c>
      <c r="M14" s="16">
        <f t="shared" si="0"/>
        <v>281</v>
      </c>
      <c r="N14" s="16">
        <v>0</v>
      </c>
      <c r="O14" s="62">
        <f t="shared" si="1"/>
        <v>0</v>
      </c>
      <c r="P14" s="42">
        <f t="shared" si="2"/>
        <v>8</v>
      </c>
      <c r="Q14" s="43">
        <f t="shared" si="3"/>
        <v>16</v>
      </c>
      <c r="R14" s="7"/>
      <c r="S14" s="6"/>
      <c r="T14" s="17">
        <v>2</v>
      </c>
      <c r="U14" s="17"/>
      <c r="V14" s="18">
        <v>14</v>
      </c>
      <c r="W14" s="19"/>
      <c r="X14" s="17"/>
      <c r="Y14" s="20"/>
      <c r="Z14" s="20"/>
      <c r="AA14" s="21"/>
      <c r="AB14" s="8">
        <f t="shared" si="4"/>
        <v>0.96896551724137936</v>
      </c>
      <c r="AC14" s="9">
        <f t="shared" si="5"/>
        <v>0.33333333333333331</v>
      </c>
      <c r="AD14" s="10">
        <f t="shared" si="6"/>
        <v>0.32298850574712645</v>
      </c>
      <c r="AE14" s="39">
        <f t="shared" si="7"/>
        <v>0.3126151238085717</v>
      </c>
      <c r="AF14" s="94">
        <f t="shared" si="8"/>
        <v>9</v>
      </c>
    </row>
    <row r="15" spans="1:36" ht="27" customHeight="1">
      <c r="A15" s="109">
        <v>10</v>
      </c>
      <c r="B15" s="11" t="s">
        <v>149</v>
      </c>
      <c r="C15" s="11" t="s">
        <v>344</v>
      </c>
      <c r="D15" s="55" t="s">
        <v>345</v>
      </c>
      <c r="E15" s="57" t="s">
        <v>346</v>
      </c>
      <c r="F15" s="12" t="s">
        <v>347</v>
      </c>
      <c r="G15" s="12">
        <v>1</v>
      </c>
      <c r="H15" s="13">
        <v>20</v>
      </c>
      <c r="I15" s="34">
        <v>3000</v>
      </c>
      <c r="J15" s="14">
        <v>1140</v>
      </c>
      <c r="K15" s="15">
        <f>L15+5046</f>
        <v>6183</v>
      </c>
      <c r="L15" s="15">
        <v>1137</v>
      </c>
      <c r="M15" s="16">
        <f t="shared" si="0"/>
        <v>1137</v>
      </c>
      <c r="N15" s="16">
        <v>0</v>
      </c>
      <c r="O15" s="62">
        <f t="shared" si="1"/>
        <v>0</v>
      </c>
      <c r="P15" s="42">
        <f t="shared" si="2"/>
        <v>6</v>
      </c>
      <c r="Q15" s="43">
        <f t="shared" si="3"/>
        <v>18</v>
      </c>
      <c r="R15" s="7"/>
      <c r="S15" s="6"/>
      <c r="T15" s="17"/>
      <c r="U15" s="17"/>
      <c r="V15" s="18"/>
      <c r="W15" s="19">
        <v>18</v>
      </c>
      <c r="X15" s="17"/>
      <c r="Y15" s="20"/>
      <c r="Z15" s="20"/>
      <c r="AA15" s="21"/>
      <c r="AB15" s="8">
        <f t="shared" si="4"/>
        <v>0.99736842105263157</v>
      </c>
      <c r="AC15" s="9">
        <f t="shared" si="5"/>
        <v>0.25</v>
      </c>
      <c r="AD15" s="10">
        <f t="shared" si="6"/>
        <v>0.24934210526315789</v>
      </c>
      <c r="AE15" s="39">
        <f t="shared" si="7"/>
        <v>0.3126151238085717</v>
      </c>
      <c r="AF15" s="94">
        <f t="shared" si="8"/>
        <v>10</v>
      </c>
    </row>
    <row r="16" spans="1:36" ht="27.75" customHeight="1">
      <c r="A16" s="109">
        <v>11</v>
      </c>
      <c r="B16" s="11" t="s">
        <v>149</v>
      </c>
      <c r="C16" s="11" t="s">
        <v>177</v>
      </c>
      <c r="D16" s="55" t="s">
        <v>397</v>
      </c>
      <c r="E16" s="56" t="s">
        <v>398</v>
      </c>
      <c r="F16" s="12" t="s">
        <v>350</v>
      </c>
      <c r="G16" s="36">
        <v>1</v>
      </c>
      <c r="H16" s="38">
        <v>25</v>
      </c>
      <c r="I16" s="7">
        <v>2500</v>
      </c>
      <c r="J16" s="14">
        <v>1150</v>
      </c>
      <c r="K16" s="15">
        <f>L16</f>
        <v>1142</v>
      </c>
      <c r="L16" s="15">
        <v>1142</v>
      </c>
      <c r="M16" s="16">
        <f t="shared" si="0"/>
        <v>1142</v>
      </c>
      <c r="N16" s="16">
        <v>0</v>
      </c>
      <c r="O16" s="62">
        <f t="shared" si="1"/>
        <v>0</v>
      </c>
      <c r="P16" s="42">
        <f t="shared" si="2"/>
        <v>7</v>
      </c>
      <c r="Q16" s="43">
        <f t="shared" si="3"/>
        <v>17</v>
      </c>
      <c r="R16" s="7"/>
      <c r="S16" s="6">
        <v>3</v>
      </c>
      <c r="T16" s="17"/>
      <c r="U16" s="17"/>
      <c r="V16" s="18">
        <v>14</v>
      </c>
      <c r="W16" s="19"/>
      <c r="X16" s="17"/>
      <c r="Y16" s="20"/>
      <c r="Z16" s="20"/>
      <c r="AA16" s="21"/>
      <c r="AB16" s="8">
        <f t="shared" si="4"/>
        <v>0.99304347826086958</v>
      </c>
      <c r="AC16" s="9">
        <f t="shared" si="5"/>
        <v>0.29166666666666669</v>
      </c>
      <c r="AD16" s="10">
        <f t="shared" si="6"/>
        <v>0.28963768115942029</v>
      </c>
      <c r="AE16" s="39">
        <f t="shared" si="7"/>
        <v>0.3126151238085717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149</v>
      </c>
      <c r="C17" s="37" t="s">
        <v>392</v>
      </c>
      <c r="D17" s="55" t="s">
        <v>399</v>
      </c>
      <c r="E17" s="56" t="s">
        <v>400</v>
      </c>
      <c r="F17" s="12">
        <v>8301</v>
      </c>
      <c r="G17" s="12">
        <v>1</v>
      </c>
      <c r="H17" s="13">
        <v>25</v>
      </c>
      <c r="I17" s="34">
        <v>14000</v>
      </c>
      <c r="J17" s="5">
        <v>1390</v>
      </c>
      <c r="K17" s="15">
        <f>L17</f>
        <v>1388</v>
      </c>
      <c r="L17" s="15">
        <f>1388</f>
        <v>1388</v>
      </c>
      <c r="M17" s="16">
        <f t="shared" si="0"/>
        <v>1388</v>
      </c>
      <c r="N17" s="16">
        <v>0</v>
      </c>
      <c r="O17" s="62">
        <f t="shared" si="1"/>
        <v>0</v>
      </c>
      <c r="P17" s="42">
        <f t="shared" si="2"/>
        <v>8</v>
      </c>
      <c r="Q17" s="43">
        <f t="shared" si="3"/>
        <v>16</v>
      </c>
      <c r="R17" s="7"/>
      <c r="S17" s="6"/>
      <c r="T17" s="17">
        <v>2</v>
      </c>
      <c r="U17" s="17"/>
      <c r="V17" s="18">
        <v>14</v>
      </c>
      <c r="W17" s="19"/>
      <c r="X17" s="17"/>
      <c r="Y17" s="20"/>
      <c r="Z17" s="20"/>
      <c r="AA17" s="21"/>
      <c r="AB17" s="8">
        <f t="shared" si="4"/>
        <v>0.99856115107913668</v>
      </c>
      <c r="AC17" s="9">
        <f t="shared" si="5"/>
        <v>0.33333333333333331</v>
      </c>
      <c r="AD17" s="10">
        <f t="shared" si="6"/>
        <v>0.33285371702637889</v>
      </c>
      <c r="AE17" s="39">
        <f t="shared" si="7"/>
        <v>0.3126151238085717</v>
      </c>
      <c r="AF17" s="94">
        <f t="shared" ref="AF17" si="10">A17</f>
        <v>12</v>
      </c>
    </row>
    <row r="18" spans="1:32" ht="27" customHeight="1">
      <c r="A18" s="110">
        <v>13</v>
      </c>
      <c r="B18" s="11" t="s">
        <v>58</v>
      </c>
      <c r="C18" s="37" t="s">
        <v>118</v>
      </c>
      <c r="D18" s="55" t="s">
        <v>131</v>
      </c>
      <c r="E18" s="57" t="s">
        <v>158</v>
      </c>
      <c r="F18" s="33" t="s">
        <v>142</v>
      </c>
      <c r="G18" s="36">
        <v>1</v>
      </c>
      <c r="H18" s="38">
        <v>25</v>
      </c>
      <c r="I18" s="7">
        <v>62000</v>
      </c>
      <c r="J18" s="5">
        <v>1880</v>
      </c>
      <c r="K18" s="15">
        <f>L18+2232+4609+1982+1137+3270+2188+1609+3870+5108+3013</f>
        <v>30891</v>
      </c>
      <c r="L18" s="15">
        <f>1873</f>
        <v>1873</v>
      </c>
      <c r="M18" s="16">
        <f t="shared" si="0"/>
        <v>1873</v>
      </c>
      <c r="N18" s="16">
        <v>0</v>
      </c>
      <c r="O18" s="62">
        <f t="shared" si="1"/>
        <v>0</v>
      </c>
      <c r="P18" s="42">
        <f t="shared" si="2"/>
        <v>9</v>
      </c>
      <c r="Q18" s="43">
        <f t="shared" si="3"/>
        <v>15</v>
      </c>
      <c r="R18" s="7">
        <v>1</v>
      </c>
      <c r="S18" s="6"/>
      <c r="T18" s="17"/>
      <c r="U18" s="17"/>
      <c r="V18" s="18">
        <v>14</v>
      </c>
      <c r="W18" s="19"/>
      <c r="X18" s="17"/>
      <c r="Y18" s="20"/>
      <c r="Z18" s="20"/>
      <c r="AA18" s="21"/>
      <c r="AB18" s="8">
        <f t="shared" si="4"/>
        <v>0.99627659574468086</v>
      </c>
      <c r="AC18" s="9">
        <f t="shared" si="5"/>
        <v>0.375</v>
      </c>
      <c r="AD18" s="10">
        <f t="shared" si="6"/>
        <v>0.37360372340425529</v>
      </c>
      <c r="AE18" s="39">
        <f t="shared" si="7"/>
        <v>0.3126151238085717</v>
      </c>
      <c r="AF18" s="94">
        <f t="shared" si="8"/>
        <v>13</v>
      </c>
    </row>
    <row r="19" spans="1:32" ht="27" customHeight="1">
      <c r="A19" s="110">
        <v>14</v>
      </c>
      <c r="B19" s="11" t="s">
        <v>58</v>
      </c>
      <c r="C19" s="11" t="s">
        <v>118</v>
      </c>
      <c r="D19" s="55" t="s">
        <v>57</v>
      </c>
      <c r="E19" s="56" t="s">
        <v>159</v>
      </c>
      <c r="F19" s="12" t="s">
        <v>145</v>
      </c>
      <c r="G19" s="12">
        <v>1</v>
      </c>
      <c r="H19" s="38">
        <v>25</v>
      </c>
      <c r="I19" s="34">
        <v>45000</v>
      </c>
      <c r="J19" s="5">
        <v>2120</v>
      </c>
      <c r="K19" s="15">
        <f>L19+4457+5150+5194+2223+4847+5149+5390+3119+5128+4796</f>
        <v>47570</v>
      </c>
      <c r="L19" s="15">
        <f>2117</f>
        <v>2117</v>
      </c>
      <c r="M19" s="16">
        <f t="shared" si="0"/>
        <v>2117</v>
      </c>
      <c r="N19" s="16">
        <v>0</v>
      </c>
      <c r="O19" s="62">
        <f t="shared" si="1"/>
        <v>0</v>
      </c>
      <c r="P19" s="42">
        <f t="shared" si="2"/>
        <v>10</v>
      </c>
      <c r="Q19" s="43">
        <f t="shared" si="3"/>
        <v>14</v>
      </c>
      <c r="R19" s="7"/>
      <c r="S19" s="6"/>
      <c r="T19" s="17"/>
      <c r="U19" s="17"/>
      <c r="V19" s="18">
        <v>14</v>
      </c>
      <c r="W19" s="19"/>
      <c r="X19" s="17"/>
      <c r="Y19" s="20"/>
      <c r="Z19" s="20"/>
      <c r="AA19" s="21"/>
      <c r="AB19" s="8">
        <f t="shared" si="4"/>
        <v>0.99858490566037739</v>
      </c>
      <c r="AC19" s="9">
        <f t="shared" si="5"/>
        <v>0.41666666666666669</v>
      </c>
      <c r="AD19" s="10">
        <f t="shared" si="6"/>
        <v>0.41607704402515727</v>
      </c>
      <c r="AE19" s="39">
        <f t="shared" si="7"/>
        <v>0.3126151238085717</v>
      </c>
      <c r="AF19" s="94">
        <f t="shared" si="8"/>
        <v>14</v>
      </c>
    </row>
    <row r="20" spans="1:32" ht="27" customHeight="1" thickBot="1">
      <c r="A20" s="110">
        <v>15</v>
      </c>
      <c r="B20" s="11" t="s">
        <v>58</v>
      </c>
      <c r="C20" s="11" t="s">
        <v>115</v>
      </c>
      <c r="D20" s="55"/>
      <c r="E20" s="56" t="s">
        <v>250</v>
      </c>
      <c r="F20" s="12" t="s">
        <v>116</v>
      </c>
      <c r="G20" s="12">
        <v>4</v>
      </c>
      <c r="H20" s="38">
        <v>15</v>
      </c>
      <c r="I20" s="7">
        <v>300000</v>
      </c>
      <c r="J20" s="14">
        <v>27410</v>
      </c>
      <c r="K20" s="15">
        <f>L20+35456+63764+63820</f>
        <v>190448</v>
      </c>
      <c r="L20" s="15">
        <f>6852*4</f>
        <v>27408</v>
      </c>
      <c r="M20" s="16">
        <f t="shared" si="0"/>
        <v>27408</v>
      </c>
      <c r="N20" s="16">
        <v>0</v>
      </c>
      <c r="O20" s="62">
        <f t="shared" si="1"/>
        <v>0</v>
      </c>
      <c r="P20" s="42">
        <f t="shared" si="2"/>
        <v>10</v>
      </c>
      <c r="Q20" s="43">
        <f t="shared" si="3"/>
        <v>14</v>
      </c>
      <c r="R20" s="7"/>
      <c r="S20" s="6"/>
      <c r="T20" s="17"/>
      <c r="U20" s="17"/>
      <c r="V20" s="18">
        <v>14</v>
      </c>
      <c r="W20" s="19"/>
      <c r="X20" s="17"/>
      <c r="Y20" s="20"/>
      <c r="Z20" s="20"/>
      <c r="AA20" s="21"/>
      <c r="AB20" s="8">
        <f t="shared" si="4"/>
        <v>0.99992703392922289</v>
      </c>
      <c r="AC20" s="9">
        <f t="shared" si="5"/>
        <v>0.41666666666666669</v>
      </c>
      <c r="AD20" s="10">
        <f t="shared" si="6"/>
        <v>0.41663626413717625</v>
      </c>
      <c r="AE20" s="39">
        <f t="shared" si="7"/>
        <v>0.3126151238085717</v>
      </c>
      <c r="AF20" s="94">
        <f t="shared" si="8"/>
        <v>15</v>
      </c>
    </row>
    <row r="21" spans="1:32" ht="31.5" customHeight="1" thickBot="1">
      <c r="A21" s="465" t="s">
        <v>34</v>
      </c>
      <c r="B21" s="466"/>
      <c r="C21" s="466"/>
      <c r="D21" s="466"/>
      <c r="E21" s="466"/>
      <c r="F21" s="466"/>
      <c r="G21" s="466"/>
      <c r="H21" s="467"/>
      <c r="I21" s="25">
        <f t="shared" ref="I21:N21" si="11">SUM(I6:I20)</f>
        <v>677000</v>
      </c>
      <c r="J21" s="22">
        <f t="shared" si="11"/>
        <v>51685</v>
      </c>
      <c r="K21" s="23">
        <f t="shared" si="11"/>
        <v>431473</v>
      </c>
      <c r="L21" s="24">
        <f t="shared" si="11"/>
        <v>49282</v>
      </c>
      <c r="M21" s="23">
        <f t="shared" si="11"/>
        <v>49282</v>
      </c>
      <c r="N21" s="24">
        <f t="shared" si="11"/>
        <v>0</v>
      </c>
      <c r="O21" s="44">
        <f t="shared" si="1"/>
        <v>0</v>
      </c>
      <c r="P21" s="45">
        <f t="shared" ref="P21:AA21" si="12">SUM(P6:P20)</f>
        <v>113</v>
      </c>
      <c r="Q21" s="46">
        <f t="shared" si="12"/>
        <v>247</v>
      </c>
      <c r="R21" s="26">
        <f t="shared" si="12"/>
        <v>49</v>
      </c>
      <c r="S21" s="27">
        <f t="shared" si="12"/>
        <v>4</v>
      </c>
      <c r="T21" s="27">
        <f t="shared" si="12"/>
        <v>8</v>
      </c>
      <c r="U21" s="27">
        <f t="shared" si="12"/>
        <v>0</v>
      </c>
      <c r="V21" s="28">
        <f t="shared" si="12"/>
        <v>168</v>
      </c>
      <c r="W21" s="29">
        <f t="shared" si="12"/>
        <v>18</v>
      </c>
      <c r="X21" s="30">
        <f t="shared" si="12"/>
        <v>0</v>
      </c>
      <c r="Y21" s="30">
        <f t="shared" si="12"/>
        <v>0</v>
      </c>
      <c r="Z21" s="30">
        <f t="shared" si="12"/>
        <v>0</v>
      </c>
      <c r="AA21" s="30">
        <f t="shared" si="12"/>
        <v>0</v>
      </c>
      <c r="AB21" s="31">
        <f>SUM(AB6:AB20)/15</f>
        <v>0.86291393768749636</v>
      </c>
      <c r="AC21" s="4">
        <f>SUM(AC6:AC20)/15</f>
        <v>0.31388888888888894</v>
      </c>
      <c r="AD21" s="4">
        <f>SUM(AD6:AD20)/15</f>
        <v>0.3126151238085717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68" t="s">
        <v>45</v>
      </c>
      <c r="B48" s="468"/>
      <c r="C48" s="468"/>
      <c r="D48" s="468"/>
      <c r="E48" s="468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69" t="s">
        <v>401</v>
      </c>
      <c r="B49" s="470"/>
      <c r="C49" s="470"/>
      <c r="D49" s="470"/>
      <c r="E49" s="470"/>
      <c r="F49" s="470"/>
      <c r="G49" s="470"/>
      <c r="H49" s="470"/>
      <c r="I49" s="470"/>
      <c r="J49" s="470"/>
      <c r="K49" s="470"/>
      <c r="L49" s="470"/>
      <c r="M49" s="471"/>
      <c r="N49" s="472" t="s">
        <v>414</v>
      </c>
      <c r="O49" s="473"/>
      <c r="P49" s="473"/>
      <c r="Q49" s="473"/>
      <c r="R49" s="473"/>
      <c r="S49" s="473"/>
      <c r="T49" s="473"/>
      <c r="U49" s="473"/>
      <c r="V49" s="473"/>
      <c r="W49" s="473"/>
      <c r="X49" s="473"/>
      <c r="Y49" s="473"/>
      <c r="Z49" s="473"/>
      <c r="AA49" s="473"/>
      <c r="AB49" s="473"/>
      <c r="AC49" s="473"/>
      <c r="AD49" s="474"/>
    </row>
    <row r="50" spans="1:32" ht="27" customHeight="1">
      <c r="A50" s="475" t="s">
        <v>2</v>
      </c>
      <c r="B50" s="476"/>
      <c r="C50" s="175" t="s">
        <v>46</v>
      </c>
      <c r="D50" s="175" t="s">
        <v>47</v>
      </c>
      <c r="E50" s="175" t="s">
        <v>109</v>
      </c>
      <c r="F50" s="476" t="s">
        <v>108</v>
      </c>
      <c r="G50" s="476"/>
      <c r="H50" s="476"/>
      <c r="I50" s="476"/>
      <c r="J50" s="476"/>
      <c r="K50" s="476"/>
      <c r="L50" s="476"/>
      <c r="M50" s="477"/>
      <c r="N50" s="73" t="s">
        <v>113</v>
      </c>
      <c r="O50" s="175" t="s">
        <v>46</v>
      </c>
      <c r="P50" s="478" t="s">
        <v>47</v>
      </c>
      <c r="Q50" s="479"/>
      <c r="R50" s="478" t="s">
        <v>38</v>
      </c>
      <c r="S50" s="480"/>
      <c r="T50" s="480"/>
      <c r="U50" s="479"/>
      <c r="V50" s="478" t="s">
        <v>48</v>
      </c>
      <c r="W50" s="480"/>
      <c r="X50" s="480"/>
      <c r="Y50" s="480"/>
      <c r="Z50" s="480"/>
      <c r="AA50" s="480"/>
      <c r="AB50" s="480"/>
      <c r="AC50" s="480"/>
      <c r="AD50" s="481"/>
    </row>
    <row r="51" spans="1:32" ht="27" customHeight="1">
      <c r="A51" s="492" t="s">
        <v>205</v>
      </c>
      <c r="B51" s="493"/>
      <c r="C51" s="176" t="s">
        <v>252</v>
      </c>
      <c r="D51" s="177" t="s">
        <v>402</v>
      </c>
      <c r="E51" s="176" t="s">
        <v>403</v>
      </c>
      <c r="F51" s="494" t="s">
        <v>404</v>
      </c>
      <c r="G51" s="494"/>
      <c r="H51" s="494"/>
      <c r="I51" s="494"/>
      <c r="J51" s="494"/>
      <c r="K51" s="494"/>
      <c r="L51" s="494"/>
      <c r="M51" s="495"/>
      <c r="N51" s="181" t="s">
        <v>272</v>
      </c>
      <c r="O51" s="74" t="s">
        <v>415</v>
      </c>
      <c r="P51" s="496" t="s">
        <v>416</v>
      </c>
      <c r="Q51" s="497"/>
      <c r="R51" s="498" t="s">
        <v>417</v>
      </c>
      <c r="S51" s="498"/>
      <c r="T51" s="498"/>
      <c r="U51" s="498"/>
      <c r="V51" s="494" t="s">
        <v>418</v>
      </c>
      <c r="W51" s="494"/>
      <c r="X51" s="494"/>
      <c r="Y51" s="494"/>
      <c r="Z51" s="494"/>
      <c r="AA51" s="494"/>
      <c r="AB51" s="494"/>
      <c r="AC51" s="494"/>
      <c r="AD51" s="495"/>
    </row>
    <row r="52" spans="1:32" ht="27" customHeight="1">
      <c r="A52" s="492" t="s">
        <v>309</v>
      </c>
      <c r="B52" s="493"/>
      <c r="C52" s="176" t="s">
        <v>310</v>
      </c>
      <c r="D52" s="177" t="s">
        <v>311</v>
      </c>
      <c r="E52" s="176" t="s">
        <v>395</v>
      </c>
      <c r="F52" s="494" t="s">
        <v>405</v>
      </c>
      <c r="G52" s="494"/>
      <c r="H52" s="494"/>
      <c r="I52" s="494"/>
      <c r="J52" s="494"/>
      <c r="K52" s="494"/>
      <c r="L52" s="494"/>
      <c r="M52" s="495"/>
      <c r="N52" s="181" t="s">
        <v>392</v>
      </c>
      <c r="O52" s="74" t="s">
        <v>419</v>
      </c>
      <c r="P52" s="496" t="s">
        <v>420</v>
      </c>
      <c r="Q52" s="497"/>
      <c r="R52" s="498" t="s">
        <v>421</v>
      </c>
      <c r="S52" s="498"/>
      <c r="T52" s="498"/>
      <c r="U52" s="498"/>
      <c r="V52" s="494" t="s">
        <v>253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406</v>
      </c>
      <c r="B53" s="493"/>
      <c r="C53" s="176" t="s">
        <v>407</v>
      </c>
      <c r="D53" s="177" t="s">
        <v>408</v>
      </c>
      <c r="E53" s="176" t="s">
        <v>391</v>
      </c>
      <c r="F53" s="494" t="s">
        <v>409</v>
      </c>
      <c r="G53" s="494"/>
      <c r="H53" s="494"/>
      <c r="I53" s="494"/>
      <c r="J53" s="494"/>
      <c r="K53" s="494"/>
      <c r="L53" s="494"/>
      <c r="M53" s="495"/>
      <c r="N53" s="181" t="s">
        <v>117</v>
      </c>
      <c r="O53" s="74" t="s">
        <v>370</v>
      </c>
      <c r="P53" s="496" t="s">
        <v>422</v>
      </c>
      <c r="Q53" s="497"/>
      <c r="R53" s="498" t="s">
        <v>423</v>
      </c>
      <c r="S53" s="498"/>
      <c r="T53" s="498"/>
      <c r="U53" s="498"/>
      <c r="V53" s="494" t="s">
        <v>372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392</v>
      </c>
      <c r="B54" s="493"/>
      <c r="C54" s="176" t="s">
        <v>410</v>
      </c>
      <c r="D54" s="177" t="s">
        <v>390</v>
      </c>
      <c r="E54" s="176" t="s">
        <v>393</v>
      </c>
      <c r="F54" s="494" t="s">
        <v>409</v>
      </c>
      <c r="G54" s="494"/>
      <c r="H54" s="494"/>
      <c r="I54" s="494"/>
      <c r="J54" s="494"/>
      <c r="K54" s="494"/>
      <c r="L54" s="494"/>
      <c r="M54" s="495"/>
      <c r="N54" s="181" t="s">
        <v>389</v>
      </c>
      <c r="O54" s="74" t="s">
        <v>424</v>
      </c>
      <c r="P54" s="496" t="s">
        <v>425</v>
      </c>
      <c r="Q54" s="497"/>
      <c r="R54" s="498" t="s">
        <v>426</v>
      </c>
      <c r="S54" s="498"/>
      <c r="T54" s="498"/>
      <c r="U54" s="498"/>
      <c r="V54" s="494" t="s">
        <v>372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392</v>
      </c>
      <c r="B55" s="493"/>
      <c r="C55" s="176" t="s">
        <v>411</v>
      </c>
      <c r="D55" s="177" t="s">
        <v>412</v>
      </c>
      <c r="E55" s="176" t="s">
        <v>413</v>
      </c>
      <c r="F55" s="494" t="s">
        <v>409</v>
      </c>
      <c r="G55" s="494"/>
      <c r="H55" s="494"/>
      <c r="I55" s="494"/>
      <c r="J55" s="494"/>
      <c r="K55" s="494"/>
      <c r="L55" s="494"/>
      <c r="M55" s="495"/>
      <c r="N55" s="181" t="s">
        <v>427</v>
      </c>
      <c r="O55" s="74" t="s">
        <v>428</v>
      </c>
      <c r="P55" s="496" t="s">
        <v>425</v>
      </c>
      <c r="Q55" s="497"/>
      <c r="R55" s="498" t="s">
        <v>429</v>
      </c>
      <c r="S55" s="498"/>
      <c r="T55" s="498"/>
      <c r="U55" s="498"/>
      <c r="V55" s="494" t="s">
        <v>430</v>
      </c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/>
      <c r="B56" s="493"/>
      <c r="C56" s="176"/>
      <c r="D56" s="177"/>
      <c r="E56" s="176"/>
      <c r="F56" s="494"/>
      <c r="G56" s="494"/>
      <c r="H56" s="494"/>
      <c r="I56" s="494"/>
      <c r="J56" s="494"/>
      <c r="K56" s="494"/>
      <c r="L56" s="494"/>
      <c r="M56" s="495"/>
      <c r="N56" s="181"/>
      <c r="O56" s="74"/>
      <c r="P56" s="498"/>
      <c r="Q56" s="498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/>
      <c r="B57" s="493"/>
      <c r="C57" s="176"/>
      <c r="D57" s="177"/>
      <c r="E57" s="176"/>
      <c r="F57" s="494"/>
      <c r="G57" s="494"/>
      <c r="H57" s="494"/>
      <c r="I57" s="494"/>
      <c r="J57" s="494"/>
      <c r="K57" s="494"/>
      <c r="L57" s="494"/>
      <c r="M57" s="495"/>
      <c r="N57" s="181"/>
      <c r="O57" s="74"/>
      <c r="P57" s="496"/>
      <c r="Q57" s="497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/>
      <c r="B58" s="493"/>
      <c r="C58" s="176"/>
      <c r="D58" s="177"/>
      <c r="E58" s="176"/>
      <c r="F58" s="494"/>
      <c r="G58" s="494"/>
      <c r="H58" s="494"/>
      <c r="I58" s="494"/>
      <c r="J58" s="494"/>
      <c r="K58" s="494"/>
      <c r="L58" s="494"/>
      <c r="M58" s="495"/>
      <c r="N58" s="181"/>
      <c r="O58" s="74"/>
      <c r="P58" s="498"/>
      <c r="Q58" s="498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508"/>
      <c r="B59" s="498"/>
      <c r="C59" s="177"/>
      <c r="D59" s="177"/>
      <c r="E59" s="177"/>
      <c r="F59" s="494"/>
      <c r="G59" s="494"/>
      <c r="H59" s="494"/>
      <c r="I59" s="494"/>
      <c r="J59" s="494"/>
      <c r="K59" s="494"/>
      <c r="L59" s="494"/>
      <c r="M59" s="495"/>
      <c r="N59" s="181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  <c r="AF59" s="94">
        <f>8*3000</f>
        <v>24000</v>
      </c>
    </row>
    <row r="60" spans="1:32" ht="27" customHeight="1" thickBot="1">
      <c r="A60" s="499"/>
      <c r="B60" s="500"/>
      <c r="C60" s="179"/>
      <c r="D60" s="179"/>
      <c r="E60" s="179"/>
      <c r="F60" s="501"/>
      <c r="G60" s="501"/>
      <c r="H60" s="501"/>
      <c r="I60" s="501"/>
      <c r="J60" s="501"/>
      <c r="K60" s="501"/>
      <c r="L60" s="501"/>
      <c r="M60" s="502"/>
      <c r="N60" s="178"/>
      <c r="O60" s="121"/>
      <c r="P60" s="500"/>
      <c r="Q60" s="500"/>
      <c r="R60" s="500"/>
      <c r="S60" s="500"/>
      <c r="T60" s="500"/>
      <c r="U60" s="500"/>
      <c r="V60" s="501"/>
      <c r="W60" s="501"/>
      <c r="X60" s="501"/>
      <c r="Y60" s="501"/>
      <c r="Z60" s="501"/>
      <c r="AA60" s="501"/>
      <c r="AB60" s="501"/>
      <c r="AC60" s="501"/>
      <c r="AD60" s="502"/>
      <c r="AF60" s="94">
        <f>16*3000</f>
        <v>48000</v>
      </c>
    </row>
    <row r="61" spans="1:32" ht="27.75" thickBot="1">
      <c r="A61" s="503" t="s">
        <v>431</v>
      </c>
      <c r="B61" s="503"/>
      <c r="C61" s="503"/>
      <c r="D61" s="503"/>
      <c r="E61" s="503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504" t="s">
        <v>114</v>
      </c>
      <c r="B62" s="505"/>
      <c r="C62" s="180" t="s">
        <v>2</v>
      </c>
      <c r="D62" s="180" t="s">
        <v>37</v>
      </c>
      <c r="E62" s="180" t="s">
        <v>3</v>
      </c>
      <c r="F62" s="505" t="s">
        <v>111</v>
      </c>
      <c r="G62" s="505"/>
      <c r="H62" s="505"/>
      <c r="I62" s="505"/>
      <c r="J62" s="505"/>
      <c r="K62" s="505" t="s">
        <v>39</v>
      </c>
      <c r="L62" s="505"/>
      <c r="M62" s="180" t="s">
        <v>40</v>
      </c>
      <c r="N62" s="505" t="s">
        <v>41</v>
      </c>
      <c r="O62" s="505"/>
      <c r="P62" s="506" t="s">
        <v>42</v>
      </c>
      <c r="Q62" s="507"/>
      <c r="R62" s="506" t="s">
        <v>43</v>
      </c>
      <c r="S62" s="509"/>
      <c r="T62" s="509"/>
      <c r="U62" s="509"/>
      <c r="V62" s="509"/>
      <c r="W62" s="509"/>
      <c r="X62" s="509"/>
      <c r="Y62" s="509"/>
      <c r="Z62" s="509"/>
      <c r="AA62" s="507"/>
      <c r="AB62" s="505" t="s">
        <v>44</v>
      </c>
      <c r="AC62" s="505"/>
      <c r="AD62" s="510"/>
      <c r="AF62" s="94">
        <f>SUM(AF59:AF61)</f>
        <v>96000</v>
      </c>
    </row>
    <row r="63" spans="1:32" ht="25.5" customHeight="1">
      <c r="A63" s="511">
        <v>1</v>
      </c>
      <c r="B63" s="512"/>
      <c r="C63" s="124"/>
      <c r="D63" s="184"/>
      <c r="E63" s="182"/>
      <c r="F63" s="513"/>
      <c r="G63" s="514"/>
      <c r="H63" s="514"/>
      <c r="I63" s="514"/>
      <c r="J63" s="514"/>
      <c r="K63" s="514"/>
      <c r="L63" s="514"/>
      <c r="M63" s="54"/>
      <c r="N63" s="514"/>
      <c r="O63" s="514"/>
      <c r="P63" s="515"/>
      <c r="Q63" s="515"/>
      <c r="R63" s="494"/>
      <c r="S63" s="494"/>
      <c r="T63" s="494"/>
      <c r="U63" s="494"/>
      <c r="V63" s="494"/>
      <c r="W63" s="494"/>
      <c r="X63" s="494"/>
      <c r="Y63" s="494"/>
      <c r="Z63" s="494"/>
      <c r="AA63" s="494"/>
      <c r="AB63" s="514"/>
      <c r="AC63" s="514"/>
      <c r="AD63" s="516"/>
      <c r="AF63" s="53"/>
    </row>
    <row r="64" spans="1:32" ht="25.5" customHeight="1">
      <c r="A64" s="511">
        <v>2</v>
      </c>
      <c r="B64" s="512"/>
      <c r="C64" s="124"/>
      <c r="D64" s="184"/>
      <c r="E64" s="182"/>
      <c r="F64" s="513"/>
      <c r="G64" s="514"/>
      <c r="H64" s="514"/>
      <c r="I64" s="514"/>
      <c r="J64" s="514"/>
      <c r="K64" s="514"/>
      <c r="L64" s="514"/>
      <c r="M64" s="54"/>
      <c r="N64" s="514"/>
      <c r="O64" s="514"/>
      <c r="P64" s="515"/>
      <c r="Q64" s="515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3</v>
      </c>
      <c r="B65" s="512"/>
      <c r="C65" s="124"/>
      <c r="D65" s="184"/>
      <c r="E65" s="182"/>
      <c r="F65" s="513"/>
      <c r="G65" s="514"/>
      <c r="H65" s="514"/>
      <c r="I65" s="514"/>
      <c r="J65" s="514"/>
      <c r="K65" s="514"/>
      <c r="L65" s="514"/>
      <c r="M65" s="54"/>
      <c r="N65" s="514"/>
      <c r="O65" s="514"/>
      <c r="P65" s="515"/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4</v>
      </c>
      <c r="B66" s="512"/>
      <c r="C66" s="124"/>
      <c r="D66" s="184"/>
      <c r="E66" s="182"/>
      <c r="F66" s="513"/>
      <c r="G66" s="514"/>
      <c r="H66" s="514"/>
      <c r="I66" s="514"/>
      <c r="J66" s="514"/>
      <c r="K66" s="514"/>
      <c r="L66" s="514"/>
      <c r="M66" s="54"/>
      <c r="N66" s="514"/>
      <c r="O66" s="514"/>
      <c r="P66" s="515"/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5</v>
      </c>
      <c r="B67" s="512"/>
      <c r="C67" s="124"/>
      <c r="D67" s="184"/>
      <c r="E67" s="182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6</v>
      </c>
      <c r="B68" s="512"/>
      <c r="C68" s="124"/>
      <c r="D68" s="184"/>
      <c r="E68" s="182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7</v>
      </c>
      <c r="B69" s="512"/>
      <c r="C69" s="124"/>
      <c r="D69" s="184"/>
      <c r="E69" s="182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8</v>
      </c>
      <c r="B70" s="512"/>
      <c r="C70" s="124"/>
      <c r="D70" s="184"/>
      <c r="E70" s="182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6.25" customHeight="1" thickBot="1">
      <c r="A71" s="517" t="s">
        <v>432</v>
      </c>
      <c r="B71" s="517"/>
      <c r="C71" s="517"/>
      <c r="D71" s="517"/>
      <c r="E71" s="51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518" t="s">
        <v>114</v>
      </c>
      <c r="B72" s="519"/>
      <c r="C72" s="183" t="s">
        <v>2</v>
      </c>
      <c r="D72" s="183" t="s">
        <v>37</v>
      </c>
      <c r="E72" s="183" t="s">
        <v>3</v>
      </c>
      <c r="F72" s="519" t="s">
        <v>38</v>
      </c>
      <c r="G72" s="519"/>
      <c r="H72" s="519"/>
      <c r="I72" s="519"/>
      <c r="J72" s="519"/>
      <c r="K72" s="520" t="s">
        <v>59</v>
      </c>
      <c r="L72" s="521"/>
      <c r="M72" s="521"/>
      <c r="N72" s="521"/>
      <c r="O72" s="521"/>
      <c r="P72" s="521"/>
      <c r="Q72" s="521"/>
      <c r="R72" s="521"/>
      <c r="S72" s="522"/>
      <c r="T72" s="519" t="s">
        <v>49</v>
      </c>
      <c r="U72" s="519"/>
      <c r="V72" s="520" t="s">
        <v>50</v>
      </c>
      <c r="W72" s="522"/>
      <c r="X72" s="521" t="s">
        <v>51</v>
      </c>
      <c r="Y72" s="521"/>
      <c r="Z72" s="521"/>
      <c r="AA72" s="521"/>
      <c r="AB72" s="521"/>
      <c r="AC72" s="521"/>
      <c r="AD72" s="523"/>
      <c r="AF72" s="53"/>
    </row>
    <row r="73" spans="1:32" ht="33.75" customHeight="1">
      <c r="A73" s="532">
        <v>1</v>
      </c>
      <c r="B73" s="533"/>
      <c r="C73" s="185" t="s">
        <v>117</v>
      </c>
      <c r="D73" s="185"/>
      <c r="E73" s="71" t="s">
        <v>123</v>
      </c>
      <c r="F73" s="534" t="s">
        <v>124</v>
      </c>
      <c r="G73" s="535"/>
      <c r="H73" s="535"/>
      <c r="I73" s="535"/>
      <c r="J73" s="536"/>
      <c r="K73" s="537" t="s">
        <v>119</v>
      </c>
      <c r="L73" s="538"/>
      <c r="M73" s="538"/>
      <c r="N73" s="538"/>
      <c r="O73" s="538"/>
      <c r="P73" s="538"/>
      <c r="Q73" s="538"/>
      <c r="R73" s="538"/>
      <c r="S73" s="539"/>
      <c r="T73" s="540">
        <v>42901</v>
      </c>
      <c r="U73" s="541"/>
      <c r="V73" s="542"/>
      <c r="W73" s="542"/>
      <c r="X73" s="543"/>
      <c r="Y73" s="543"/>
      <c r="Z73" s="543"/>
      <c r="AA73" s="543"/>
      <c r="AB73" s="543"/>
      <c r="AC73" s="543"/>
      <c r="AD73" s="544"/>
      <c r="AF73" s="53"/>
    </row>
    <row r="74" spans="1:32" ht="30" customHeight="1">
      <c r="A74" s="524">
        <f>A73+1</f>
        <v>2</v>
      </c>
      <c r="B74" s="525"/>
      <c r="C74" s="184" t="s">
        <v>117</v>
      </c>
      <c r="D74" s="184"/>
      <c r="E74" s="35" t="s">
        <v>120</v>
      </c>
      <c r="F74" s="525" t="s">
        <v>121</v>
      </c>
      <c r="G74" s="525"/>
      <c r="H74" s="525"/>
      <c r="I74" s="525"/>
      <c r="J74" s="525"/>
      <c r="K74" s="526" t="s">
        <v>122</v>
      </c>
      <c r="L74" s="527"/>
      <c r="M74" s="527"/>
      <c r="N74" s="527"/>
      <c r="O74" s="527"/>
      <c r="P74" s="527"/>
      <c r="Q74" s="527"/>
      <c r="R74" s="527"/>
      <c r="S74" s="528"/>
      <c r="T74" s="529">
        <v>42867</v>
      </c>
      <c r="U74" s="529"/>
      <c r="V74" s="529"/>
      <c r="W74" s="529"/>
      <c r="X74" s="530"/>
      <c r="Y74" s="530"/>
      <c r="Z74" s="530"/>
      <c r="AA74" s="530"/>
      <c r="AB74" s="530"/>
      <c r="AC74" s="530"/>
      <c r="AD74" s="531"/>
      <c r="AF74" s="53"/>
    </row>
    <row r="75" spans="1:32" ht="30" customHeight="1">
      <c r="A75" s="524">
        <f t="shared" ref="A75:A81" si="13">A74+1</f>
        <v>3</v>
      </c>
      <c r="B75" s="525"/>
      <c r="C75" s="184" t="s">
        <v>133</v>
      </c>
      <c r="D75" s="184"/>
      <c r="E75" s="35" t="s">
        <v>131</v>
      </c>
      <c r="F75" s="525" t="s">
        <v>134</v>
      </c>
      <c r="G75" s="525"/>
      <c r="H75" s="525"/>
      <c r="I75" s="525"/>
      <c r="J75" s="525"/>
      <c r="K75" s="526" t="s">
        <v>119</v>
      </c>
      <c r="L75" s="527"/>
      <c r="M75" s="527"/>
      <c r="N75" s="527"/>
      <c r="O75" s="527"/>
      <c r="P75" s="527"/>
      <c r="Q75" s="527"/>
      <c r="R75" s="527"/>
      <c r="S75" s="528"/>
      <c r="T75" s="529">
        <v>42937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si="13"/>
        <v>4</v>
      </c>
      <c r="B76" s="525"/>
      <c r="C76" s="184" t="s">
        <v>118</v>
      </c>
      <c r="D76" s="184"/>
      <c r="E76" s="35" t="s">
        <v>129</v>
      </c>
      <c r="F76" s="525" t="s">
        <v>130</v>
      </c>
      <c r="G76" s="525"/>
      <c r="H76" s="525"/>
      <c r="I76" s="525"/>
      <c r="J76" s="525"/>
      <c r="K76" s="526" t="s">
        <v>132</v>
      </c>
      <c r="L76" s="527"/>
      <c r="M76" s="527"/>
      <c r="N76" s="527"/>
      <c r="O76" s="527"/>
      <c r="P76" s="527"/>
      <c r="Q76" s="527"/>
      <c r="R76" s="527"/>
      <c r="S76" s="528"/>
      <c r="T76" s="529">
        <v>42920</v>
      </c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13"/>
        <v>5</v>
      </c>
      <c r="B77" s="525"/>
      <c r="C77" s="184" t="s">
        <v>117</v>
      </c>
      <c r="D77" s="184"/>
      <c r="E77" s="35" t="s">
        <v>136</v>
      </c>
      <c r="F77" s="525" t="s">
        <v>156</v>
      </c>
      <c r="G77" s="525"/>
      <c r="H77" s="525"/>
      <c r="I77" s="525"/>
      <c r="J77" s="525"/>
      <c r="K77" s="526" t="s">
        <v>157</v>
      </c>
      <c r="L77" s="527"/>
      <c r="M77" s="527"/>
      <c r="N77" s="527"/>
      <c r="O77" s="527"/>
      <c r="P77" s="527"/>
      <c r="Q77" s="527"/>
      <c r="R77" s="527"/>
      <c r="S77" s="528"/>
      <c r="T77" s="529">
        <v>43033</v>
      </c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13"/>
        <v>6</v>
      </c>
      <c r="B78" s="525"/>
      <c r="C78" s="184"/>
      <c r="D78" s="184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13"/>
        <v>7</v>
      </c>
      <c r="B79" s="525"/>
      <c r="C79" s="184"/>
      <c r="D79" s="184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13"/>
        <v>8</v>
      </c>
      <c r="B80" s="525"/>
      <c r="C80" s="184"/>
      <c r="D80" s="184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13"/>
        <v>9</v>
      </c>
      <c r="B81" s="525"/>
      <c r="C81" s="184"/>
      <c r="D81" s="184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6" thickBot="1">
      <c r="A82" s="517" t="s">
        <v>433</v>
      </c>
      <c r="B82" s="517"/>
      <c r="C82" s="517"/>
      <c r="D82" s="517"/>
      <c r="E82" s="51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518" t="s">
        <v>114</v>
      </c>
      <c r="B83" s="519"/>
      <c r="C83" s="545" t="s">
        <v>52</v>
      </c>
      <c r="D83" s="545"/>
      <c r="E83" s="545" t="s">
        <v>53</v>
      </c>
      <c r="F83" s="545"/>
      <c r="G83" s="545"/>
      <c r="H83" s="545"/>
      <c r="I83" s="545"/>
      <c r="J83" s="545"/>
      <c r="K83" s="545" t="s">
        <v>54</v>
      </c>
      <c r="L83" s="545"/>
      <c r="M83" s="545"/>
      <c r="N83" s="545"/>
      <c r="O83" s="545"/>
      <c r="P83" s="545"/>
      <c r="Q83" s="545"/>
      <c r="R83" s="545"/>
      <c r="S83" s="545"/>
      <c r="T83" s="545" t="s">
        <v>55</v>
      </c>
      <c r="U83" s="545"/>
      <c r="V83" s="545" t="s">
        <v>56</v>
      </c>
      <c r="W83" s="545"/>
      <c r="X83" s="545"/>
      <c r="Y83" s="545" t="s">
        <v>51</v>
      </c>
      <c r="Z83" s="545"/>
      <c r="AA83" s="545"/>
      <c r="AB83" s="545"/>
      <c r="AC83" s="545"/>
      <c r="AD83" s="546"/>
      <c r="AF83" s="53"/>
    </row>
    <row r="84" spans="1:32" ht="30.75" customHeight="1">
      <c r="A84" s="532">
        <v>1</v>
      </c>
      <c r="B84" s="533"/>
      <c r="C84" s="547">
        <v>1</v>
      </c>
      <c r="D84" s="547"/>
      <c r="E84" s="547" t="s">
        <v>125</v>
      </c>
      <c r="F84" s="547"/>
      <c r="G84" s="547"/>
      <c r="H84" s="547"/>
      <c r="I84" s="547"/>
      <c r="J84" s="547"/>
      <c r="K84" s="547" t="s">
        <v>387</v>
      </c>
      <c r="L84" s="547"/>
      <c r="M84" s="547"/>
      <c r="N84" s="547"/>
      <c r="O84" s="547"/>
      <c r="P84" s="547"/>
      <c r="Q84" s="547"/>
      <c r="R84" s="547"/>
      <c r="S84" s="547"/>
      <c r="T84" s="547" t="s">
        <v>127</v>
      </c>
      <c r="U84" s="547"/>
      <c r="V84" s="548">
        <v>400000</v>
      </c>
      <c r="W84" s="548"/>
      <c r="X84" s="548"/>
      <c r="Y84" s="549"/>
      <c r="Z84" s="549"/>
      <c r="AA84" s="549"/>
      <c r="AB84" s="549"/>
      <c r="AC84" s="549"/>
      <c r="AD84" s="550"/>
      <c r="AF84" s="53"/>
    </row>
    <row r="85" spans="1:32" ht="30.75" customHeight="1">
      <c r="A85" s="524">
        <v>2</v>
      </c>
      <c r="B85" s="525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9"/>
      <c r="U85" s="559"/>
      <c r="V85" s="560"/>
      <c r="W85" s="560"/>
      <c r="X85" s="560"/>
      <c r="Y85" s="551"/>
      <c r="Z85" s="551"/>
      <c r="AA85" s="551"/>
      <c r="AB85" s="551"/>
      <c r="AC85" s="551"/>
      <c r="AD85" s="552"/>
      <c r="AF85" s="53"/>
    </row>
    <row r="86" spans="1:32" ht="30.75" customHeight="1" thickBot="1">
      <c r="A86" s="553">
        <v>3</v>
      </c>
      <c r="B86" s="554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6"/>
      <c r="Z86" s="556"/>
      <c r="AA86" s="556"/>
      <c r="AB86" s="556"/>
      <c r="AC86" s="556"/>
      <c r="AD86" s="55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7"/>
  <sheetViews>
    <sheetView zoomScale="72" zoomScaleNormal="72" zoomScaleSheetLayoutView="70" workbookViewId="0">
      <selection activeCell="K80" sqref="K80:S8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51" t="s">
        <v>434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2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197" t="s">
        <v>17</v>
      </c>
      <c r="L5" s="197" t="s">
        <v>18</v>
      </c>
      <c r="M5" s="197" t="s">
        <v>19</v>
      </c>
      <c r="N5" s="19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2" ht="27" customHeight="1">
      <c r="A6" s="108">
        <v>1</v>
      </c>
      <c r="B6" s="11" t="s">
        <v>149</v>
      </c>
      <c r="C6" s="37" t="s">
        <v>177</v>
      </c>
      <c r="D6" s="55" t="s">
        <v>190</v>
      </c>
      <c r="E6" s="57" t="s">
        <v>191</v>
      </c>
      <c r="F6" s="33" t="s">
        <v>192</v>
      </c>
      <c r="G6" s="12">
        <v>1</v>
      </c>
      <c r="H6" s="13">
        <v>25</v>
      </c>
      <c r="I6" s="34">
        <v>3000</v>
      </c>
      <c r="J6" s="5">
        <v>1030</v>
      </c>
      <c r="K6" s="15">
        <f>L6+1319+1024</f>
        <v>2343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0.65200555045124864</v>
      </c>
      <c r="AF6" s="94">
        <f t="shared" ref="AF6:AF21" si="8">A6</f>
        <v>1</v>
      </c>
    </row>
    <row r="7" spans="1:32" ht="27" customHeight="1">
      <c r="A7" s="108">
        <v>2</v>
      </c>
      <c r="B7" s="11" t="s">
        <v>149</v>
      </c>
      <c r="C7" s="37" t="s">
        <v>177</v>
      </c>
      <c r="D7" s="55" t="s">
        <v>190</v>
      </c>
      <c r="E7" s="57" t="s">
        <v>191</v>
      </c>
      <c r="F7" s="33" t="s">
        <v>192</v>
      </c>
      <c r="G7" s="12">
        <v>1</v>
      </c>
      <c r="H7" s="13">
        <v>25</v>
      </c>
      <c r="I7" s="34">
        <v>3000</v>
      </c>
      <c r="J7" s="5">
        <v>1320</v>
      </c>
      <c r="K7" s="15">
        <f>L7+1319</f>
        <v>1319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>
        <v>24</v>
      </c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0.65200555045124864</v>
      </c>
      <c r="AF7" s="94">
        <f t="shared" si="8"/>
        <v>2</v>
      </c>
    </row>
    <row r="8" spans="1:32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65000</v>
      </c>
      <c r="J8" s="14">
        <v>5260</v>
      </c>
      <c r="K8" s="15">
        <f>L8+452+3795+3955+5414+5383+3788+2222</f>
        <v>30261</v>
      </c>
      <c r="L8" s="15">
        <f>2618+2634</f>
        <v>5252</v>
      </c>
      <c r="M8" s="16">
        <f t="shared" si="0"/>
        <v>5252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0.99847908745247149</v>
      </c>
      <c r="AC8" s="9">
        <f t="shared" si="5"/>
        <v>1</v>
      </c>
      <c r="AD8" s="10">
        <f t="shared" si="6"/>
        <v>0.99847908745247149</v>
      </c>
      <c r="AE8" s="39">
        <f t="shared" si="7"/>
        <v>0.65200555045124864</v>
      </c>
      <c r="AF8" s="94">
        <f>A8</f>
        <v>3</v>
      </c>
    </row>
    <row r="9" spans="1:32" ht="27" customHeight="1">
      <c r="A9" s="110">
        <v>4</v>
      </c>
      <c r="B9" s="11" t="s">
        <v>58</v>
      </c>
      <c r="C9" s="37" t="s">
        <v>118</v>
      </c>
      <c r="D9" s="55" t="s">
        <v>131</v>
      </c>
      <c r="E9" s="57" t="s">
        <v>139</v>
      </c>
      <c r="F9" s="33" t="s">
        <v>146</v>
      </c>
      <c r="G9" s="36">
        <v>1</v>
      </c>
      <c r="H9" s="38">
        <v>25</v>
      </c>
      <c r="I9" s="7">
        <v>45000</v>
      </c>
      <c r="J9" s="5">
        <v>4850</v>
      </c>
      <c r="K9" s="15">
        <f>L9+2660+5083+4690+2113+4827+1915</f>
        <v>26134</v>
      </c>
      <c r="L9" s="15">
        <f>3112+1734</f>
        <v>4846</v>
      </c>
      <c r="M9" s="16">
        <f t="shared" si="0"/>
        <v>4846</v>
      </c>
      <c r="N9" s="16">
        <v>0</v>
      </c>
      <c r="O9" s="62">
        <f t="shared" si="1"/>
        <v>0</v>
      </c>
      <c r="P9" s="42">
        <f t="shared" si="2"/>
        <v>23</v>
      </c>
      <c r="Q9" s="43">
        <f t="shared" si="3"/>
        <v>1</v>
      </c>
      <c r="R9" s="7"/>
      <c r="S9" s="6">
        <v>1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0.99917525773195881</v>
      </c>
      <c r="AC9" s="9">
        <f t="shared" si="5"/>
        <v>0.95833333333333337</v>
      </c>
      <c r="AD9" s="10">
        <f t="shared" si="6"/>
        <v>0.95754295532646061</v>
      </c>
      <c r="AE9" s="39">
        <f t="shared" si="7"/>
        <v>0.65200555045124864</v>
      </c>
      <c r="AF9" s="94">
        <f t="shared" ref="AF9" si="9">A9</f>
        <v>4</v>
      </c>
    </row>
    <row r="10" spans="1:32" ht="27" customHeight="1">
      <c r="A10" s="110">
        <v>5</v>
      </c>
      <c r="B10" s="11" t="s">
        <v>58</v>
      </c>
      <c r="C10" s="11" t="s">
        <v>133</v>
      </c>
      <c r="D10" s="55" t="s">
        <v>131</v>
      </c>
      <c r="E10" s="56" t="s">
        <v>154</v>
      </c>
      <c r="F10" s="12" t="s">
        <v>148</v>
      </c>
      <c r="G10" s="12">
        <v>1</v>
      </c>
      <c r="H10" s="13">
        <v>25</v>
      </c>
      <c r="I10" s="34">
        <v>55000</v>
      </c>
      <c r="J10" s="14">
        <v>554</v>
      </c>
      <c r="K10" s="15">
        <f>L10+2928+5697+2831+3697+5889+4241+5564+2325+1191+1007+5147+3591+3623+3888+5695+4220+2388</f>
        <v>64476</v>
      </c>
      <c r="L10" s="15">
        <f>554</f>
        <v>554</v>
      </c>
      <c r="M10" s="16">
        <f t="shared" si="0"/>
        <v>554</v>
      </c>
      <c r="N10" s="16">
        <v>0</v>
      </c>
      <c r="O10" s="62">
        <f t="shared" si="1"/>
        <v>0</v>
      </c>
      <c r="P10" s="42">
        <f t="shared" si="2"/>
        <v>4</v>
      </c>
      <c r="Q10" s="43">
        <f t="shared" si="3"/>
        <v>20</v>
      </c>
      <c r="R10" s="7"/>
      <c r="S10" s="6"/>
      <c r="T10" s="17"/>
      <c r="U10" s="17"/>
      <c r="V10" s="18"/>
      <c r="W10" s="19">
        <v>20</v>
      </c>
      <c r="X10" s="17"/>
      <c r="Y10" s="20"/>
      <c r="Z10" s="20"/>
      <c r="AA10" s="21"/>
      <c r="AB10" s="8">
        <f t="shared" si="4"/>
        <v>1</v>
      </c>
      <c r="AC10" s="9">
        <f t="shared" si="5"/>
        <v>0.16666666666666666</v>
      </c>
      <c r="AD10" s="10">
        <f t="shared" si="6"/>
        <v>0.16666666666666666</v>
      </c>
      <c r="AE10" s="39">
        <f t="shared" si="7"/>
        <v>0.65200555045124864</v>
      </c>
      <c r="AF10" s="94">
        <f t="shared" si="8"/>
        <v>5</v>
      </c>
    </row>
    <row r="11" spans="1:32" ht="27" customHeight="1">
      <c r="A11" s="110">
        <v>6</v>
      </c>
      <c r="B11" s="11" t="s">
        <v>58</v>
      </c>
      <c r="C11" s="11" t="s">
        <v>389</v>
      </c>
      <c r="D11" s="55" t="s">
        <v>390</v>
      </c>
      <c r="E11" s="57" t="s">
        <v>391</v>
      </c>
      <c r="F11" s="12" t="s">
        <v>148</v>
      </c>
      <c r="G11" s="12">
        <v>1</v>
      </c>
      <c r="H11" s="13">
        <v>25</v>
      </c>
      <c r="I11" s="34">
        <v>16000</v>
      </c>
      <c r="J11" s="14">
        <v>10960</v>
      </c>
      <c r="K11" s="15">
        <f>L11+2730</f>
        <v>13688</v>
      </c>
      <c r="L11" s="15">
        <f>3247*2+2232*2</f>
        <v>10958</v>
      </c>
      <c r="M11" s="16">
        <f t="shared" si="0"/>
        <v>10958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0.99981751824817522</v>
      </c>
      <c r="AC11" s="9">
        <f t="shared" si="5"/>
        <v>1</v>
      </c>
      <c r="AD11" s="10">
        <f t="shared" si="6"/>
        <v>0.99981751824817522</v>
      </c>
      <c r="AE11" s="39">
        <f t="shared" si="7"/>
        <v>0.65200555045124864</v>
      </c>
      <c r="AF11" s="94">
        <f t="shared" si="8"/>
        <v>6</v>
      </c>
    </row>
    <row r="12" spans="1:32" ht="27" customHeight="1">
      <c r="A12" s="110">
        <v>7</v>
      </c>
      <c r="B12" s="11" t="s">
        <v>58</v>
      </c>
      <c r="C12" s="11" t="s">
        <v>118</v>
      </c>
      <c r="D12" s="55" t="s">
        <v>57</v>
      </c>
      <c r="E12" s="57" t="s">
        <v>160</v>
      </c>
      <c r="F12" s="12" t="s">
        <v>145</v>
      </c>
      <c r="G12" s="12">
        <v>1</v>
      </c>
      <c r="H12" s="13">
        <v>25</v>
      </c>
      <c r="I12" s="7">
        <v>62000</v>
      </c>
      <c r="J12" s="14">
        <v>2700</v>
      </c>
      <c r="K12" s="15">
        <f>L12+3062+3955+2262+4171+4492+4201+2422+2930+4783+1827</f>
        <v>36800</v>
      </c>
      <c r="L12" s="15">
        <f>2438+257</f>
        <v>2695</v>
      </c>
      <c r="M12" s="16">
        <f t="shared" si="0"/>
        <v>2695</v>
      </c>
      <c r="N12" s="16">
        <v>0</v>
      </c>
      <c r="O12" s="62">
        <f t="shared" si="1"/>
        <v>0</v>
      </c>
      <c r="P12" s="42">
        <f t="shared" si="2"/>
        <v>17</v>
      </c>
      <c r="Q12" s="43">
        <f t="shared" si="3"/>
        <v>7</v>
      </c>
      <c r="R12" s="7"/>
      <c r="S12" s="6">
        <v>7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0.99814814814814812</v>
      </c>
      <c r="AC12" s="9">
        <f t="shared" si="5"/>
        <v>0.70833333333333337</v>
      </c>
      <c r="AD12" s="10">
        <f t="shared" si="6"/>
        <v>0.7070216049382716</v>
      </c>
      <c r="AE12" s="39">
        <f t="shared" si="7"/>
        <v>0.65200555045124864</v>
      </c>
      <c r="AF12" s="94">
        <f t="shared" si="8"/>
        <v>7</v>
      </c>
    </row>
    <row r="13" spans="1:32" ht="27" customHeight="1">
      <c r="A13" s="110">
        <v>8</v>
      </c>
      <c r="B13" s="11" t="s">
        <v>58</v>
      </c>
      <c r="C13" s="11" t="s">
        <v>392</v>
      </c>
      <c r="D13" s="55" t="s">
        <v>448</v>
      </c>
      <c r="E13" s="57" t="s">
        <v>449</v>
      </c>
      <c r="F13" s="12" t="s">
        <v>394</v>
      </c>
      <c r="G13" s="12">
        <v>1</v>
      </c>
      <c r="H13" s="13">
        <v>25</v>
      </c>
      <c r="I13" s="7">
        <v>21000</v>
      </c>
      <c r="J13" s="14">
        <v>2855</v>
      </c>
      <c r="K13" s="15">
        <f>L13</f>
        <v>0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>
        <v>24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0.65200555045124864</v>
      </c>
      <c r="AF13" s="94">
        <f t="shared" si="8"/>
        <v>8</v>
      </c>
    </row>
    <row r="14" spans="1:32" ht="27" customHeight="1">
      <c r="A14" s="109">
        <v>9</v>
      </c>
      <c r="B14" s="11" t="s">
        <v>149</v>
      </c>
      <c r="C14" s="37" t="s">
        <v>195</v>
      </c>
      <c r="D14" s="55" t="s">
        <v>196</v>
      </c>
      <c r="E14" s="57" t="s">
        <v>395</v>
      </c>
      <c r="F14" s="33" t="s">
        <v>396</v>
      </c>
      <c r="G14" s="36">
        <v>1</v>
      </c>
      <c r="H14" s="38">
        <v>25</v>
      </c>
      <c r="I14" s="7">
        <v>500</v>
      </c>
      <c r="J14" s="5">
        <v>375</v>
      </c>
      <c r="K14" s="15">
        <f>L14+281</f>
        <v>655</v>
      </c>
      <c r="L14" s="15">
        <v>374</v>
      </c>
      <c r="M14" s="16">
        <f t="shared" si="0"/>
        <v>374</v>
      </c>
      <c r="N14" s="16">
        <v>0</v>
      </c>
      <c r="O14" s="62">
        <f t="shared" si="1"/>
        <v>0</v>
      </c>
      <c r="P14" s="42">
        <f t="shared" si="2"/>
        <v>9</v>
      </c>
      <c r="Q14" s="43">
        <f t="shared" si="3"/>
        <v>15</v>
      </c>
      <c r="R14" s="7"/>
      <c r="S14" s="6"/>
      <c r="T14" s="17"/>
      <c r="U14" s="17"/>
      <c r="V14" s="18"/>
      <c r="W14" s="19">
        <v>15</v>
      </c>
      <c r="X14" s="17"/>
      <c r="Y14" s="20"/>
      <c r="Z14" s="20"/>
      <c r="AA14" s="21"/>
      <c r="AB14" s="8">
        <f t="shared" si="4"/>
        <v>0.99733333333333329</v>
      </c>
      <c r="AC14" s="9">
        <f t="shared" si="5"/>
        <v>0.375</v>
      </c>
      <c r="AD14" s="10">
        <f t="shared" si="6"/>
        <v>0.374</v>
      </c>
      <c r="AE14" s="39">
        <f t="shared" si="7"/>
        <v>0.65200555045124864</v>
      </c>
      <c r="AF14" s="94">
        <f t="shared" si="8"/>
        <v>9</v>
      </c>
    </row>
    <row r="15" spans="1:32" ht="27" customHeight="1">
      <c r="A15" s="109">
        <v>9</v>
      </c>
      <c r="B15" s="11" t="s">
        <v>149</v>
      </c>
      <c r="C15" s="37" t="s">
        <v>435</v>
      </c>
      <c r="D15" s="55" t="s">
        <v>416</v>
      </c>
      <c r="E15" s="57" t="s">
        <v>436</v>
      </c>
      <c r="F15" s="33" t="s">
        <v>437</v>
      </c>
      <c r="G15" s="36">
        <v>1</v>
      </c>
      <c r="H15" s="38">
        <v>25</v>
      </c>
      <c r="I15" s="7">
        <v>11000</v>
      </c>
      <c r="J15" s="5">
        <v>2030</v>
      </c>
      <c r="K15" s="15">
        <f>L15</f>
        <v>2030</v>
      </c>
      <c r="L15" s="15">
        <f>2030</f>
        <v>2030</v>
      </c>
      <c r="M15" s="16">
        <f t="shared" ref="M15" si="10">L15-N15</f>
        <v>2030</v>
      </c>
      <c r="N15" s="16">
        <v>0</v>
      </c>
      <c r="O15" s="62">
        <f t="shared" ref="O15" si="11">IF(L15=0,"0",N15/L15)</f>
        <v>0</v>
      </c>
      <c r="P15" s="42">
        <f t="shared" ref="P15" si="12">IF(L15=0,"0",(24-Q15))</f>
        <v>12</v>
      </c>
      <c r="Q15" s="43">
        <f t="shared" ref="Q15" si="13">SUM(R15:AA15)</f>
        <v>12</v>
      </c>
      <c r="R15" s="7"/>
      <c r="S15" s="6"/>
      <c r="T15" s="17">
        <v>12</v>
      </c>
      <c r="U15" s="17"/>
      <c r="V15" s="18"/>
      <c r="W15" s="19"/>
      <c r="X15" s="17"/>
      <c r="Y15" s="20"/>
      <c r="Z15" s="20"/>
      <c r="AA15" s="21"/>
      <c r="AB15" s="8">
        <f t="shared" ref="AB15" si="14">IF(J15=0,"0",(L15/J15))</f>
        <v>1</v>
      </c>
      <c r="AC15" s="9">
        <f t="shared" ref="AC15" si="15">IF(P15=0,"0",(P15/24))</f>
        <v>0.5</v>
      </c>
      <c r="AD15" s="10">
        <f t="shared" ref="AD15" si="16">AC15*AB15*(1-O15)</f>
        <v>0.5</v>
      </c>
      <c r="AE15" s="39">
        <f t="shared" si="7"/>
        <v>0.65200555045124864</v>
      </c>
      <c r="AF15" s="94">
        <f t="shared" ref="AF15" si="17">A15</f>
        <v>9</v>
      </c>
    </row>
    <row r="16" spans="1:32" ht="27" customHeight="1">
      <c r="A16" s="109">
        <v>10</v>
      </c>
      <c r="B16" s="11" t="s">
        <v>149</v>
      </c>
      <c r="C16" s="11" t="s">
        <v>438</v>
      </c>
      <c r="D16" s="55" t="s">
        <v>439</v>
      </c>
      <c r="E16" s="57" t="s">
        <v>440</v>
      </c>
      <c r="F16" s="12">
        <v>8301</v>
      </c>
      <c r="G16" s="12">
        <v>1</v>
      </c>
      <c r="H16" s="13">
        <v>20</v>
      </c>
      <c r="I16" s="34">
        <v>21000</v>
      </c>
      <c r="J16" s="14">
        <v>2760</v>
      </c>
      <c r="K16" s="15">
        <f>L16</f>
        <v>2754</v>
      </c>
      <c r="L16" s="15">
        <f>2496+258</f>
        <v>2754</v>
      </c>
      <c r="M16" s="16">
        <f t="shared" si="0"/>
        <v>2754</v>
      </c>
      <c r="N16" s="16">
        <v>0</v>
      </c>
      <c r="O16" s="62">
        <f t="shared" si="1"/>
        <v>0</v>
      </c>
      <c r="P16" s="42">
        <f t="shared" si="2"/>
        <v>17</v>
      </c>
      <c r="Q16" s="43">
        <f t="shared" si="3"/>
        <v>7</v>
      </c>
      <c r="R16" s="7"/>
      <c r="S16" s="6">
        <v>7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0.99782608695652175</v>
      </c>
      <c r="AC16" s="9">
        <f t="shared" si="5"/>
        <v>0.70833333333333337</v>
      </c>
      <c r="AD16" s="10">
        <f t="shared" si="6"/>
        <v>0.70679347826086958</v>
      </c>
      <c r="AE16" s="39">
        <f t="shared" si="7"/>
        <v>0.65200555045124864</v>
      </c>
      <c r="AF16" s="94">
        <f t="shared" si="8"/>
        <v>10</v>
      </c>
    </row>
    <row r="17" spans="1:36" ht="27.75" customHeight="1">
      <c r="A17" s="109">
        <v>11</v>
      </c>
      <c r="B17" s="11" t="s">
        <v>149</v>
      </c>
      <c r="C17" s="11" t="s">
        <v>441</v>
      </c>
      <c r="D17" s="55" t="s">
        <v>442</v>
      </c>
      <c r="E17" s="56" t="s">
        <v>443</v>
      </c>
      <c r="F17" s="12" t="s">
        <v>444</v>
      </c>
      <c r="G17" s="36">
        <v>1</v>
      </c>
      <c r="H17" s="38">
        <v>25</v>
      </c>
      <c r="I17" s="7">
        <v>11000</v>
      </c>
      <c r="J17" s="14">
        <v>2670</v>
      </c>
      <c r="K17" s="15">
        <f>L17</f>
        <v>2667</v>
      </c>
      <c r="L17" s="15">
        <f>2667</f>
        <v>2667</v>
      </c>
      <c r="M17" s="16">
        <f t="shared" si="0"/>
        <v>2667</v>
      </c>
      <c r="N17" s="16">
        <v>0</v>
      </c>
      <c r="O17" s="62">
        <f t="shared" si="1"/>
        <v>0</v>
      </c>
      <c r="P17" s="42">
        <f t="shared" si="2"/>
        <v>16</v>
      </c>
      <c r="Q17" s="43">
        <f t="shared" si="3"/>
        <v>8</v>
      </c>
      <c r="R17" s="7"/>
      <c r="S17" s="6"/>
      <c r="T17" s="17">
        <v>8</v>
      </c>
      <c r="U17" s="17"/>
      <c r="V17" s="18"/>
      <c r="W17" s="19"/>
      <c r="X17" s="17"/>
      <c r="Y17" s="20"/>
      <c r="Z17" s="20"/>
      <c r="AA17" s="21"/>
      <c r="AB17" s="8">
        <f t="shared" si="4"/>
        <v>0.99887640449438198</v>
      </c>
      <c r="AC17" s="9">
        <f t="shared" si="5"/>
        <v>0.66666666666666663</v>
      </c>
      <c r="AD17" s="10">
        <f t="shared" si="6"/>
        <v>0.66591760299625458</v>
      </c>
      <c r="AE17" s="39">
        <f t="shared" si="7"/>
        <v>0.65200555045124864</v>
      </c>
      <c r="AF17" s="94">
        <f>A17</f>
        <v>11</v>
      </c>
      <c r="AJ17" s="15"/>
    </row>
    <row r="18" spans="1:36" ht="27" customHeight="1">
      <c r="A18" s="109">
        <v>12</v>
      </c>
      <c r="B18" s="11" t="s">
        <v>149</v>
      </c>
      <c r="C18" s="37" t="s">
        <v>392</v>
      </c>
      <c r="D18" s="55" t="s">
        <v>399</v>
      </c>
      <c r="E18" s="56" t="s">
        <v>400</v>
      </c>
      <c r="F18" s="12">
        <v>8301</v>
      </c>
      <c r="G18" s="12">
        <v>1</v>
      </c>
      <c r="H18" s="13">
        <v>25</v>
      </c>
      <c r="I18" s="34">
        <v>14000</v>
      </c>
      <c r="J18" s="5">
        <v>5180</v>
      </c>
      <c r="K18" s="15">
        <f>L18+1388</f>
        <v>6560</v>
      </c>
      <c r="L18" s="15">
        <f>2992+2180</f>
        <v>5172</v>
      </c>
      <c r="M18" s="16">
        <f t="shared" si="0"/>
        <v>5172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0.9984555984555985</v>
      </c>
      <c r="AC18" s="9">
        <f t="shared" si="5"/>
        <v>1</v>
      </c>
      <c r="AD18" s="10">
        <f t="shared" si="6"/>
        <v>0.9984555984555985</v>
      </c>
      <c r="AE18" s="39">
        <f t="shared" si="7"/>
        <v>0.65200555045124864</v>
      </c>
      <c r="AF18" s="94">
        <f t="shared" ref="AF18" si="18">A18</f>
        <v>12</v>
      </c>
    </row>
    <row r="19" spans="1:36" ht="27" customHeight="1">
      <c r="A19" s="110">
        <v>13</v>
      </c>
      <c r="B19" s="11" t="s">
        <v>58</v>
      </c>
      <c r="C19" s="37" t="s">
        <v>118</v>
      </c>
      <c r="D19" s="55" t="s">
        <v>131</v>
      </c>
      <c r="E19" s="57" t="s">
        <v>158</v>
      </c>
      <c r="F19" s="33" t="s">
        <v>142</v>
      </c>
      <c r="G19" s="36">
        <v>1</v>
      </c>
      <c r="H19" s="38">
        <v>25</v>
      </c>
      <c r="I19" s="7">
        <v>62000</v>
      </c>
      <c r="J19" s="5">
        <v>2970</v>
      </c>
      <c r="K19" s="15">
        <f>L19+2232+4609+1982+1137+3270+2188+1609+3870+5108+3013+1873</f>
        <v>33854</v>
      </c>
      <c r="L19" s="15">
        <f>2483+480</f>
        <v>2963</v>
      </c>
      <c r="M19" s="16">
        <f t="shared" si="0"/>
        <v>2963</v>
      </c>
      <c r="N19" s="16">
        <v>0</v>
      </c>
      <c r="O19" s="62">
        <f t="shared" si="1"/>
        <v>0</v>
      </c>
      <c r="P19" s="42">
        <f t="shared" si="2"/>
        <v>19</v>
      </c>
      <c r="Q19" s="43">
        <f t="shared" si="3"/>
        <v>5</v>
      </c>
      <c r="R19" s="7"/>
      <c r="S19" s="6">
        <v>5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0.99764309764309766</v>
      </c>
      <c r="AC19" s="9">
        <f t="shared" si="5"/>
        <v>0.79166666666666663</v>
      </c>
      <c r="AD19" s="10">
        <f t="shared" si="6"/>
        <v>0.78980078563411893</v>
      </c>
      <c r="AE19" s="39">
        <f t="shared" si="7"/>
        <v>0.65200555045124864</v>
      </c>
      <c r="AF19" s="94">
        <f t="shared" si="8"/>
        <v>13</v>
      </c>
    </row>
    <row r="20" spans="1:36" ht="27" customHeight="1">
      <c r="A20" s="110">
        <v>14</v>
      </c>
      <c r="B20" s="11" t="s">
        <v>58</v>
      </c>
      <c r="C20" s="11" t="s">
        <v>445</v>
      </c>
      <c r="D20" s="55" t="s">
        <v>57</v>
      </c>
      <c r="E20" s="56" t="s">
        <v>446</v>
      </c>
      <c r="F20" s="12" t="s">
        <v>447</v>
      </c>
      <c r="G20" s="12">
        <v>1</v>
      </c>
      <c r="H20" s="38">
        <v>25</v>
      </c>
      <c r="I20" s="34">
        <v>11000</v>
      </c>
      <c r="J20" s="5">
        <v>7510</v>
      </c>
      <c r="K20" s="15">
        <f>L20</f>
        <v>7502</v>
      </c>
      <c r="L20" s="15">
        <f>2761*2+990*2</f>
        <v>7502</v>
      </c>
      <c r="M20" s="16">
        <f t="shared" si="0"/>
        <v>7502</v>
      </c>
      <c r="N20" s="16">
        <v>0</v>
      </c>
      <c r="O20" s="62">
        <f t="shared" si="1"/>
        <v>0</v>
      </c>
      <c r="P20" s="42">
        <f t="shared" si="2"/>
        <v>22</v>
      </c>
      <c r="Q20" s="43">
        <f t="shared" si="3"/>
        <v>2</v>
      </c>
      <c r="R20" s="7"/>
      <c r="S20" s="6"/>
      <c r="T20" s="17">
        <v>2</v>
      </c>
      <c r="U20" s="17"/>
      <c r="V20" s="18"/>
      <c r="W20" s="19"/>
      <c r="X20" s="17"/>
      <c r="Y20" s="20"/>
      <c r="Z20" s="20"/>
      <c r="AA20" s="21"/>
      <c r="AB20" s="8">
        <f t="shared" si="4"/>
        <v>0.9989347536617843</v>
      </c>
      <c r="AC20" s="9">
        <f t="shared" si="5"/>
        <v>0.91666666666666663</v>
      </c>
      <c r="AD20" s="10">
        <f t="shared" si="6"/>
        <v>0.91569019085663561</v>
      </c>
      <c r="AE20" s="39">
        <f t="shared" si="7"/>
        <v>0.65200555045124864</v>
      </c>
      <c r="AF20" s="94">
        <f t="shared" si="8"/>
        <v>14</v>
      </c>
    </row>
    <row r="21" spans="1:36" ht="27" customHeight="1" thickBot="1">
      <c r="A21" s="110">
        <v>15</v>
      </c>
      <c r="B21" s="11" t="s">
        <v>58</v>
      </c>
      <c r="C21" s="11" t="s">
        <v>115</v>
      </c>
      <c r="D21" s="55"/>
      <c r="E21" s="56" t="s">
        <v>250</v>
      </c>
      <c r="F21" s="12" t="s">
        <v>116</v>
      </c>
      <c r="G21" s="12">
        <v>4</v>
      </c>
      <c r="H21" s="38">
        <v>15</v>
      </c>
      <c r="I21" s="7">
        <v>300000</v>
      </c>
      <c r="J21" s="14">
        <v>58690</v>
      </c>
      <c r="K21" s="15">
        <f>L21+35456+63764+63820+27408</f>
        <v>249132</v>
      </c>
      <c r="L21" s="15">
        <f>8306*4+6365*4</f>
        <v>58684</v>
      </c>
      <c r="M21" s="16">
        <f t="shared" si="0"/>
        <v>58684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0.99989776793320839</v>
      </c>
      <c r="AC21" s="9">
        <f t="shared" si="5"/>
        <v>1</v>
      </c>
      <c r="AD21" s="10">
        <f t="shared" si="6"/>
        <v>0.99989776793320839</v>
      </c>
      <c r="AE21" s="39">
        <f t="shared" si="7"/>
        <v>0.65200555045124864</v>
      </c>
      <c r="AF21" s="94">
        <f t="shared" si="8"/>
        <v>15</v>
      </c>
    </row>
    <row r="22" spans="1:36" ht="31.5" customHeight="1" thickBot="1">
      <c r="A22" s="465" t="s">
        <v>34</v>
      </c>
      <c r="B22" s="466"/>
      <c r="C22" s="466"/>
      <c r="D22" s="466"/>
      <c r="E22" s="466"/>
      <c r="F22" s="466"/>
      <c r="G22" s="466"/>
      <c r="H22" s="467"/>
      <c r="I22" s="25">
        <f t="shared" ref="I22:N22" si="19">SUM(I6:I21)</f>
        <v>700500</v>
      </c>
      <c r="J22" s="22">
        <f t="shared" si="19"/>
        <v>111714</v>
      </c>
      <c r="K22" s="23">
        <f t="shared" si="19"/>
        <v>480175</v>
      </c>
      <c r="L22" s="24">
        <f t="shared" si="19"/>
        <v>106451</v>
      </c>
      <c r="M22" s="23">
        <f t="shared" si="19"/>
        <v>106451</v>
      </c>
      <c r="N22" s="24">
        <f t="shared" si="19"/>
        <v>0</v>
      </c>
      <c r="O22" s="44">
        <f t="shared" si="1"/>
        <v>0</v>
      </c>
      <c r="P22" s="45">
        <f t="shared" ref="P22:AA22" si="20">SUM(P6:P21)</f>
        <v>235</v>
      </c>
      <c r="Q22" s="46">
        <f t="shared" si="20"/>
        <v>149</v>
      </c>
      <c r="R22" s="26">
        <f t="shared" si="20"/>
        <v>48</v>
      </c>
      <c r="S22" s="27">
        <f t="shared" si="20"/>
        <v>44</v>
      </c>
      <c r="T22" s="27">
        <f t="shared" si="20"/>
        <v>22</v>
      </c>
      <c r="U22" s="27">
        <f t="shared" si="20"/>
        <v>0</v>
      </c>
      <c r="V22" s="28">
        <f t="shared" si="20"/>
        <v>0</v>
      </c>
      <c r="W22" s="29">
        <f t="shared" si="20"/>
        <v>35</v>
      </c>
      <c r="X22" s="30">
        <f t="shared" si="20"/>
        <v>0</v>
      </c>
      <c r="Y22" s="30">
        <f t="shared" si="20"/>
        <v>0</v>
      </c>
      <c r="Z22" s="30">
        <f t="shared" si="20"/>
        <v>0</v>
      </c>
      <c r="AA22" s="30">
        <f t="shared" si="20"/>
        <v>0</v>
      </c>
      <c r="AB22" s="31">
        <f>SUM(AB6:AB21)/15</f>
        <v>0.86563913693724526</v>
      </c>
      <c r="AC22" s="4">
        <f>SUM(AC6:AC21)/15</f>
        <v>0.6527777777777779</v>
      </c>
      <c r="AD22" s="4">
        <f>SUM(AD6:AD21)/15</f>
        <v>0.65200555045124864</v>
      </c>
      <c r="AE22" s="32"/>
    </row>
    <row r="24" spans="1:36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6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6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6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6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6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6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68" t="s">
        <v>45</v>
      </c>
      <c r="B49" s="468"/>
      <c r="C49" s="468"/>
      <c r="D49" s="468"/>
      <c r="E49" s="468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69" t="s">
        <v>450</v>
      </c>
      <c r="B50" s="470"/>
      <c r="C50" s="470"/>
      <c r="D50" s="470"/>
      <c r="E50" s="470"/>
      <c r="F50" s="470"/>
      <c r="G50" s="470"/>
      <c r="H50" s="470"/>
      <c r="I50" s="470"/>
      <c r="J50" s="470"/>
      <c r="K50" s="470"/>
      <c r="L50" s="470"/>
      <c r="M50" s="471"/>
      <c r="N50" s="472" t="s">
        <v>466</v>
      </c>
      <c r="O50" s="473"/>
      <c r="P50" s="473"/>
      <c r="Q50" s="473"/>
      <c r="R50" s="473"/>
      <c r="S50" s="473"/>
      <c r="T50" s="473"/>
      <c r="U50" s="473"/>
      <c r="V50" s="473"/>
      <c r="W50" s="473"/>
      <c r="X50" s="473"/>
      <c r="Y50" s="473"/>
      <c r="Z50" s="473"/>
      <c r="AA50" s="473"/>
      <c r="AB50" s="473"/>
      <c r="AC50" s="473"/>
      <c r="AD50" s="474"/>
    </row>
    <row r="51" spans="1:32" ht="27" customHeight="1">
      <c r="A51" s="475" t="s">
        <v>2</v>
      </c>
      <c r="B51" s="476"/>
      <c r="C51" s="196" t="s">
        <v>46</v>
      </c>
      <c r="D51" s="196" t="s">
        <v>47</v>
      </c>
      <c r="E51" s="196" t="s">
        <v>109</v>
      </c>
      <c r="F51" s="476" t="s">
        <v>108</v>
      </c>
      <c r="G51" s="476"/>
      <c r="H51" s="476"/>
      <c r="I51" s="476"/>
      <c r="J51" s="476"/>
      <c r="K51" s="476"/>
      <c r="L51" s="476"/>
      <c r="M51" s="477"/>
      <c r="N51" s="73" t="s">
        <v>113</v>
      </c>
      <c r="O51" s="196" t="s">
        <v>46</v>
      </c>
      <c r="P51" s="478" t="s">
        <v>47</v>
      </c>
      <c r="Q51" s="479"/>
      <c r="R51" s="478" t="s">
        <v>38</v>
      </c>
      <c r="S51" s="480"/>
      <c r="T51" s="480"/>
      <c r="U51" s="479"/>
      <c r="V51" s="478" t="s">
        <v>48</v>
      </c>
      <c r="W51" s="480"/>
      <c r="X51" s="480"/>
      <c r="Y51" s="480"/>
      <c r="Z51" s="480"/>
      <c r="AA51" s="480"/>
      <c r="AB51" s="480"/>
      <c r="AC51" s="480"/>
      <c r="AD51" s="481"/>
    </row>
    <row r="52" spans="1:32" ht="27" customHeight="1">
      <c r="A52" s="492" t="s">
        <v>451</v>
      </c>
      <c r="B52" s="493"/>
      <c r="C52" s="195" t="s">
        <v>452</v>
      </c>
      <c r="D52" s="192" t="s">
        <v>453</v>
      </c>
      <c r="E52" s="195" t="s">
        <v>436</v>
      </c>
      <c r="F52" s="494" t="s">
        <v>454</v>
      </c>
      <c r="G52" s="494"/>
      <c r="H52" s="494"/>
      <c r="I52" s="494"/>
      <c r="J52" s="494"/>
      <c r="K52" s="494"/>
      <c r="L52" s="494"/>
      <c r="M52" s="495"/>
      <c r="N52" s="191" t="s">
        <v>272</v>
      </c>
      <c r="O52" s="74" t="s">
        <v>415</v>
      </c>
      <c r="P52" s="496" t="s">
        <v>416</v>
      </c>
      <c r="Q52" s="497"/>
      <c r="R52" s="498" t="s">
        <v>417</v>
      </c>
      <c r="S52" s="498"/>
      <c r="T52" s="498"/>
      <c r="U52" s="498"/>
      <c r="V52" s="494" t="s">
        <v>418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451</v>
      </c>
      <c r="B53" s="493"/>
      <c r="C53" s="195" t="s">
        <v>455</v>
      </c>
      <c r="D53" s="192" t="s">
        <v>311</v>
      </c>
      <c r="E53" s="195" t="s">
        <v>443</v>
      </c>
      <c r="F53" s="494" t="s">
        <v>454</v>
      </c>
      <c r="G53" s="494"/>
      <c r="H53" s="494"/>
      <c r="I53" s="494"/>
      <c r="J53" s="494"/>
      <c r="K53" s="494"/>
      <c r="L53" s="494"/>
      <c r="M53" s="495"/>
      <c r="N53" s="191" t="s">
        <v>435</v>
      </c>
      <c r="O53" s="74" t="s">
        <v>467</v>
      </c>
      <c r="P53" s="496" t="s">
        <v>468</v>
      </c>
      <c r="Q53" s="497"/>
      <c r="R53" s="498" t="s">
        <v>469</v>
      </c>
      <c r="S53" s="498"/>
      <c r="T53" s="498"/>
      <c r="U53" s="498"/>
      <c r="V53" s="494" t="s">
        <v>372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406</v>
      </c>
      <c r="B54" s="493"/>
      <c r="C54" s="195" t="s">
        <v>456</v>
      </c>
      <c r="D54" s="192" t="s">
        <v>442</v>
      </c>
      <c r="E54" s="195" t="s">
        <v>446</v>
      </c>
      <c r="F54" s="494" t="s">
        <v>409</v>
      </c>
      <c r="G54" s="494"/>
      <c r="H54" s="494"/>
      <c r="I54" s="494"/>
      <c r="J54" s="494"/>
      <c r="K54" s="494"/>
      <c r="L54" s="494"/>
      <c r="M54" s="495"/>
      <c r="N54" s="191" t="s">
        <v>117</v>
      </c>
      <c r="O54" s="74" t="s">
        <v>370</v>
      </c>
      <c r="P54" s="496" t="s">
        <v>422</v>
      </c>
      <c r="Q54" s="497"/>
      <c r="R54" s="498" t="s">
        <v>423</v>
      </c>
      <c r="S54" s="498"/>
      <c r="T54" s="498"/>
      <c r="U54" s="498"/>
      <c r="V54" s="494" t="s">
        <v>470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392</v>
      </c>
      <c r="B55" s="493"/>
      <c r="C55" s="195" t="s">
        <v>410</v>
      </c>
      <c r="D55" s="192" t="s">
        <v>448</v>
      </c>
      <c r="E55" s="195" t="s">
        <v>449</v>
      </c>
      <c r="F55" s="494" t="s">
        <v>457</v>
      </c>
      <c r="G55" s="494"/>
      <c r="H55" s="494"/>
      <c r="I55" s="494"/>
      <c r="J55" s="494"/>
      <c r="K55" s="494"/>
      <c r="L55" s="494"/>
      <c r="M55" s="495"/>
      <c r="N55" s="191" t="s">
        <v>471</v>
      </c>
      <c r="O55" s="74" t="s">
        <v>472</v>
      </c>
      <c r="P55" s="496" t="s">
        <v>473</v>
      </c>
      <c r="Q55" s="497"/>
      <c r="R55" s="498" t="s">
        <v>474</v>
      </c>
      <c r="S55" s="498"/>
      <c r="T55" s="498"/>
      <c r="U55" s="498"/>
      <c r="V55" s="494" t="s">
        <v>462</v>
      </c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 t="s">
        <v>458</v>
      </c>
      <c r="B56" s="493"/>
      <c r="C56" s="195" t="s">
        <v>459</v>
      </c>
      <c r="D56" s="192" t="s">
        <v>460</v>
      </c>
      <c r="E56" s="195" t="s">
        <v>461</v>
      </c>
      <c r="F56" s="494" t="s">
        <v>462</v>
      </c>
      <c r="G56" s="494"/>
      <c r="H56" s="494"/>
      <c r="I56" s="494"/>
      <c r="J56" s="494"/>
      <c r="K56" s="494"/>
      <c r="L56" s="494"/>
      <c r="M56" s="495"/>
      <c r="N56" s="191" t="s">
        <v>118</v>
      </c>
      <c r="O56" s="74" t="s">
        <v>475</v>
      </c>
      <c r="P56" s="496" t="s">
        <v>476</v>
      </c>
      <c r="Q56" s="497"/>
      <c r="R56" s="498" t="s">
        <v>477</v>
      </c>
      <c r="S56" s="498"/>
      <c r="T56" s="498"/>
      <c r="U56" s="498"/>
      <c r="V56" s="494" t="s">
        <v>462</v>
      </c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 t="s">
        <v>438</v>
      </c>
      <c r="B57" s="493"/>
      <c r="C57" s="195" t="s">
        <v>463</v>
      </c>
      <c r="D57" s="192" t="s">
        <v>464</v>
      </c>
      <c r="E57" s="195" t="s">
        <v>465</v>
      </c>
      <c r="F57" s="494" t="s">
        <v>409</v>
      </c>
      <c r="G57" s="494"/>
      <c r="H57" s="494"/>
      <c r="I57" s="494"/>
      <c r="J57" s="494"/>
      <c r="K57" s="494"/>
      <c r="L57" s="494"/>
      <c r="M57" s="495"/>
      <c r="N57" s="191"/>
      <c r="O57" s="74"/>
      <c r="P57" s="498"/>
      <c r="Q57" s="498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/>
      <c r="B58" s="493"/>
      <c r="C58" s="195"/>
      <c r="D58" s="192"/>
      <c r="E58" s="195"/>
      <c r="F58" s="494"/>
      <c r="G58" s="494"/>
      <c r="H58" s="494"/>
      <c r="I58" s="494"/>
      <c r="J58" s="494"/>
      <c r="K58" s="494"/>
      <c r="L58" s="494"/>
      <c r="M58" s="495"/>
      <c r="N58" s="191"/>
      <c r="O58" s="74"/>
      <c r="P58" s="496"/>
      <c r="Q58" s="497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492"/>
      <c r="B59" s="493"/>
      <c r="C59" s="195"/>
      <c r="D59" s="192"/>
      <c r="E59" s="195"/>
      <c r="F59" s="494"/>
      <c r="G59" s="494"/>
      <c r="H59" s="494"/>
      <c r="I59" s="494"/>
      <c r="J59" s="494"/>
      <c r="K59" s="494"/>
      <c r="L59" s="494"/>
      <c r="M59" s="495"/>
      <c r="N59" s="191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</row>
    <row r="60" spans="1:32" ht="27" customHeight="1">
      <c r="A60" s="508"/>
      <c r="B60" s="498"/>
      <c r="C60" s="192"/>
      <c r="D60" s="192"/>
      <c r="E60" s="192"/>
      <c r="F60" s="494"/>
      <c r="G60" s="494"/>
      <c r="H60" s="494"/>
      <c r="I60" s="494"/>
      <c r="J60" s="494"/>
      <c r="K60" s="494"/>
      <c r="L60" s="494"/>
      <c r="M60" s="495"/>
      <c r="N60" s="191"/>
      <c r="O60" s="74"/>
      <c r="P60" s="498"/>
      <c r="Q60" s="498"/>
      <c r="R60" s="498"/>
      <c r="S60" s="498"/>
      <c r="T60" s="498"/>
      <c r="U60" s="498"/>
      <c r="V60" s="494"/>
      <c r="W60" s="494"/>
      <c r="X60" s="494"/>
      <c r="Y60" s="494"/>
      <c r="Z60" s="494"/>
      <c r="AA60" s="494"/>
      <c r="AB60" s="494"/>
      <c r="AC60" s="494"/>
      <c r="AD60" s="495"/>
      <c r="AF60" s="94">
        <f>8*3000</f>
        <v>24000</v>
      </c>
    </row>
    <row r="61" spans="1:32" ht="27" customHeight="1" thickBot="1">
      <c r="A61" s="499"/>
      <c r="B61" s="500"/>
      <c r="C61" s="194"/>
      <c r="D61" s="194"/>
      <c r="E61" s="194"/>
      <c r="F61" s="501"/>
      <c r="G61" s="501"/>
      <c r="H61" s="501"/>
      <c r="I61" s="501"/>
      <c r="J61" s="501"/>
      <c r="K61" s="501"/>
      <c r="L61" s="501"/>
      <c r="M61" s="502"/>
      <c r="N61" s="193"/>
      <c r="O61" s="121"/>
      <c r="P61" s="500"/>
      <c r="Q61" s="500"/>
      <c r="R61" s="500"/>
      <c r="S61" s="500"/>
      <c r="T61" s="500"/>
      <c r="U61" s="500"/>
      <c r="V61" s="501"/>
      <c r="W61" s="501"/>
      <c r="X61" s="501"/>
      <c r="Y61" s="501"/>
      <c r="Z61" s="501"/>
      <c r="AA61" s="501"/>
      <c r="AB61" s="501"/>
      <c r="AC61" s="501"/>
      <c r="AD61" s="502"/>
      <c r="AF61" s="94">
        <f>16*3000</f>
        <v>48000</v>
      </c>
    </row>
    <row r="62" spans="1:32" ht="27.75" thickBot="1">
      <c r="A62" s="503" t="s">
        <v>478</v>
      </c>
      <c r="B62" s="503"/>
      <c r="C62" s="503"/>
      <c r="D62" s="503"/>
      <c r="E62" s="503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504" t="s">
        <v>114</v>
      </c>
      <c r="B63" s="505"/>
      <c r="C63" s="190" t="s">
        <v>2</v>
      </c>
      <c r="D63" s="190" t="s">
        <v>37</v>
      </c>
      <c r="E63" s="190" t="s">
        <v>3</v>
      </c>
      <c r="F63" s="505" t="s">
        <v>111</v>
      </c>
      <c r="G63" s="505"/>
      <c r="H63" s="505"/>
      <c r="I63" s="505"/>
      <c r="J63" s="505"/>
      <c r="K63" s="505" t="s">
        <v>39</v>
      </c>
      <c r="L63" s="505"/>
      <c r="M63" s="190" t="s">
        <v>40</v>
      </c>
      <c r="N63" s="505" t="s">
        <v>41</v>
      </c>
      <c r="O63" s="505"/>
      <c r="P63" s="506" t="s">
        <v>42</v>
      </c>
      <c r="Q63" s="507"/>
      <c r="R63" s="506" t="s">
        <v>43</v>
      </c>
      <c r="S63" s="509"/>
      <c r="T63" s="509"/>
      <c r="U63" s="509"/>
      <c r="V63" s="509"/>
      <c r="W63" s="509"/>
      <c r="X63" s="509"/>
      <c r="Y63" s="509"/>
      <c r="Z63" s="509"/>
      <c r="AA63" s="507"/>
      <c r="AB63" s="505" t="s">
        <v>44</v>
      </c>
      <c r="AC63" s="505"/>
      <c r="AD63" s="510"/>
      <c r="AF63" s="94">
        <f>SUM(AF60:AF62)</f>
        <v>96000</v>
      </c>
    </row>
    <row r="64" spans="1:32" ht="25.5" customHeight="1">
      <c r="A64" s="511">
        <v>1</v>
      </c>
      <c r="B64" s="512"/>
      <c r="C64" s="124"/>
      <c r="D64" s="186"/>
      <c r="E64" s="189"/>
      <c r="F64" s="513"/>
      <c r="G64" s="514"/>
      <c r="H64" s="514"/>
      <c r="I64" s="514"/>
      <c r="J64" s="514"/>
      <c r="K64" s="514"/>
      <c r="L64" s="514"/>
      <c r="M64" s="54"/>
      <c r="N64" s="514"/>
      <c r="O64" s="514"/>
      <c r="P64" s="515"/>
      <c r="Q64" s="515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2</v>
      </c>
      <c r="B65" s="512"/>
      <c r="C65" s="124"/>
      <c r="D65" s="186"/>
      <c r="E65" s="189"/>
      <c r="F65" s="513"/>
      <c r="G65" s="514"/>
      <c r="H65" s="514"/>
      <c r="I65" s="514"/>
      <c r="J65" s="514"/>
      <c r="K65" s="514"/>
      <c r="L65" s="514"/>
      <c r="M65" s="54"/>
      <c r="N65" s="514"/>
      <c r="O65" s="514"/>
      <c r="P65" s="515"/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3</v>
      </c>
      <c r="B66" s="512"/>
      <c r="C66" s="124"/>
      <c r="D66" s="186"/>
      <c r="E66" s="189"/>
      <c r="F66" s="513"/>
      <c r="G66" s="514"/>
      <c r="H66" s="514"/>
      <c r="I66" s="514"/>
      <c r="J66" s="514"/>
      <c r="K66" s="514"/>
      <c r="L66" s="514"/>
      <c r="M66" s="54"/>
      <c r="N66" s="514"/>
      <c r="O66" s="514"/>
      <c r="P66" s="515"/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4</v>
      </c>
      <c r="B67" s="512"/>
      <c r="C67" s="124"/>
      <c r="D67" s="186"/>
      <c r="E67" s="189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5</v>
      </c>
      <c r="B68" s="512"/>
      <c r="C68" s="124"/>
      <c r="D68" s="186"/>
      <c r="E68" s="189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6</v>
      </c>
      <c r="B69" s="512"/>
      <c r="C69" s="124"/>
      <c r="D69" s="186"/>
      <c r="E69" s="189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7</v>
      </c>
      <c r="B70" s="512"/>
      <c r="C70" s="124"/>
      <c r="D70" s="186"/>
      <c r="E70" s="189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5.5" customHeight="1">
      <c r="A71" s="511">
        <v>8</v>
      </c>
      <c r="B71" s="512"/>
      <c r="C71" s="124"/>
      <c r="D71" s="186"/>
      <c r="E71" s="189"/>
      <c r="F71" s="513"/>
      <c r="G71" s="514"/>
      <c r="H71" s="514"/>
      <c r="I71" s="514"/>
      <c r="J71" s="514"/>
      <c r="K71" s="514"/>
      <c r="L71" s="514"/>
      <c r="M71" s="54"/>
      <c r="N71" s="514"/>
      <c r="O71" s="514"/>
      <c r="P71" s="515"/>
      <c r="Q71" s="515"/>
      <c r="R71" s="494"/>
      <c r="S71" s="494"/>
      <c r="T71" s="494"/>
      <c r="U71" s="494"/>
      <c r="V71" s="494"/>
      <c r="W71" s="494"/>
      <c r="X71" s="494"/>
      <c r="Y71" s="494"/>
      <c r="Z71" s="494"/>
      <c r="AA71" s="494"/>
      <c r="AB71" s="514"/>
      <c r="AC71" s="514"/>
      <c r="AD71" s="516"/>
      <c r="AF71" s="53"/>
    </row>
    <row r="72" spans="1:32" ht="26.25" customHeight="1" thickBot="1">
      <c r="A72" s="517" t="s">
        <v>479</v>
      </c>
      <c r="B72" s="517"/>
      <c r="C72" s="517"/>
      <c r="D72" s="517"/>
      <c r="E72" s="517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518" t="s">
        <v>114</v>
      </c>
      <c r="B73" s="519"/>
      <c r="C73" s="188" t="s">
        <v>2</v>
      </c>
      <c r="D73" s="188" t="s">
        <v>37</v>
      </c>
      <c r="E73" s="188" t="s">
        <v>3</v>
      </c>
      <c r="F73" s="519" t="s">
        <v>38</v>
      </c>
      <c r="G73" s="519"/>
      <c r="H73" s="519"/>
      <c r="I73" s="519"/>
      <c r="J73" s="519"/>
      <c r="K73" s="520" t="s">
        <v>59</v>
      </c>
      <c r="L73" s="521"/>
      <c r="M73" s="521"/>
      <c r="N73" s="521"/>
      <c r="O73" s="521"/>
      <c r="P73" s="521"/>
      <c r="Q73" s="521"/>
      <c r="R73" s="521"/>
      <c r="S73" s="522"/>
      <c r="T73" s="519" t="s">
        <v>49</v>
      </c>
      <c r="U73" s="519"/>
      <c r="V73" s="520" t="s">
        <v>50</v>
      </c>
      <c r="W73" s="522"/>
      <c r="X73" s="521" t="s">
        <v>51</v>
      </c>
      <c r="Y73" s="521"/>
      <c r="Z73" s="521"/>
      <c r="AA73" s="521"/>
      <c r="AB73" s="521"/>
      <c r="AC73" s="521"/>
      <c r="AD73" s="523"/>
      <c r="AF73" s="53"/>
    </row>
    <row r="74" spans="1:32" ht="33.75" customHeight="1">
      <c r="A74" s="532">
        <v>1</v>
      </c>
      <c r="B74" s="533"/>
      <c r="C74" s="187" t="s">
        <v>117</v>
      </c>
      <c r="D74" s="187"/>
      <c r="E74" s="71" t="s">
        <v>123</v>
      </c>
      <c r="F74" s="534" t="s">
        <v>124</v>
      </c>
      <c r="G74" s="535"/>
      <c r="H74" s="535"/>
      <c r="I74" s="535"/>
      <c r="J74" s="536"/>
      <c r="K74" s="537" t="s">
        <v>119</v>
      </c>
      <c r="L74" s="538"/>
      <c r="M74" s="538"/>
      <c r="N74" s="538"/>
      <c r="O74" s="538"/>
      <c r="P74" s="538"/>
      <c r="Q74" s="538"/>
      <c r="R74" s="538"/>
      <c r="S74" s="539"/>
      <c r="T74" s="540">
        <v>42901</v>
      </c>
      <c r="U74" s="541"/>
      <c r="V74" s="542"/>
      <c r="W74" s="542"/>
      <c r="X74" s="543"/>
      <c r="Y74" s="543"/>
      <c r="Z74" s="543"/>
      <c r="AA74" s="543"/>
      <c r="AB74" s="543"/>
      <c r="AC74" s="543"/>
      <c r="AD74" s="544"/>
      <c r="AF74" s="53"/>
    </row>
    <row r="75" spans="1:32" ht="30" customHeight="1">
      <c r="A75" s="524">
        <f>A74+1</f>
        <v>2</v>
      </c>
      <c r="B75" s="525"/>
      <c r="C75" s="186" t="s">
        <v>117</v>
      </c>
      <c r="D75" s="186"/>
      <c r="E75" s="35" t="s">
        <v>120</v>
      </c>
      <c r="F75" s="525" t="s">
        <v>121</v>
      </c>
      <c r="G75" s="525"/>
      <c r="H75" s="525"/>
      <c r="I75" s="525"/>
      <c r="J75" s="525"/>
      <c r="K75" s="526" t="s">
        <v>122</v>
      </c>
      <c r="L75" s="527"/>
      <c r="M75" s="527"/>
      <c r="N75" s="527"/>
      <c r="O75" s="527"/>
      <c r="P75" s="527"/>
      <c r="Q75" s="527"/>
      <c r="R75" s="527"/>
      <c r="S75" s="528"/>
      <c r="T75" s="529">
        <v>42867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ref="A76:A82" si="21">A75+1</f>
        <v>3</v>
      </c>
      <c r="B76" s="525"/>
      <c r="C76" s="186" t="s">
        <v>133</v>
      </c>
      <c r="D76" s="186"/>
      <c r="E76" s="35" t="s">
        <v>131</v>
      </c>
      <c r="F76" s="525" t="s">
        <v>134</v>
      </c>
      <c r="G76" s="525"/>
      <c r="H76" s="525"/>
      <c r="I76" s="525"/>
      <c r="J76" s="525"/>
      <c r="K76" s="526" t="s">
        <v>119</v>
      </c>
      <c r="L76" s="527"/>
      <c r="M76" s="527"/>
      <c r="N76" s="527"/>
      <c r="O76" s="527"/>
      <c r="P76" s="527"/>
      <c r="Q76" s="527"/>
      <c r="R76" s="527"/>
      <c r="S76" s="528"/>
      <c r="T76" s="529">
        <v>42937</v>
      </c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21"/>
        <v>4</v>
      </c>
      <c r="B77" s="525"/>
      <c r="C77" s="186" t="s">
        <v>118</v>
      </c>
      <c r="D77" s="186"/>
      <c r="E77" s="35" t="s">
        <v>129</v>
      </c>
      <c r="F77" s="525" t="s">
        <v>130</v>
      </c>
      <c r="G77" s="525"/>
      <c r="H77" s="525"/>
      <c r="I77" s="525"/>
      <c r="J77" s="525"/>
      <c r="K77" s="526" t="s">
        <v>132</v>
      </c>
      <c r="L77" s="527"/>
      <c r="M77" s="527"/>
      <c r="N77" s="527"/>
      <c r="O77" s="527"/>
      <c r="P77" s="527"/>
      <c r="Q77" s="527"/>
      <c r="R77" s="527"/>
      <c r="S77" s="528"/>
      <c r="T77" s="529">
        <v>42920</v>
      </c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21"/>
        <v>5</v>
      </c>
      <c r="B78" s="525"/>
      <c r="C78" s="186" t="s">
        <v>117</v>
      </c>
      <c r="D78" s="186"/>
      <c r="E78" s="35" t="s">
        <v>136</v>
      </c>
      <c r="F78" s="525" t="s">
        <v>156</v>
      </c>
      <c r="G78" s="525"/>
      <c r="H78" s="525"/>
      <c r="I78" s="525"/>
      <c r="J78" s="525"/>
      <c r="K78" s="526" t="s">
        <v>157</v>
      </c>
      <c r="L78" s="527"/>
      <c r="M78" s="527"/>
      <c r="N78" s="527"/>
      <c r="O78" s="527"/>
      <c r="P78" s="527"/>
      <c r="Q78" s="527"/>
      <c r="R78" s="527"/>
      <c r="S78" s="528"/>
      <c r="T78" s="529">
        <v>43033</v>
      </c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21"/>
        <v>6</v>
      </c>
      <c r="B79" s="525"/>
      <c r="C79" s="186"/>
      <c r="D79" s="186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21"/>
        <v>7</v>
      </c>
      <c r="B80" s="525"/>
      <c r="C80" s="186"/>
      <c r="D80" s="186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21"/>
        <v>8</v>
      </c>
      <c r="B81" s="525"/>
      <c r="C81" s="186"/>
      <c r="D81" s="186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0" customHeight="1">
      <c r="A82" s="524">
        <f t="shared" si="21"/>
        <v>9</v>
      </c>
      <c r="B82" s="525"/>
      <c r="C82" s="186"/>
      <c r="D82" s="186"/>
      <c r="E82" s="35"/>
      <c r="F82" s="525"/>
      <c r="G82" s="525"/>
      <c r="H82" s="525"/>
      <c r="I82" s="525"/>
      <c r="J82" s="525"/>
      <c r="K82" s="526"/>
      <c r="L82" s="527"/>
      <c r="M82" s="527"/>
      <c r="N82" s="527"/>
      <c r="O82" s="527"/>
      <c r="P82" s="527"/>
      <c r="Q82" s="527"/>
      <c r="R82" s="527"/>
      <c r="S82" s="528"/>
      <c r="T82" s="529"/>
      <c r="U82" s="529"/>
      <c r="V82" s="529"/>
      <c r="W82" s="529"/>
      <c r="X82" s="530"/>
      <c r="Y82" s="530"/>
      <c r="Z82" s="530"/>
      <c r="AA82" s="530"/>
      <c r="AB82" s="530"/>
      <c r="AC82" s="530"/>
      <c r="AD82" s="531"/>
      <c r="AF82" s="53"/>
    </row>
    <row r="83" spans="1:32" ht="36" thickBot="1">
      <c r="A83" s="517" t="s">
        <v>480</v>
      </c>
      <c r="B83" s="517"/>
      <c r="C83" s="517"/>
      <c r="D83" s="517"/>
      <c r="E83" s="517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518" t="s">
        <v>114</v>
      </c>
      <c r="B84" s="519"/>
      <c r="C84" s="545" t="s">
        <v>52</v>
      </c>
      <c r="D84" s="545"/>
      <c r="E84" s="545" t="s">
        <v>53</v>
      </c>
      <c r="F84" s="545"/>
      <c r="G84" s="545"/>
      <c r="H84" s="545"/>
      <c r="I84" s="545"/>
      <c r="J84" s="545"/>
      <c r="K84" s="545" t="s">
        <v>54</v>
      </c>
      <c r="L84" s="545"/>
      <c r="M84" s="545"/>
      <c r="N84" s="545"/>
      <c r="O84" s="545"/>
      <c r="P84" s="545"/>
      <c r="Q84" s="545"/>
      <c r="R84" s="545"/>
      <c r="S84" s="545"/>
      <c r="T84" s="545" t="s">
        <v>55</v>
      </c>
      <c r="U84" s="545"/>
      <c r="V84" s="545" t="s">
        <v>56</v>
      </c>
      <c r="W84" s="545"/>
      <c r="X84" s="545"/>
      <c r="Y84" s="545" t="s">
        <v>51</v>
      </c>
      <c r="Z84" s="545"/>
      <c r="AA84" s="545"/>
      <c r="AB84" s="545"/>
      <c r="AC84" s="545"/>
      <c r="AD84" s="546"/>
      <c r="AF84" s="53"/>
    </row>
    <row r="85" spans="1:32" ht="30.75" customHeight="1">
      <c r="A85" s="532">
        <v>1</v>
      </c>
      <c r="B85" s="533"/>
      <c r="C85" s="547"/>
      <c r="D85" s="547"/>
      <c r="E85" s="547"/>
      <c r="F85" s="547"/>
      <c r="G85" s="547"/>
      <c r="H85" s="547"/>
      <c r="I85" s="547"/>
      <c r="J85" s="547"/>
      <c r="K85" s="547"/>
      <c r="L85" s="547"/>
      <c r="M85" s="547"/>
      <c r="N85" s="547"/>
      <c r="O85" s="547"/>
      <c r="P85" s="547"/>
      <c r="Q85" s="547"/>
      <c r="R85" s="547"/>
      <c r="S85" s="547"/>
      <c r="T85" s="547"/>
      <c r="U85" s="547"/>
      <c r="V85" s="548"/>
      <c r="W85" s="548"/>
      <c r="X85" s="548"/>
      <c r="Y85" s="549"/>
      <c r="Z85" s="549"/>
      <c r="AA85" s="549"/>
      <c r="AB85" s="549"/>
      <c r="AC85" s="549"/>
      <c r="AD85" s="550"/>
      <c r="AF85" s="53"/>
    </row>
    <row r="86" spans="1:32" ht="30.75" customHeight="1">
      <c r="A86" s="524">
        <v>2</v>
      </c>
      <c r="B86" s="525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9"/>
      <c r="U86" s="559"/>
      <c r="V86" s="560"/>
      <c r="W86" s="560"/>
      <c r="X86" s="560"/>
      <c r="Y86" s="551"/>
      <c r="Z86" s="551"/>
      <c r="AA86" s="551"/>
      <c r="AB86" s="551"/>
      <c r="AC86" s="551"/>
      <c r="AD86" s="552"/>
      <c r="AF86" s="53"/>
    </row>
    <row r="87" spans="1:32" ht="30.75" customHeight="1" thickBot="1">
      <c r="A87" s="553">
        <v>3</v>
      </c>
      <c r="B87" s="554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555"/>
      <c r="Q87" s="555"/>
      <c r="R87" s="555"/>
      <c r="S87" s="555"/>
      <c r="T87" s="555"/>
      <c r="U87" s="555"/>
      <c r="V87" s="555"/>
      <c r="W87" s="555"/>
      <c r="X87" s="555"/>
      <c r="Y87" s="556"/>
      <c r="Z87" s="556"/>
      <c r="AA87" s="556"/>
      <c r="AB87" s="556"/>
      <c r="AC87" s="556"/>
      <c r="AD87" s="557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51" t="s">
        <v>481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6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198" t="s">
        <v>17</v>
      </c>
      <c r="L5" s="198" t="s">
        <v>18</v>
      </c>
      <c r="M5" s="198" t="s">
        <v>19</v>
      </c>
      <c r="N5" s="19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6" ht="27" customHeight="1">
      <c r="A6" s="108">
        <v>1</v>
      </c>
      <c r="B6" s="11" t="s">
        <v>149</v>
      </c>
      <c r="C6" s="37" t="s">
        <v>177</v>
      </c>
      <c r="D6" s="55" t="s">
        <v>190</v>
      </c>
      <c r="E6" s="57" t="s">
        <v>191</v>
      </c>
      <c r="F6" s="33" t="s">
        <v>184</v>
      </c>
      <c r="G6" s="12">
        <v>1</v>
      </c>
      <c r="H6" s="13">
        <v>25</v>
      </c>
      <c r="I6" s="34">
        <v>3000</v>
      </c>
      <c r="J6" s="5">
        <v>1030</v>
      </c>
      <c r="K6" s="15">
        <f>L6+1319+1024</f>
        <v>2343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0.71053030239029213</v>
      </c>
      <c r="AF6" s="94">
        <f t="shared" ref="AF6:AF20" si="8">A6</f>
        <v>1</v>
      </c>
    </row>
    <row r="7" spans="1:36" ht="27" customHeight="1">
      <c r="A7" s="108">
        <v>2</v>
      </c>
      <c r="B7" s="11" t="s">
        <v>149</v>
      </c>
      <c r="C7" s="37" t="s">
        <v>177</v>
      </c>
      <c r="D7" s="55" t="s">
        <v>190</v>
      </c>
      <c r="E7" s="57" t="s">
        <v>191</v>
      </c>
      <c r="F7" s="33" t="s">
        <v>184</v>
      </c>
      <c r="G7" s="12">
        <v>1</v>
      </c>
      <c r="H7" s="13">
        <v>25</v>
      </c>
      <c r="I7" s="34">
        <v>3000</v>
      </c>
      <c r="J7" s="5">
        <v>2330</v>
      </c>
      <c r="K7" s="15">
        <f>L7+1319</f>
        <v>3649</v>
      </c>
      <c r="L7" s="15">
        <f>2330</f>
        <v>2330</v>
      </c>
      <c r="M7" s="16">
        <f t="shared" si="0"/>
        <v>2330</v>
      </c>
      <c r="N7" s="16">
        <v>0</v>
      </c>
      <c r="O7" s="62">
        <f t="shared" si="1"/>
        <v>0</v>
      </c>
      <c r="P7" s="42">
        <f t="shared" si="2"/>
        <v>12</v>
      </c>
      <c r="Q7" s="43">
        <f t="shared" si="3"/>
        <v>12</v>
      </c>
      <c r="R7" s="7"/>
      <c r="S7" s="6"/>
      <c r="T7" s="17"/>
      <c r="U7" s="17"/>
      <c r="V7" s="18"/>
      <c r="W7" s="19">
        <v>12</v>
      </c>
      <c r="X7" s="17"/>
      <c r="Y7" s="20"/>
      <c r="Z7" s="20"/>
      <c r="AA7" s="21"/>
      <c r="AB7" s="8">
        <f t="shared" si="4"/>
        <v>1</v>
      </c>
      <c r="AC7" s="9">
        <f t="shared" si="5"/>
        <v>0.5</v>
      </c>
      <c r="AD7" s="10">
        <f t="shared" si="6"/>
        <v>0.5</v>
      </c>
      <c r="AE7" s="39">
        <f t="shared" si="7"/>
        <v>0.71053030239029213</v>
      </c>
      <c r="AF7" s="94">
        <f t="shared" si="8"/>
        <v>2</v>
      </c>
    </row>
    <row r="8" spans="1:36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65000</v>
      </c>
      <c r="J8" s="14">
        <v>4550</v>
      </c>
      <c r="K8" s="15">
        <f>L8+452+3795+3955+5414+5383+3788+2222+5252</f>
        <v>34807</v>
      </c>
      <c r="L8" s="15">
        <f>1385+3161</f>
        <v>4546</v>
      </c>
      <c r="M8" s="16">
        <f t="shared" si="0"/>
        <v>4546</v>
      </c>
      <c r="N8" s="16">
        <v>0</v>
      </c>
      <c r="O8" s="62">
        <f t="shared" si="1"/>
        <v>0</v>
      </c>
      <c r="P8" s="42">
        <f t="shared" si="2"/>
        <v>22</v>
      </c>
      <c r="Q8" s="43">
        <f t="shared" si="3"/>
        <v>2</v>
      </c>
      <c r="R8" s="7"/>
      <c r="S8" s="6">
        <v>2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0.9991208791208791</v>
      </c>
      <c r="AC8" s="9">
        <f t="shared" si="5"/>
        <v>0.91666666666666663</v>
      </c>
      <c r="AD8" s="10">
        <f t="shared" si="6"/>
        <v>0.91586080586080576</v>
      </c>
      <c r="AE8" s="39">
        <f t="shared" si="7"/>
        <v>0.71053030239029213</v>
      </c>
      <c r="AF8" s="94">
        <f>A8</f>
        <v>3</v>
      </c>
    </row>
    <row r="9" spans="1:36" ht="27" customHeight="1">
      <c r="A9" s="110">
        <v>4</v>
      </c>
      <c r="B9" s="11" t="s">
        <v>58</v>
      </c>
      <c r="C9" s="37" t="s">
        <v>118</v>
      </c>
      <c r="D9" s="55" t="s">
        <v>131</v>
      </c>
      <c r="E9" s="57" t="s">
        <v>139</v>
      </c>
      <c r="F9" s="33" t="s">
        <v>146</v>
      </c>
      <c r="G9" s="36">
        <v>1</v>
      </c>
      <c r="H9" s="38">
        <v>25</v>
      </c>
      <c r="I9" s="7">
        <v>45000</v>
      </c>
      <c r="J9" s="5">
        <v>2910</v>
      </c>
      <c r="K9" s="15">
        <f>L9+2660+5083+4690+2113+4827+1915+4846</f>
        <v>29037</v>
      </c>
      <c r="L9" s="15">
        <f>158+2745</f>
        <v>2903</v>
      </c>
      <c r="M9" s="16">
        <f t="shared" si="0"/>
        <v>2903</v>
      </c>
      <c r="N9" s="16">
        <v>0</v>
      </c>
      <c r="O9" s="62">
        <f t="shared" si="1"/>
        <v>0</v>
      </c>
      <c r="P9" s="42">
        <f t="shared" si="2"/>
        <v>18</v>
      </c>
      <c r="Q9" s="43">
        <f t="shared" si="3"/>
        <v>6</v>
      </c>
      <c r="R9" s="7"/>
      <c r="S9" s="6">
        <v>6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0.99759450171821307</v>
      </c>
      <c r="AC9" s="9">
        <f t="shared" si="5"/>
        <v>0.75</v>
      </c>
      <c r="AD9" s="10">
        <f t="shared" si="6"/>
        <v>0.7481958762886598</v>
      </c>
      <c r="AE9" s="39">
        <f t="shared" si="7"/>
        <v>0.71053030239029213</v>
      </c>
      <c r="AF9" s="94">
        <f t="shared" ref="AF9:AF10" si="9">A9</f>
        <v>4</v>
      </c>
    </row>
    <row r="10" spans="1:36" ht="27" customHeight="1">
      <c r="A10" s="110">
        <v>5</v>
      </c>
      <c r="B10" s="11" t="s">
        <v>58</v>
      </c>
      <c r="C10" s="11" t="s">
        <v>163</v>
      </c>
      <c r="D10" s="55" t="s">
        <v>167</v>
      </c>
      <c r="E10" s="57" t="s">
        <v>168</v>
      </c>
      <c r="F10" s="12" t="s">
        <v>147</v>
      </c>
      <c r="G10" s="12">
        <v>1</v>
      </c>
      <c r="H10" s="13">
        <v>25</v>
      </c>
      <c r="I10" s="34">
        <v>11000</v>
      </c>
      <c r="J10" s="14">
        <v>5420</v>
      </c>
      <c r="K10" s="15">
        <f>L10+2872+2740</f>
        <v>11032</v>
      </c>
      <c r="L10" s="15">
        <f>2650+2770</f>
        <v>5420</v>
      </c>
      <c r="M10" s="16">
        <f t="shared" si="0"/>
        <v>5420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1</v>
      </c>
      <c r="AD10" s="10">
        <f t="shared" si="6"/>
        <v>1</v>
      </c>
      <c r="AE10" s="39">
        <f t="shared" si="7"/>
        <v>0.71053030239029213</v>
      </c>
      <c r="AF10" s="94">
        <f t="shared" si="9"/>
        <v>5</v>
      </c>
    </row>
    <row r="11" spans="1:36" ht="27" customHeight="1">
      <c r="A11" s="110">
        <v>6</v>
      </c>
      <c r="B11" s="11" t="s">
        <v>58</v>
      </c>
      <c r="C11" s="11" t="s">
        <v>173</v>
      </c>
      <c r="D11" s="55" t="s">
        <v>482</v>
      </c>
      <c r="E11" s="57" t="s">
        <v>483</v>
      </c>
      <c r="F11" s="12" t="s">
        <v>148</v>
      </c>
      <c r="G11" s="12">
        <v>1</v>
      </c>
      <c r="H11" s="13">
        <v>25</v>
      </c>
      <c r="I11" s="34">
        <v>500</v>
      </c>
      <c r="J11" s="14">
        <v>650</v>
      </c>
      <c r="K11" s="15">
        <f>L11</f>
        <v>650</v>
      </c>
      <c r="L11" s="15">
        <f>650</f>
        <v>650</v>
      </c>
      <c r="M11" s="16">
        <f t="shared" si="0"/>
        <v>650</v>
      </c>
      <c r="N11" s="16">
        <v>0</v>
      </c>
      <c r="O11" s="62">
        <f t="shared" si="1"/>
        <v>0</v>
      </c>
      <c r="P11" s="42">
        <f t="shared" si="2"/>
        <v>5</v>
      </c>
      <c r="Q11" s="43">
        <f t="shared" si="3"/>
        <v>19</v>
      </c>
      <c r="R11" s="7"/>
      <c r="S11" s="6"/>
      <c r="T11" s="17"/>
      <c r="U11" s="17"/>
      <c r="V11" s="18"/>
      <c r="W11" s="19">
        <v>19</v>
      </c>
      <c r="X11" s="17"/>
      <c r="Y11" s="20"/>
      <c r="Z11" s="20"/>
      <c r="AA11" s="21"/>
      <c r="AB11" s="8">
        <f t="shared" si="4"/>
        <v>1</v>
      </c>
      <c r="AC11" s="9">
        <f t="shared" si="5"/>
        <v>0.20833333333333334</v>
      </c>
      <c r="AD11" s="10">
        <f t="shared" si="6"/>
        <v>0.20833333333333334</v>
      </c>
      <c r="AE11" s="39">
        <f t="shared" si="7"/>
        <v>0.71053030239029213</v>
      </c>
      <c r="AF11" s="94">
        <f t="shared" si="8"/>
        <v>6</v>
      </c>
    </row>
    <row r="12" spans="1:36" ht="27" customHeight="1">
      <c r="A12" s="110">
        <v>7</v>
      </c>
      <c r="B12" s="11" t="s">
        <v>58</v>
      </c>
      <c r="C12" s="11" t="s">
        <v>118</v>
      </c>
      <c r="D12" s="55" t="s">
        <v>57</v>
      </c>
      <c r="E12" s="57" t="s">
        <v>160</v>
      </c>
      <c r="F12" s="12" t="s">
        <v>145</v>
      </c>
      <c r="G12" s="12">
        <v>1</v>
      </c>
      <c r="H12" s="13">
        <v>25</v>
      </c>
      <c r="I12" s="7">
        <v>62000</v>
      </c>
      <c r="J12" s="14">
        <v>1570</v>
      </c>
      <c r="K12" s="15">
        <f>L12+3062+3955+2262+4171+4492+4201+2422+2930+4783+1827+2695</f>
        <v>38364</v>
      </c>
      <c r="L12" s="15">
        <v>1564</v>
      </c>
      <c r="M12" s="16">
        <f t="shared" si="0"/>
        <v>1564</v>
      </c>
      <c r="N12" s="16">
        <v>0</v>
      </c>
      <c r="O12" s="62">
        <f t="shared" si="1"/>
        <v>0</v>
      </c>
      <c r="P12" s="42">
        <f t="shared" si="2"/>
        <v>8</v>
      </c>
      <c r="Q12" s="43">
        <f t="shared" si="3"/>
        <v>16</v>
      </c>
      <c r="R12" s="7">
        <v>16</v>
      </c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0.99617834394904459</v>
      </c>
      <c r="AC12" s="9">
        <f t="shared" si="5"/>
        <v>0.33333333333333331</v>
      </c>
      <c r="AD12" s="10">
        <f t="shared" si="6"/>
        <v>0.33205944798301484</v>
      </c>
      <c r="AE12" s="39">
        <f t="shared" si="7"/>
        <v>0.71053030239029213</v>
      </c>
      <c r="AF12" s="94">
        <f t="shared" si="8"/>
        <v>7</v>
      </c>
    </row>
    <row r="13" spans="1:36" ht="27" customHeight="1">
      <c r="A13" s="110">
        <v>8</v>
      </c>
      <c r="B13" s="11" t="s">
        <v>58</v>
      </c>
      <c r="C13" s="11" t="s">
        <v>173</v>
      </c>
      <c r="D13" s="55" t="s">
        <v>484</v>
      </c>
      <c r="E13" s="57" t="s">
        <v>485</v>
      </c>
      <c r="F13" s="12" t="s">
        <v>486</v>
      </c>
      <c r="G13" s="12">
        <v>1</v>
      </c>
      <c r="H13" s="13">
        <v>25</v>
      </c>
      <c r="I13" s="7">
        <v>500</v>
      </c>
      <c r="J13" s="14">
        <v>820</v>
      </c>
      <c r="K13" s="15">
        <f>L13</f>
        <v>816</v>
      </c>
      <c r="L13" s="15">
        <f>816</f>
        <v>816</v>
      </c>
      <c r="M13" s="16">
        <f t="shared" si="0"/>
        <v>816</v>
      </c>
      <c r="N13" s="16">
        <v>0</v>
      </c>
      <c r="O13" s="62">
        <f t="shared" si="1"/>
        <v>0</v>
      </c>
      <c r="P13" s="42">
        <f t="shared" si="2"/>
        <v>6</v>
      </c>
      <c r="Q13" s="43">
        <f t="shared" si="3"/>
        <v>18</v>
      </c>
      <c r="R13" s="7"/>
      <c r="S13" s="6"/>
      <c r="T13" s="17"/>
      <c r="U13" s="17"/>
      <c r="V13" s="18"/>
      <c r="W13" s="19">
        <v>18</v>
      </c>
      <c r="X13" s="17"/>
      <c r="Y13" s="20"/>
      <c r="Z13" s="20"/>
      <c r="AA13" s="21"/>
      <c r="AB13" s="8">
        <f t="shared" si="4"/>
        <v>0.99512195121951219</v>
      </c>
      <c r="AC13" s="9">
        <f t="shared" si="5"/>
        <v>0.25</v>
      </c>
      <c r="AD13" s="10">
        <f t="shared" si="6"/>
        <v>0.24878048780487805</v>
      </c>
      <c r="AE13" s="39">
        <f t="shared" si="7"/>
        <v>0.71053030239029213</v>
      </c>
      <c r="AF13" s="94">
        <f t="shared" si="8"/>
        <v>8</v>
      </c>
    </row>
    <row r="14" spans="1:36" ht="27" customHeight="1">
      <c r="A14" s="109">
        <v>9</v>
      </c>
      <c r="B14" s="11" t="s">
        <v>149</v>
      </c>
      <c r="C14" s="37" t="s">
        <v>163</v>
      </c>
      <c r="D14" s="55" t="s">
        <v>190</v>
      </c>
      <c r="E14" s="57" t="s">
        <v>436</v>
      </c>
      <c r="F14" s="33" t="s">
        <v>437</v>
      </c>
      <c r="G14" s="36">
        <v>1</v>
      </c>
      <c r="H14" s="38">
        <v>25</v>
      </c>
      <c r="I14" s="7">
        <v>11000</v>
      </c>
      <c r="J14" s="5">
        <v>3620</v>
      </c>
      <c r="K14" s="15">
        <f>L14+2030</f>
        <v>5647</v>
      </c>
      <c r="L14" s="15">
        <f>2293+1324</f>
        <v>3617</v>
      </c>
      <c r="M14" s="16">
        <f t="shared" si="0"/>
        <v>3617</v>
      </c>
      <c r="N14" s="16">
        <v>0</v>
      </c>
      <c r="O14" s="62">
        <f t="shared" si="1"/>
        <v>0</v>
      </c>
      <c r="P14" s="42">
        <f t="shared" si="2"/>
        <v>19</v>
      </c>
      <c r="Q14" s="43">
        <f t="shared" si="3"/>
        <v>5</v>
      </c>
      <c r="R14" s="7">
        <v>5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0.99917127071823209</v>
      </c>
      <c r="AC14" s="9">
        <f t="shared" si="5"/>
        <v>0.79166666666666663</v>
      </c>
      <c r="AD14" s="10">
        <f t="shared" si="6"/>
        <v>0.79101058931860035</v>
      </c>
      <c r="AE14" s="39">
        <f t="shared" si="7"/>
        <v>0.71053030239029213</v>
      </c>
      <c r="AF14" s="94">
        <f t="shared" si="8"/>
        <v>9</v>
      </c>
    </row>
    <row r="15" spans="1:36" ht="27" customHeight="1">
      <c r="A15" s="109">
        <v>10</v>
      </c>
      <c r="B15" s="11" t="s">
        <v>149</v>
      </c>
      <c r="C15" s="11" t="s">
        <v>195</v>
      </c>
      <c r="D15" s="55" t="s">
        <v>420</v>
      </c>
      <c r="E15" s="57" t="s">
        <v>421</v>
      </c>
      <c r="F15" s="12">
        <v>8301</v>
      </c>
      <c r="G15" s="12">
        <v>1</v>
      </c>
      <c r="H15" s="13">
        <v>20</v>
      </c>
      <c r="I15" s="34">
        <v>21000</v>
      </c>
      <c r="J15" s="14">
        <v>4880</v>
      </c>
      <c r="K15" s="15">
        <f>L15+2754</f>
        <v>7633</v>
      </c>
      <c r="L15" s="15">
        <f>2393+2486</f>
        <v>4879</v>
      </c>
      <c r="M15" s="16">
        <f t="shared" si="0"/>
        <v>4879</v>
      </c>
      <c r="N15" s="16">
        <v>0</v>
      </c>
      <c r="O15" s="62">
        <f t="shared" si="1"/>
        <v>0</v>
      </c>
      <c r="P15" s="42">
        <f t="shared" si="2"/>
        <v>24</v>
      </c>
      <c r="Q15" s="43">
        <f t="shared" si="3"/>
        <v>0</v>
      </c>
      <c r="R15" s="7"/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0.99979508196721312</v>
      </c>
      <c r="AC15" s="9">
        <f t="shared" si="5"/>
        <v>1</v>
      </c>
      <c r="AD15" s="10">
        <f t="shared" si="6"/>
        <v>0.99979508196721312</v>
      </c>
      <c r="AE15" s="39">
        <f t="shared" si="7"/>
        <v>0.71053030239029213</v>
      </c>
      <c r="AF15" s="94">
        <f t="shared" si="8"/>
        <v>10</v>
      </c>
    </row>
    <row r="16" spans="1:36" ht="27.75" customHeight="1">
      <c r="A16" s="109">
        <v>11</v>
      </c>
      <c r="B16" s="11" t="s">
        <v>149</v>
      </c>
      <c r="C16" s="11" t="s">
        <v>163</v>
      </c>
      <c r="D16" s="55" t="s">
        <v>196</v>
      </c>
      <c r="E16" s="56" t="s">
        <v>277</v>
      </c>
      <c r="F16" s="12" t="s">
        <v>248</v>
      </c>
      <c r="G16" s="36">
        <v>1</v>
      </c>
      <c r="H16" s="38">
        <v>25</v>
      </c>
      <c r="I16" s="7">
        <v>11000</v>
      </c>
      <c r="J16" s="14">
        <v>5460</v>
      </c>
      <c r="K16" s="15">
        <f>L16+2667</f>
        <v>8127</v>
      </c>
      <c r="L16" s="15">
        <f>2900+2560</f>
        <v>5460</v>
      </c>
      <c r="M16" s="16">
        <f t="shared" si="0"/>
        <v>5460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1</v>
      </c>
      <c r="AD16" s="10">
        <f t="shared" si="6"/>
        <v>1</v>
      </c>
      <c r="AE16" s="39">
        <f t="shared" si="7"/>
        <v>0.71053030239029213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149</v>
      </c>
      <c r="C17" s="37" t="s">
        <v>195</v>
      </c>
      <c r="D17" s="55" t="s">
        <v>399</v>
      </c>
      <c r="E17" s="56" t="s">
        <v>369</v>
      </c>
      <c r="F17" s="12">
        <v>8301</v>
      </c>
      <c r="G17" s="12">
        <v>1</v>
      </c>
      <c r="H17" s="13">
        <v>25</v>
      </c>
      <c r="I17" s="34">
        <v>14000</v>
      </c>
      <c r="J17" s="5">
        <v>5130</v>
      </c>
      <c r="K17" s="15">
        <f>L17+1388+5172</f>
        <v>11688</v>
      </c>
      <c r="L17" s="15">
        <f>2150+2978</f>
        <v>5128</v>
      </c>
      <c r="M17" s="16">
        <f t="shared" si="0"/>
        <v>5128</v>
      </c>
      <c r="N17" s="16">
        <v>0</v>
      </c>
      <c r="O17" s="62">
        <f t="shared" si="1"/>
        <v>0</v>
      </c>
      <c r="P17" s="42">
        <f t="shared" si="2"/>
        <v>24</v>
      </c>
      <c r="Q17" s="43">
        <f t="shared" si="3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0.99961013645224173</v>
      </c>
      <c r="AC17" s="9">
        <f t="shared" si="5"/>
        <v>1</v>
      </c>
      <c r="AD17" s="10">
        <f t="shared" si="6"/>
        <v>0.99961013645224173</v>
      </c>
      <c r="AE17" s="39">
        <f t="shared" si="7"/>
        <v>0.71053030239029213</v>
      </c>
      <c r="AF17" s="94">
        <f t="shared" ref="AF17" si="10">A17</f>
        <v>12</v>
      </c>
    </row>
    <row r="18" spans="1:32" ht="27" customHeight="1">
      <c r="A18" s="110">
        <v>13</v>
      </c>
      <c r="B18" s="11" t="s">
        <v>58</v>
      </c>
      <c r="C18" s="37" t="s">
        <v>118</v>
      </c>
      <c r="D18" s="55" t="s">
        <v>131</v>
      </c>
      <c r="E18" s="57" t="s">
        <v>158</v>
      </c>
      <c r="F18" s="33" t="s">
        <v>142</v>
      </c>
      <c r="G18" s="36">
        <v>1</v>
      </c>
      <c r="H18" s="38">
        <v>25</v>
      </c>
      <c r="I18" s="7">
        <v>62000</v>
      </c>
      <c r="J18" s="5">
        <v>4930</v>
      </c>
      <c r="K18" s="15">
        <f>L18+2232+4609+1982+1137+3270+2188+1609+3870+5108+3013+1873+2963</f>
        <v>38776</v>
      </c>
      <c r="L18" s="15">
        <f>2650+2272</f>
        <v>4922</v>
      </c>
      <c r="M18" s="16">
        <f t="shared" si="0"/>
        <v>4922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0.99837728194726161</v>
      </c>
      <c r="AC18" s="9">
        <f t="shared" si="5"/>
        <v>1</v>
      </c>
      <c r="AD18" s="10">
        <f t="shared" si="6"/>
        <v>0.99837728194726161</v>
      </c>
      <c r="AE18" s="39">
        <f t="shared" si="7"/>
        <v>0.71053030239029213</v>
      </c>
      <c r="AF18" s="94">
        <f t="shared" si="8"/>
        <v>13</v>
      </c>
    </row>
    <row r="19" spans="1:32" ht="27" customHeight="1">
      <c r="A19" s="110">
        <v>14</v>
      </c>
      <c r="B19" s="11" t="s">
        <v>58</v>
      </c>
      <c r="C19" s="11" t="s">
        <v>151</v>
      </c>
      <c r="D19" s="55" t="s">
        <v>57</v>
      </c>
      <c r="E19" s="56" t="s">
        <v>426</v>
      </c>
      <c r="F19" s="12" t="s">
        <v>437</v>
      </c>
      <c r="G19" s="12">
        <v>1</v>
      </c>
      <c r="H19" s="38">
        <v>25</v>
      </c>
      <c r="I19" s="34">
        <v>11000</v>
      </c>
      <c r="J19" s="5">
        <v>7800</v>
      </c>
      <c r="K19" s="15">
        <f>L19+7502</f>
        <v>15296</v>
      </c>
      <c r="L19" s="15">
        <f>2616*2+1281*2</f>
        <v>7794</v>
      </c>
      <c r="M19" s="16">
        <f t="shared" si="0"/>
        <v>7794</v>
      </c>
      <c r="N19" s="16">
        <v>0</v>
      </c>
      <c r="O19" s="62">
        <f t="shared" si="1"/>
        <v>0</v>
      </c>
      <c r="P19" s="42">
        <f t="shared" si="2"/>
        <v>22</v>
      </c>
      <c r="Q19" s="43">
        <f t="shared" si="3"/>
        <v>2</v>
      </c>
      <c r="R19" s="7"/>
      <c r="S19" s="6"/>
      <c r="T19" s="17"/>
      <c r="U19" s="17"/>
      <c r="V19" s="18"/>
      <c r="W19" s="19">
        <v>2</v>
      </c>
      <c r="X19" s="17"/>
      <c r="Y19" s="20"/>
      <c r="Z19" s="20"/>
      <c r="AA19" s="21"/>
      <c r="AB19" s="8">
        <f t="shared" si="4"/>
        <v>0.99923076923076926</v>
      </c>
      <c r="AC19" s="9">
        <f t="shared" si="5"/>
        <v>0.91666666666666663</v>
      </c>
      <c r="AD19" s="10">
        <f t="shared" si="6"/>
        <v>0.91596153846153849</v>
      </c>
      <c r="AE19" s="39">
        <f t="shared" si="7"/>
        <v>0.71053030239029213</v>
      </c>
      <c r="AF19" s="94">
        <f t="shared" si="8"/>
        <v>14</v>
      </c>
    </row>
    <row r="20" spans="1:32" ht="27" customHeight="1" thickBot="1">
      <c r="A20" s="110">
        <v>15</v>
      </c>
      <c r="B20" s="11" t="s">
        <v>58</v>
      </c>
      <c r="C20" s="11" t="s">
        <v>115</v>
      </c>
      <c r="D20" s="55"/>
      <c r="E20" s="56" t="s">
        <v>250</v>
      </c>
      <c r="F20" s="12" t="s">
        <v>116</v>
      </c>
      <c r="G20" s="12">
        <v>4</v>
      </c>
      <c r="H20" s="38">
        <v>15</v>
      </c>
      <c r="I20" s="7">
        <v>300000</v>
      </c>
      <c r="J20" s="14">
        <v>66570</v>
      </c>
      <c r="K20" s="15">
        <f>L20+35456+63764+63820+27408+58684</f>
        <v>315700</v>
      </c>
      <c r="L20" s="15">
        <f>8180*4+8462*4</f>
        <v>66568</v>
      </c>
      <c r="M20" s="16">
        <f t="shared" si="0"/>
        <v>66568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0.9999699564368334</v>
      </c>
      <c r="AC20" s="9">
        <f t="shared" si="5"/>
        <v>1</v>
      </c>
      <c r="AD20" s="10">
        <f t="shared" si="6"/>
        <v>0.9999699564368334</v>
      </c>
      <c r="AE20" s="39">
        <f t="shared" si="7"/>
        <v>0.71053030239029213</v>
      </c>
      <c r="AF20" s="94">
        <f t="shared" si="8"/>
        <v>15</v>
      </c>
    </row>
    <row r="21" spans="1:32" ht="31.5" customHeight="1" thickBot="1">
      <c r="A21" s="465" t="s">
        <v>34</v>
      </c>
      <c r="B21" s="466"/>
      <c r="C21" s="466"/>
      <c r="D21" s="466"/>
      <c r="E21" s="466"/>
      <c r="F21" s="466"/>
      <c r="G21" s="466"/>
      <c r="H21" s="467"/>
      <c r="I21" s="25">
        <f t="shared" ref="I21:N21" si="11">SUM(I6:I20)</f>
        <v>620000</v>
      </c>
      <c r="J21" s="22">
        <f t="shared" si="11"/>
        <v>117670</v>
      </c>
      <c r="K21" s="23">
        <f t="shared" si="11"/>
        <v>523565</v>
      </c>
      <c r="L21" s="24">
        <f t="shared" si="11"/>
        <v>116597</v>
      </c>
      <c r="M21" s="23">
        <f t="shared" si="11"/>
        <v>116597</v>
      </c>
      <c r="N21" s="24">
        <f t="shared" si="11"/>
        <v>0</v>
      </c>
      <c r="O21" s="44">
        <f t="shared" si="1"/>
        <v>0</v>
      </c>
      <c r="P21" s="45">
        <f t="shared" ref="P21:AA21" si="12">SUM(P6:P20)</f>
        <v>256</v>
      </c>
      <c r="Q21" s="46">
        <f t="shared" si="12"/>
        <v>104</v>
      </c>
      <c r="R21" s="26">
        <f t="shared" si="12"/>
        <v>45</v>
      </c>
      <c r="S21" s="27">
        <f t="shared" si="12"/>
        <v>8</v>
      </c>
      <c r="T21" s="27">
        <f t="shared" si="12"/>
        <v>0</v>
      </c>
      <c r="U21" s="27">
        <f t="shared" si="12"/>
        <v>0</v>
      </c>
      <c r="V21" s="28">
        <f t="shared" si="12"/>
        <v>0</v>
      </c>
      <c r="W21" s="29">
        <f t="shared" si="12"/>
        <v>51</v>
      </c>
      <c r="X21" s="30">
        <f t="shared" si="12"/>
        <v>0</v>
      </c>
      <c r="Y21" s="30">
        <f t="shared" si="12"/>
        <v>0</v>
      </c>
      <c r="Z21" s="30">
        <f t="shared" si="12"/>
        <v>0</v>
      </c>
      <c r="AA21" s="30">
        <f t="shared" si="12"/>
        <v>0</v>
      </c>
      <c r="AB21" s="31">
        <f>SUM(AB6:AB20)/15</f>
        <v>0.93227801151734668</v>
      </c>
      <c r="AC21" s="4">
        <f>SUM(AC6:AC20)/15</f>
        <v>0.71111111111111103</v>
      </c>
      <c r="AD21" s="4">
        <f>SUM(AD6:AD20)/15</f>
        <v>0.71053030239029213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68" t="s">
        <v>45</v>
      </c>
      <c r="B48" s="468"/>
      <c r="C48" s="468"/>
      <c r="D48" s="468"/>
      <c r="E48" s="468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69" t="s">
        <v>487</v>
      </c>
      <c r="B49" s="470"/>
      <c r="C49" s="470"/>
      <c r="D49" s="470"/>
      <c r="E49" s="470"/>
      <c r="F49" s="470"/>
      <c r="G49" s="470"/>
      <c r="H49" s="470"/>
      <c r="I49" s="470"/>
      <c r="J49" s="470"/>
      <c r="K49" s="470"/>
      <c r="L49" s="470"/>
      <c r="M49" s="471"/>
      <c r="N49" s="472" t="s">
        <v>501</v>
      </c>
      <c r="O49" s="473"/>
      <c r="P49" s="473"/>
      <c r="Q49" s="473"/>
      <c r="R49" s="473"/>
      <c r="S49" s="473"/>
      <c r="T49" s="473"/>
      <c r="U49" s="473"/>
      <c r="V49" s="473"/>
      <c r="W49" s="473"/>
      <c r="X49" s="473"/>
      <c r="Y49" s="473"/>
      <c r="Z49" s="473"/>
      <c r="AA49" s="473"/>
      <c r="AB49" s="473"/>
      <c r="AC49" s="473"/>
      <c r="AD49" s="474"/>
    </row>
    <row r="50" spans="1:32" ht="27" customHeight="1">
      <c r="A50" s="475" t="s">
        <v>2</v>
      </c>
      <c r="B50" s="476"/>
      <c r="C50" s="199" t="s">
        <v>46</v>
      </c>
      <c r="D50" s="199" t="s">
        <v>47</v>
      </c>
      <c r="E50" s="199" t="s">
        <v>109</v>
      </c>
      <c r="F50" s="476" t="s">
        <v>108</v>
      </c>
      <c r="G50" s="476"/>
      <c r="H50" s="476"/>
      <c r="I50" s="476"/>
      <c r="J50" s="476"/>
      <c r="K50" s="476"/>
      <c r="L50" s="476"/>
      <c r="M50" s="477"/>
      <c r="N50" s="73" t="s">
        <v>113</v>
      </c>
      <c r="O50" s="199" t="s">
        <v>46</v>
      </c>
      <c r="P50" s="478" t="s">
        <v>47</v>
      </c>
      <c r="Q50" s="479"/>
      <c r="R50" s="478" t="s">
        <v>38</v>
      </c>
      <c r="S50" s="480"/>
      <c r="T50" s="480"/>
      <c r="U50" s="479"/>
      <c r="V50" s="478" t="s">
        <v>48</v>
      </c>
      <c r="W50" s="480"/>
      <c r="X50" s="480"/>
      <c r="Y50" s="480"/>
      <c r="Z50" s="480"/>
      <c r="AA50" s="480"/>
      <c r="AB50" s="480"/>
      <c r="AC50" s="480"/>
      <c r="AD50" s="481"/>
    </row>
    <row r="51" spans="1:32" ht="27" customHeight="1">
      <c r="A51" s="492" t="s">
        <v>488</v>
      </c>
      <c r="B51" s="493"/>
      <c r="C51" s="200" t="s">
        <v>374</v>
      </c>
      <c r="D51" s="201" t="s">
        <v>241</v>
      </c>
      <c r="E51" s="200" t="s">
        <v>483</v>
      </c>
      <c r="F51" s="494" t="s">
        <v>150</v>
      </c>
      <c r="G51" s="494"/>
      <c r="H51" s="494"/>
      <c r="I51" s="494"/>
      <c r="J51" s="494"/>
      <c r="K51" s="494"/>
      <c r="L51" s="494"/>
      <c r="M51" s="495"/>
      <c r="N51" s="205" t="s">
        <v>173</v>
      </c>
      <c r="O51" s="74" t="s">
        <v>370</v>
      </c>
      <c r="P51" s="496" t="s">
        <v>367</v>
      </c>
      <c r="Q51" s="497"/>
      <c r="R51" s="498" t="s">
        <v>502</v>
      </c>
      <c r="S51" s="498"/>
      <c r="T51" s="498"/>
      <c r="U51" s="498"/>
      <c r="V51" s="494" t="s">
        <v>503</v>
      </c>
      <c r="W51" s="494"/>
      <c r="X51" s="494"/>
      <c r="Y51" s="494"/>
      <c r="Z51" s="494"/>
      <c r="AA51" s="494"/>
      <c r="AB51" s="494"/>
      <c r="AC51" s="494"/>
      <c r="AD51" s="495"/>
    </row>
    <row r="52" spans="1:32" ht="27" customHeight="1">
      <c r="A52" s="492" t="s">
        <v>488</v>
      </c>
      <c r="B52" s="493"/>
      <c r="C52" s="200" t="s">
        <v>489</v>
      </c>
      <c r="D52" s="201" t="s">
        <v>196</v>
      </c>
      <c r="E52" s="200" t="s">
        <v>490</v>
      </c>
      <c r="F52" s="494" t="s">
        <v>150</v>
      </c>
      <c r="G52" s="494"/>
      <c r="H52" s="494"/>
      <c r="I52" s="494"/>
      <c r="J52" s="494"/>
      <c r="K52" s="494"/>
      <c r="L52" s="494"/>
      <c r="M52" s="495"/>
      <c r="N52" s="205" t="s">
        <v>173</v>
      </c>
      <c r="O52" s="74" t="s">
        <v>370</v>
      </c>
      <c r="P52" s="496" t="s">
        <v>504</v>
      </c>
      <c r="Q52" s="497"/>
      <c r="R52" s="498" t="s">
        <v>505</v>
      </c>
      <c r="S52" s="498"/>
      <c r="T52" s="498"/>
      <c r="U52" s="498"/>
      <c r="V52" s="494" t="s">
        <v>150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173</v>
      </c>
      <c r="B53" s="493"/>
      <c r="C53" s="200" t="s">
        <v>267</v>
      </c>
      <c r="D53" s="201" t="s">
        <v>196</v>
      </c>
      <c r="E53" s="200" t="s">
        <v>160</v>
      </c>
      <c r="F53" s="494" t="s">
        <v>491</v>
      </c>
      <c r="G53" s="494"/>
      <c r="H53" s="494"/>
      <c r="I53" s="494"/>
      <c r="J53" s="494"/>
      <c r="K53" s="494"/>
      <c r="L53" s="494"/>
      <c r="M53" s="495"/>
      <c r="N53" s="205" t="s">
        <v>151</v>
      </c>
      <c r="O53" s="74" t="s">
        <v>507</v>
      </c>
      <c r="P53" s="496" t="s">
        <v>508</v>
      </c>
      <c r="Q53" s="497"/>
      <c r="R53" s="498" t="s">
        <v>506</v>
      </c>
      <c r="S53" s="498"/>
      <c r="T53" s="498"/>
      <c r="U53" s="498"/>
      <c r="V53" s="494" t="s">
        <v>509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173</v>
      </c>
      <c r="B54" s="493"/>
      <c r="C54" s="200" t="s">
        <v>492</v>
      </c>
      <c r="D54" s="201" t="s">
        <v>493</v>
      </c>
      <c r="E54" s="200" t="s">
        <v>494</v>
      </c>
      <c r="F54" s="494" t="s">
        <v>495</v>
      </c>
      <c r="G54" s="494"/>
      <c r="H54" s="494"/>
      <c r="I54" s="494"/>
      <c r="J54" s="494"/>
      <c r="K54" s="494"/>
      <c r="L54" s="494"/>
      <c r="M54" s="495"/>
      <c r="N54" s="205" t="s">
        <v>173</v>
      </c>
      <c r="O54" s="74" t="s">
        <v>511</v>
      </c>
      <c r="P54" s="496" t="s">
        <v>484</v>
      </c>
      <c r="Q54" s="497"/>
      <c r="R54" s="498" t="s">
        <v>510</v>
      </c>
      <c r="S54" s="498"/>
      <c r="T54" s="498"/>
      <c r="U54" s="498"/>
      <c r="V54" s="494" t="s">
        <v>512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496</v>
      </c>
      <c r="B55" s="493"/>
      <c r="C55" s="200" t="s">
        <v>497</v>
      </c>
      <c r="D55" s="201" t="s">
        <v>498</v>
      </c>
      <c r="E55" s="200" t="s">
        <v>499</v>
      </c>
      <c r="F55" s="494" t="s">
        <v>500</v>
      </c>
      <c r="G55" s="494"/>
      <c r="H55" s="494"/>
      <c r="I55" s="494"/>
      <c r="J55" s="494"/>
      <c r="K55" s="494"/>
      <c r="L55" s="494"/>
      <c r="M55" s="495"/>
      <c r="N55" s="205" t="s">
        <v>151</v>
      </c>
      <c r="O55" s="74" t="s">
        <v>235</v>
      </c>
      <c r="P55" s="496" t="s">
        <v>514</v>
      </c>
      <c r="Q55" s="497"/>
      <c r="R55" s="498" t="s">
        <v>513</v>
      </c>
      <c r="S55" s="498"/>
      <c r="T55" s="498"/>
      <c r="U55" s="498"/>
      <c r="V55" s="494" t="s">
        <v>503</v>
      </c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/>
      <c r="B56" s="493"/>
      <c r="C56" s="200"/>
      <c r="D56" s="201"/>
      <c r="E56" s="200"/>
      <c r="F56" s="494"/>
      <c r="G56" s="494"/>
      <c r="H56" s="494"/>
      <c r="I56" s="494"/>
      <c r="J56" s="494"/>
      <c r="K56" s="494"/>
      <c r="L56" s="494"/>
      <c r="M56" s="495"/>
      <c r="N56" s="205"/>
      <c r="O56" s="74"/>
      <c r="P56" s="498"/>
      <c r="Q56" s="498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/>
      <c r="B57" s="493"/>
      <c r="C57" s="200"/>
      <c r="D57" s="201"/>
      <c r="E57" s="200"/>
      <c r="F57" s="494"/>
      <c r="G57" s="494"/>
      <c r="H57" s="494"/>
      <c r="I57" s="494"/>
      <c r="J57" s="494"/>
      <c r="K57" s="494"/>
      <c r="L57" s="494"/>
      <c r="M57" s="495"/>
      <c r="N57" s="205"/>
      <c r="O57" s="74"/>
      <c r="P57" s="496"/>
      <c r="Q57" s="497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/>
      <c r="B58" s="493"/>
      <c r="C58" s="200"/>
      <c r="D58" s="201"/>
      <c r="E58" s="200"/>
      <c r="F58" s="494"/>
      <c r="G58" s="494"/>
      <c r="H58" s="494"/>
      <c r="I58" s="494"/>
      <c r="J58" s="494"/>
      <c r="K58" s="494"/>
      <c r="L58" s="494"/>
      <c r="M58" s="495"/>
      <c r="N58" s="205"/>
      <c r="O58" s="74"/>
      <c r="P58" s="498"/>
      <c r="Q58" s="498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508"/>
      <c r="B59" s="498"/>
      <c r="C59" s="201"/>
      <c r="D59" s="201"/>
      <c r="E59" s="201"/>
      <c r="F59" s="494"/>
      <c r="G59" s="494"/>
      <c r="H59" s="494"/>
      <c r="I59" s="494"/>
      <c r="J59" s="494"/>
      <c r="K59" s="494"/>
      <c r="L59" s="494"/>
      <c r="M59" s="495"/>
      <c r="N59" s="205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  <c r="AF59" s="94">
        <f>8*3000</f>
        <v>24000</v>
      </c>
    </row>
    <row r="60" spans="1:32" ht="27" customHeight="1" thickBot="1">
      <c r="A60" s="499"/>
      <c r="B60" s="500"/>
      <c r="C60" s="203"/>
      <c r="D60" s="203"/>
      <c r="E60" s="203"/>
      <c r="F60" s="501"/>
      <c r="G60" s="501"/>
      <c r="H60" s="501"/>
      <c r="I60" s="501"/>
      <c r="J60" s="501"/>
      <c r="K60" s="501"/>
      <c r="L60" s="501"/>
      <c r="M60" s="502"/>
      <c r="N60" s="202"/>
      <c r="O60" s="121"/>
      <c r="P60" s="500"/>
      <c r="Q60" s="500"/>
      <c r="R60" s="500"/>
      <c r="S60" s="500"/>
      <c r="T60" s="500"/>
      <c r="U60" s="500"/>
      <c r="V60" s="501"/>
      <c r="W60" s="501"/>
      <c r="X60" s="501"/>
      <c r="Y60" s="501"/>
      <c r="Z60" s="501"/>
      <c r="AA60" s="501"/>
      <c r="AB60" s="501"/>
      <c r="AC60" s="501"/>
      <c r="AD60" s="502"/>
      <c r="AF60" s="94">
        <f>16*3000</f>
        <v>48000</v>
      </c>
    </row>
    <row r="61" spans="1:32" ht="27.75" thickBot="1">
      <c r="A61" s="503" t="s">
        <v>515</v>
      </c>
      <c r="B61" s="503"/>
      <c r="C61" s="503"/>
      <c r="D61" s="503"/>
      <c r="E61" s="503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504" t="s">
        <v>114</v>
      </c>
      <c r="B62" s="505"/>
      <c r="C62" s="204" t="s">
        <v>2</v>
      </c>
      <c r="D62" s="204" t="s">
        <v>37</v>
      </c>
      <c r="E62" s="204" t="s">
        <v>3</v>
      </c>
      <c r="F62" s="505" t="s">
        <v>111</v>
      </c>
      <c r="G62" s="505"/>
      <c r="H62" s="505"/>
      <c r="I62" s="505"/>
      <c r="J62" s="505"/>
      <c r="K62" s="505" t="s">
        <v>39</v>
      </c>
      <c r="L62" s="505"/>
      <c r="M62" s="204" t="s">
        <v>40</v>
      </c>
      <c r="N62" s="505" t="s">
        <v>41</v>
      </c>
      <c r="O62" s="505"/>
      <c r="P62" s="506" t="s">
        <v>42</v>
      </c>
      <c r="Q62" s="507"/>
      <c r="R62" s="506" t="s">
        <v>43</v>
      </c>
      <c r="S62" s="509"/>
      <c r="T62" s="509"/>
      <c r="U62" s="509"/>
      <c r="V62" s="509"/>
      <c r="W62" s="509"/>
      <c r="X62" s="509"/>
      <c r="Y62" s="509"/>
      <c r="Z62" s="509"/>
      <c r="AA62" s="507"/>
      <c r="AB62" s="505" t="s">
        <v>44</v>
      </c>
      <c r="AC62" s="505"/>
      <c r="AD62" s="510"/>
      <c r="AF62" s="94">
        <f>SUM(AF59:AF61)</f>
        <v>96000</v>
      </c>
    </row>
    <row r="63" spans="1:32" ht="25.5" customHeight="1">
      <c r="A63" s="511">
        <v>1</v>
      </c>
      <c r="B63" s="512"/>
      <c r="C63" s="124" t="s">
        <v>173</v>
      </c>
      <c r="D63" s="208"/>
      <c r="E63" s="206" t="s">
        <v>516</v>
      </c>
      <c r="F63" s="513" t="s">
        <v>517</v>
      </c>
      <c r="G63" s="514"/>
      <c r="H63" s="514"/>
      <c r="I63" s="514"/>
      <c r="J63" s="514"/>
      <c r="K63" s="514" t="s">
        <v>518</v>
      </c>
      <c r="L63" s="514"/>
      <c r="M63" s="54" t="s">
        <v>519</v>
      </c>
      <c r="N63" s="514">
        <v>8</v>
      </c>
      <c r="O63" s="514"/>
      <c r="P63" s="515">
        <v>200</v>
      </c>
      <c r="Q63" s="515"/>
      <c r="R63" s="494"/>
      <c r="S63" s="494"/>
      <c r="T63" s="494"/>
      <c r="U63" s="494"/>
      <c r="V63" s="494"/>
      <c r="W63" s="494"/>
      <c r="X63" s="494"/>
      <c r="Y63" s="494"/>
      <c r="Z63" s="494"/>
      <c r="AA63" s="494"/>
      <c r="AB63" s="514"/>
      <c r="AC63" s="514"/>
      <c r="AD63" s="516"/>
      <c r="AF63" s="53"/>
    </row>
    <row r="64" spans="1:32" ht="25.5" customHeight="1">
      <c r="A64" s="511">
        <v>2</v>
      </c>
      <c r="B64" s="512"/>
      <c r="C64" s="124" t="s">
        <v>195</v>
      </c>
      <c r="D64" s="208"/>
      <c r="E64" s="206" t="s">
        <v>520</v>
      </c>
      <c r="F64" s="513" t="s">
        <v>521</v>
      </c>
      <c r="G64" s="514"/>
      <c r="H64" s="514"/>
      <c r="I64" s="514"/>
      <c r="J64" s="514"/>
      <c r="K64" s="514" t="s">
        <v>522</v>
      </c>
      <c r="L64" s="514"/>
      <c r="M64" s="54" t="s">
        <v>523</v>
      </c>
      <c r="N64" s="514">
        <v>6</v>
      </c>
      <c r="O64" s="514"/>
      <c r="P64" s="515">
        <v>50</v>
      </c>
      <c r="Q64" s="515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3</v>
      </c>
      <c r="B65" s="512"/>
      <c r="C65" s="124"/>
      <c r="D65" s="208"/>
      <c r="E65" s="206"/>
      <c r="F65" s="513"/>
      <c r="G65" s="514"/>
      <c r="H65" s="514"/>
      <c r="I65" s="514"/>
      <c r="J65" s="514"/>
      <c r="K65" s="514"/>
      <c r="L65" s="514"/>
      <c r="M65" s="54"/>
      <c r="N65" s="514"/>
      <c r="O65" s="514"/>
      <c r="P65" s="515"/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4</v>
      </c>
      <c r="B66" s="512"/>
      <c r="C66" s="124"/>
      <c r="D66" s="208"/>
      <c r="E66" s="206"/>
      <c r="F66" s="513"/>
      <c r="G66" s="514"/>
      <c r="H66" s="514"/>
      <c r="I66" s="514"/>
      <c r="J66" s="514"/>
      <c r="K66" s="514"/>
      <c r="L66" s="514"/>
      <c r="M66" s="54"/>
      <c r="N66" s="514"/>
      <c r="O66" s="514"/>
      <c r="P66" s="515"/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5</v>
      </c>
      <c r="B67" s="512"/>
      <c r="C67" s="124"/>
      <c r="D67" s="208"/>
      <c r="E67" s="206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6</v>
      </c>
      <c r="B68" s="512"/>
      <c r="C68" s="124"/>
      <c r="D68" s="208"/>
      <c r="E68" s="206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7</v>
      </c>
      <c r="B69" s="512"/>
      <c r="C69" s="124"/>
      <c r="D69" s="208"/>
      <c r="E69" s="206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8</v>
      </c>
      <c r="B70" s="512"/>
      <c r="C70" s="124"/>
      <c r="D70" s="208"/>
      <c r="E70" s="206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6.25" customHeight="1" thickBot="1">
      <c r="A71" s="517" t="s">
        <v>524</v>
      </c>
      <c r="B71" s="517"/>
      <c r="C71" s="517"/>
      <c r="D71" s="517"/>
      <c r="E71" s="51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518" t="s">
        <v>114</v>
      </c>
      <c r="B72" s="519"/>
      <c r="C72" s="207" t="s">
        <v>2</v>
      </c>
      <c r="D72" s="207" t="s">
        <v>37</v>
      </c>
      <c r="E72" s="207" t="s">
        <v>3</v>
      </c>
      <c r="F72" s="519" t="s">
        <v>38</v>
      </c>
      <c r="G72" s="519"/>
      <c r="H72" s="519"/>
      <c r="I72" s="519"/>
      <c r="J72" s="519"/>
      <c r="K72" s="520" t="s">
        <v>59</v>
      </c>
      <c r="L72" s="521"/>
      <c r="M72" s="521"/>
      <c r="N72" s="521"/>
      <c r="O72" s="521"/>
      <c r="P72" s="521"/>
      <c r="Q72" s="521"/>
      <c r="R72" s="521"/>
      <c r="S72" s="522"/>
      <c r="T72" s="519" t="s">
        <v>49</v>
      </c>
      <c r="U72" s="519"/>
      <c r="V72" s="520" t="s">
        <v>50</v>
      </c>
      <c r="W72" s="522"/>
      <c r="X72" s="521" t="s">
        <v>51</v>
      </c>
      <c r="Y72" s="521"/>
      <c r="Z72" s="521"/>
      <c r="AA72" s="521"/>
      <c r="AB72" s="521"/>
      <c r="AC72" s="521"/>
      <c r="AD72" s="523"/>
      <c r="AF72" s="53"/>
    </row>
    <row r="73" spans="1:32" ht="33.75" customHeight="1">
      <c r="A73" s="532">
        <v>1</v>
      </c>
      <c r="B73" s="533"/>
      <c r="C73" s="209" t="s">
        <v>117</v>
      </c>
      <c r="D73" s="209"/>
      <c r="E73" s="71" t="s">
        <v>123</v>
      </c>
      <c r="F73" s="534" t="s">
        <v>124</v>
      </c>
      <c r="G73" s="535"/>
      <c r="H73" s="535"/>
      <c r="I73" s="535"/>
      <c r="J73" s="536"/>
      <c r="K73" s="537" t="s">
        <v>119</v>
      </c>
      <c r="L73" s="538"/>
      <c r="M73" s="538"/>
      <c r="N73" s="538"/>
      <c r="O73" s="538"/>
      <c r="P73" s="538"/>
      <c r="Q73" s="538"/>
      <c r="R73" s="538"/>
      <c r="S73" s="539"/>
      <c r="T73" s="540">
        <v>42901</v>
      </c>
      <c r="U73" s="541"/>
      <c r="V73" s="542"/>
      <c r="W73" s="542"/>
      <c r="X73" s="543"/>
      <c r="Y73" s="543"/>
      <c r="Z73" s="543"/>
      <c r="AA73" s="543"/>
      <c r="AB73" s="543"/>
      <c r="AC73" s="543"/>
      <c r="AD73" s="544"/>
      <c r="AF73" s="53"/>
    </row>
    <row r="74" spans="1:32" ht="30" customHeight="1">
      <c r="A74" s="524">
        <f>A73+1</f>
        <v>2</v>
      </c>
      <c r="B74" s="525"/>
      <c r="C74" s="208" t="s">
        <v>117</v>
      </c>
      <c r="D74" s="208"/>
      <c r="E74" s="35" t="s">
        <v>120</v>
      </c>
      <c r="F74" s="525" t="s">
        <v>121</v>
      </c>
      <c r="G74" s="525"/>
      <c r="H74" s="525"/>
      <c r="I74" s="525"/>
      <c r="J74" s="525"/>
      <c r="K74" s="526" t="s">
        <v>122</v>
      </c>
      <c r="L74" s="527"/>
      <c r="M74" s="527"/>
      <c r="N74" s="527"/>
      <c r="O74" s="527"/>
      <c r="P74" s="527"/>
      <c r="Q74" s="527"/>
      <c r="R74" s="527"/>
      <c r="S74" s="528"/>
      <c r="T74" s="529">
        <v>42867</v>
      </c>
      <c r="U74" s="529"/>
      <c r="V74" s="529"/>
      <c r="W74" s="529"/>
      <c r="X74" s="530"/>
      <c r="Y74" s="530"/>
      <c r="Z74" s="530"/>
      <c r="AA74" s="530"/>
      <c r="AB74" s="530"/>
      <c r="AC74" s="530"/>
      <c r="AD74" s="531"/>
      <c r="AF74" s="53"/>
    </row>
    <row r="75" spans="1:32" ht="30" customHeight="1">
      <c r="A75" s="524">
        <f t="shared" ref="A75:A81" si="13">A74+1</f>
        <v>3</v>
      </c>
      <c r="B75" s="525"/>
      <c r="C75" s="208" t="s">
        <v>133</v>
      </c>
      <c r="D75" s="208"/>
      <c r="E75" s="35" t="s">
        <v>131</v>
      </c>
      <c r="F75" s="525" t="s">
        <v>134</v>
      </c>
      <c r="G75" s="525"/>
      <c r="H75" s="525"/>
      <c r="I75" s="525"/>
      <c r="J75" s="525"/>
      <c r="K75" s="526" t="s">
        <v>119</v>
      </c>
      <c r="L75" s="527"/>
      <c r="M75" s="527"/>
      <c r="N75" s="527"/>
      <c r="O75" s="527"/>
      <c r="P75" s="527"/>
      <c r="Q75" s="527"/>
      <c r="R75" s="527"/>
      <c r="S75" s="528"/>
      <c r="T75" s="529">
        <v>42937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si="13"/>
        <v>4</v>
      </c>
      <c r="B76" s="525"/>
      <c r="C76" s="208" t="s">
        <v>118</v>
      </c>
      <c r="D76" s="208"/>
      <c r="E76" s="35" t="s">
        <v>129</v>
      </c>
      <c r="F76" s="525" t="s">
        <v>130</v>
      </c>
      <c r="G76" s="525"/>
      <c r="H76" s="525"/>
      <c r="I76" s="525"/>
      <c r="J76" s="525"/>
      <c r="K76" s="526" t="s">
        <v>132</v>
      </c>
      <c r="L76" s="527"/>
      <c r="M76" s="527"/>
      <c r="N76" s="527"/>
      <c r="O76" s="527"/>
      <c r="P76" s="527"/>
      <c r="Q76" s="527"/>
      <c r="R76" s="527"/>
      <c r="S76" s="528"/>
      <c r="T76" s="529">
        <v>42920</v>
      </c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13"/>
        <v>5</v>
      </c>
      <c r="B77" s="525"/>
      <c r="C77" s="208" t="s">
        <v>117</v>
      </c>
      <c r="D77" s="208"/>
      <c r="E77" s="35" t="s">
        <v>136</v>
      </c>
      <c r="F77" s="525" t="s">
        <v>156</v>
      </c>
      <c r="G77" s="525"/>
      <c r="H77" s="525"/>
      <c r="I77" s="525"/>
      <c r="J77" s="525"/>
      <c r="K77" s="526" t="s">
        <v>157</v>
      </c>
      <c r="L77" s="527"/>
      <c r="M77" s="527"/>
      <c r="N77" s="527"/>
      <c r="O77" s="527"/>
      <c r="P77" s="527"/>
      <c r="Q77" s="527"/>
      <c r="R77" s="527"/>
      <c r="S77" s="528"/>
      <c r="T77" s="529">
        <v>43033</v>
      </c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13"/>
        <v>6</v>
      </c>
      <c r="B78" s="525"/>
      <c r="C78" s="208"/>
      <c r="D78" s="208"/>
      <c r="E78" s="35"/>
      <c r="F78" s="525"/>
      <c r="G78" s="525"/>
      <c r="H78" s="525"/>
      <c r="I78" s="525"/>
      <c r="J78" s="525"/>
      <c r="K78" s="526"/>
      <c r="L78" s="527"/>
      <c r="M78" s="527"/>
      <c r="N78" s="527"/>
      <c r="O78" s="527"/>
      <c r="P78" s="527"/>
      <c r="Q78" s="527"/>
      <c r="R78" s="527"/>
      <c r="S78" s="528"/>
      <c r="T78" s="529"/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13"/>
        <v>7</v>
      </c>
      <c r="B79" s="525"/>
      <c r="C79" s="208"/>
      <c r="D79" s="208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13"/>
        <v>8</v>
      </c>
      <c r="B80" s="525"/>
      <c r="C80" s="208"/>
      <c r="D80" s="208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13"/>
        <v>9</v>
      </c>
      <c r="B81" s="525"/>
      <c r="C81" s="208"/>
      <c r="D81" s="208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6" thickBot="1">
      <c r="A82" s="517" t="s">
        <v>525</v>
      </c>
      <c r="B82" s="517"/>
      <c r="C82" s="517"/>
      <c r="D82" s="517"/>
      <c r="E82" s="51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518" t="s">
        <v>114</v>
      </c>
      <c r="B83" s="519"/>
      <c r="C83" s="545" t="s">
        <v>52</v>
      </c>
      <c r="D83" s="545"/>
      <c r="E83" s="545" t="s">
        <v>53</v>
      </c>
      <c r="F83" s="545"/>
      <c r="G83" s="545"/>
      <c r="H83" s="545"/>
      <c r="I83" s="545"/>
      <c r="J83" s="545"/>
      <c r="K83" s="545" t="s">
        <v>54</v>
      </c>
      <c r="L83" s="545"/>
      <c r="M83" s="545"/>
      <c r="N83" s="545"/>
      <c r="O83" s="545"/>
      <c r="P83" s="545"/>
      <c r="Q83" s="545"/>
      <c r="R83" s="545"/>
      <c r="S83" s="545"/>
      <c r="T83" s="545" t="s">
        <v>55</v>
      </c>
      <c r="U83" s="545"/>
      <c r="V83" s="545" t="s">
        <v>56</v>
      </c>
      <c r="W83" s="545"/>
      <c r="X83" s="545"/>
      <c r="Y83" s="545" t="s">
        <v>51</v>
      </c>
      <c r="Z83" s="545"/>
      <c r="AA83" s="545"/>
      <c r="AB83" s="545"/>
      <c r="AC83" s="545"/>
      <c r="AD83" s="546"/>
      <c r="AF83" s="53"/>
    </row>
    <row r="84" spans="1:32" ht="30.75" customHeight="1">
      <c r="A84" s="532">
        <v>1</v>
      </c>
      <c r="B84" s="533"/>
      <c r="C84" s="547"/>
      <c r="D84" s="547"/>
      <c r="E84" s="547"/>
      <c r="F84" s="547"/>
      <c r="G84" s="547"/>
      <c r="H84" s="547"/>
      <c r="I84" s="547"/>
      <c r="J84" s="547"/>
      <c r="K84" s="547"/>
      <c r="L84" s="547"/>
      <c r="M84" s="547"/>
      <c r="N84" s="547"/>
      <c r="O84" s="547"/>
      <c r="P84" s="547"/>
      <c r="Q84" s="547"/>
      <c r="R84" s="547"/>
      <c r="S84" s="547"/>
      <c r="T84" s="547"/>
      <c r="U84" s="547"/>
      <c r="V84" s="548"/>
      <c r="W84" s="548"/>
      <c r="X84" s="548"/>
      <c r="Y84" s="549"/>
      <c r="Z84" s="549"/>
      <c r="AA84" s="549"/>
      <c r="AB84" s="549"/>
      <c r="AC84" s="549"/>
      <c r="AD84" s="550"/>
      <c r="AF84" s="53"/>
    </row>
    <row r="85" spans="1:32" ht="30.75" customHeight="1">
      <c r="A85" s="524">
        <v>2</v>
      </c>
      <c r="B85" s="525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9"/>
      <c r="U85" s="559"/>
      <c r="V85" s="560"/>
      <c r="W85" s="560"/>
      <c r="X85" s="560"/>
      <c r="Y85" s="551"/>
      <c r="Z85" s="551"/>
      <c r="AA85" s="551"/>
      <c r="AB85" s="551"/>
      <c r="AC85" s="551"/>
      <c r="AD85" s="552"/>
      <c r="AF85" s="53"/>
    </row>
    <row r="86" spans="1:32" ht="30.75" customHeight="1" thickBot="1">
      <c r="A86" s="553">
        <v>3</v>
      </c>
      <c r="B86" s="554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6"/>
      <c r="Z86" s="556"/>
      <c r="AA86" s="556"/>
      <c r="AB86" s="556"/>
      <c r="AC86" s="556"/>
      <c r="AD86" s="55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7"/>
  <sheetViews>
    <sheetView topLeftCell="A43" zoomScale="72" zoomScaleNormal="72" zoomScaleSheetLayoutView="70" workbookViewId="0">
      <selection activeCell="A64" sqref="A64:XFD6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51" t="s">
        <v>526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52"/>
      <c r="B3" s="452"/>
      <c r="C3" s="452"/>
      <c r="D3" s="452"/>
      <c r="E3" s="452"/>
      <c r="F3" s="452"/>
      <c r="G3" s="4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53" t="s">
        <v>0</v>
      </c>
      <c r="B4" s="455" t="s">
        <v>1</v>
      </c>
      <c r="C4" s="455" t="s">
        <v>2</v>
      </c>
      <c r="D4" s="458" t="s">
        <v>3</v>
      </c>
      <c r="E4" s="460" t="s">
        <v>4</v>
      </c>
      <c r="F4" s="458" t="s">
        <v>5</v>
      </c>
      <c r="G4" s="455" t="s">
        <v>6</v>
      </c>
      <c r="H4" s="461" t="s">
        <v>7</v>
      </c>
      <c r="I4" s="482" t="s">
        <v>8</v>
      </c>
      <c r="J4" s="483"/>
      <c r="K4" s="483"/>
      <c r="L4" s="483"/>
      <c r="M4" s="483"/>
      <c r="N4" s="483"/>
      <c r="O4" s="484"/>
      <c r="P4" s="485" t="s">
        <v>9</v>
      </c>
      <c r="Q4" s="486"/>
      <c r="R4" s="487" t="s">
        <v>10</v>
      </c>
      <c r="S4" s="487"/>
      <c r="T4" s="487"/>
      <c r="U4" s="487"/>
      <c r="V4" s="487"/>
      <c r="W4" s="488" t="s">
        <v>11</v>
      </c>
      <c r="X4" s="487"/>
      <c r="Y4" s="487"/>
      <c r="Z4" s="487"/>
      <c r="AA4" s="489"/>
      <c r="AB4" s="490" t="s">
        <v>12</v>
      </c>
      <c r="AC4" s="463" t="s">
        <v>13</v>
      </c>
      <c r="AD4" s="463" t="s">
        <v>14</v>
      </c>
      <c r="AE4" s="58"/>
    </row>
    <row r="5" spans="1:32" ht="51" customHeight="1" thickBot="1">
      <c r="A5" s="454"/>
      <c r="B5" s="456"/>
      <c r="C5" s="457"/>
      <c r="D5" s="459"/>
      <c r="E5" s="459"/>
      <c r="F5" s="459"/>
      <c r="G5" s="456"/>
      <c r="H5" s="462"/>
      <c r="I5" s="59" t="s">
        <v>15</v>
      </c>
      <c r="J5" s="60" t="s">
        <v>16</v>
      </c>
      <c r="K5" s="221" t="s">
        <v>17</v>
      </c>
      <c r="L5" s="221" t="s">
        <v>18</v>
      </c>
      <c r="M5" s="221" t="s">
        <v>19</v>
      </c>
      <c r="N5" s="221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91"/>
      <c r="AC5" s="464"/>
      <c r="AD5" s="464"/>
      <c r="AE5" s="58"/>
    </row>
    <row r="6" spans="1:32" ht="27" customHeight="1">
      <c r="A6" s="108">
        <v>1</v>
      </c>
      <c r="B6" s="11" t="s">
        <v>149</v>
      </c>
      <c r="C6" s="37" t="s">
        <v>177</v>
      </c>
      <c r="D6" s="55" t="s">
        <v>190</v>
      </c>
      <c r="E6" s="57" t="s">
        <v>191</v>
      </c>
      <c r="F6" s="33" t="s">
        <v>184</v>
      </c>
      <c r="G6" s="12">
        <v>1</v>
      </c>
      <c r="H6" s="13">
        <v>25</v>
      </c>
      <c r="I6" s="34">
        <v>3000</v>
      </c>
      <c r="J6" s="5">
        <v>1030</v>
      </c>
      <c r="K6" s="15">
        <f>L6+1319+1024</f>
        <v>2343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0.7353509116584459</v>
      </c>
      <c r="AF6" s="94">
        <f t="shared" ref="AF6:AF21" si="8">A6</f>
        <v>1</v>
      </c>
    </row>
    <row r="7" spans="1:32" ht="27" customHeight="1">
      <c r="A7" s="108">
        <v>2</v>
      </c>
      <c r="B7" s="11" t="s">
        <v>149</v>
      </c>
      <c r="C7" s="37" t="s">
        <v>133</v>
      </c>
      <c r="D7" s="55" t="s">
        <v>527</v>
      </c>
      <c r="E7" s="57" t="s">
        <v>528</v>
      </c>
      <c r="F7" s="33" t="s">
        <v>529</v>
      </c>
      <c r="G7" s="12" t="s">
        <v>530</v>
      </c>
      <c r="H7" s="13">
        <v>25</v>
      </c>
      <c r="I7" s="34">
        <v>2000</v>
      </c>
      <c r="J7" s="5">
        <v>2010</v>
      </c>
      <c r="K7" s="15">
        <f>L7</f>
        <v>2010</v>
      </c>
      <c r="L7" s="15">
        <f>1485+525</f>
        <v>2010</v>
      </c>
      <c r="M7" s="16">
        <f t="shared" si="0"/>
        <v>2010</v>
      </c>
      <c r="N7" s="16">
        <v>0</v>
      </c>
      <c r="O7" s="62">
        <f t="shared" si="1"/>
        <v>0</v>
      </c>
      <c r="P7" s="42">
        <f t="shared" si="2"/>
        <v>11</v>
      </c>
      <c r="Q7" s="43">
        <f t="shared" si="3"/>
        <v>13</v>
      </c>
      <c r="R7" s="7"/>
      <c r="S7" s="6"/>
      <c r="T7" s="17"/>
      <c r="U7" s="17"/>
      <c r="V7" s="18"/>
      <c r="W7" s="19">
        <v>13</v>
      </c>
      <c r="X7" s="17"/>
      <c r="Y7" s="20"/>
      <c r="Z7" s="20"/>
      <c r="AA7" s="21"/>
      <c r="AB7" s="8">
        <f t="shared" si="4"/>
        <v>1</v>
      </c>
      <c r="AC7" s="9">
        <f t="shared" si="5"/>
        <v>0.45833333333333331</v>
      </c>
      <c r="AD7" s="10">
        <f t="shared" si="6"/>
        <v>0.45833333333333331</v>
      </c>
      <c r="AE7" s="39">
        <f t="shared" si="7"/>
        <v>0.7353509116584459</v>
      </c>
      <c r="AF7" s="94">
        <f t="shared" si="8"/>
        <v>2</v>
      </c>
    </row>
    <row r="8" spans="1:32" ht="27" customHeight="1">
      <c r="A8" s="109">
        <v>3</v>
      </c>
      <c r="B8" s="11" t="s">
        <v>58</v>
      </c>
      <c r="C8" s="11" t="s">
        <v>118</v>
      </c>
      <c r="D8" s="55" t="s">
        <v>164</v>
      </c>
      <c r="E8" s="56" t="s">
        <v>165</v>
      </c>
      <c r="F8" s="12" t="s">
        <v>135</v>
      </c>
      <c r="G8" s="12">
        <v>1</v>
      </c>
      <c r="H8" s="13">
        <v>25</v>
      </c>
      <c r="I8" s="34">
        <v>65000</v>
      </c>
      <c r="J8" s="14">
        <v>5440</v>
      </c>
      <c r="K8" s="15">
        <f>L8+452+3795+3955+5414+5383+3788+2222+5252+4546</f>
        <v>40246</v>
      </c>
      <c r="L8" s="15">
        <f>3322+2117</f>
        <v>5439</v>
      </c>
      <c r="M8" s="16">
        <f t="shared" si="0"/>
        <v>5439</v>
      </c>
      <c r="N8" s="16">
        <v>0</v>
      </c>
      <c r="O8" s="62">
        <f t="shared" si="1"/>
        <v>0</v>
      </c>
      <c r="P8" s="42">
        <f t="shared" si="2"/>
        <v>23</v>
      </c>
      <c r="Q8" s="43">
        <f t="shared" si="3"/>
        <v>1</v>
      </c>
      <c r="R8" s="7"/>
      <c r="S8" s="6">
        <v>1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0.99981617647058818</v>
      </c>
      <c r="AC8" s="9">
        <f t="shared" si="5"/>
        <v>0.95833333333333337</v>
      </c>
      <c r="AD8" s="10">
        <f t="shared" si="6"/>
        <v>0.95815716911764703</v>
      </c>
      <c r="AE8" s="39">
        <f t="shared" si="7"/>
        <v>0.7353509116584459</v>
      </c>
      <c r="AF8" s="94">
        <f>A8</f>
        <v>3</v>
      </c>
    </row>
    <row r="9" spans="1:32" ht="27" customHeight="1">
      <c r="A9" s="110">
        <v>4</v>
      </c>
      <c r="B9" s="11" t="s">
        <v>58</v>
      </c>
      <c r="C9" s="37" t="s">
        <v>118</v>
      </c>
      <c r="D9" s="55" t="s">
        <v>131</v>
      </c>
      <c r="E9" s="57" t="s">
        <v>139</v>
      </c>
      <c r="F9" s="33" t="s">
        <v>146</v>
      </c>
      <c r="G9" s="36">
        <v>1</v>
      </c>
      <c r="H9" s="38">
        <v>25</v>
      </c>
      <c r="I9" s="7">
        <v>45000</v>
      </c>
      <c r="J9" s="5">
        <v>5290</v>
      </c>
      <c r="K9" s="15">
        <f>L9+2660+5083+4690+2113+4827+1915+4846+2903</f>
        <v>34323</v>
      </c>
      <c r="L9" s="15">
        <f>2647+2639</f>
        <v>5286</v>
      </c>
      <c r="M9" s="16">
        <f t="shared" si="0"/>
        <v>5286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0.99924385633270318</v>
      </c>
      <c r="AC9" s="9">
        <f t="shared" si="5"/>
        <v>1</v>
      </c>
      <c r="AD9" s="10">
        <f t="shared" si="6"/>
        <v>0.99924385633270318</v>
      </c>
      <c r="AE9" s="39">
        <f t="shared" si="7"/>
        <v>0.7353509116584459</v>
      </c>
      <c r="AF9" s="94">
        <f t="shared" ref="AF9:AF10" si="9">A9</f>
        <v>4</v>
      </c>
    </row>
    <row r="10" spans="1:32" ht="27" customHeight="1">
      <c r="A10" s="110">
        <v>5</v>
      </c>
      <c r="B10" s="11" t="s">
        <v>58</v>
      </c>
      <c r="C10" s="11" t="s">
        <v>163</v>
      </c>
      <c r="D10" s="55" t="s">
        <v>167</v>
      </c>
      <c r="E10" s="57" t="s">
        <v>168</v>
      </c>
      <c r="F10" s="12" t="s">
        <v>147</v>
      </c>
      <c r="G10" s="12">
        <v>1</v>
      </c>
      <c r="H10" s="13">
        <v>25</v>
      </c>
      <c r="I10" s="34">
        <v>11000</v>
      </c>
      <c r="J10" s="14">
        <v>6030</v>
      </c>
      <c r="K10" s="15">
        <f>L10+2872+2740+5420</f>
        <v>17058</v>
      </c>
      <c r="L10" s="15">
        <f>3150+2876</f>
        <v>6026</v>
      </c>
      <c r="M10" s="16">
        <f t="shared" si="0"/>
        <v>6026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0.99933665008291872</v>
      </c>
      <c r="AC10" s="9">
        <f t="shared" si="5"/>
        <v>1</v>
      </c>
      <c r="AD10" s="10">
        <f t="shared" si="6"/>
        <v>0.99933665008291872</v>
      </c>
      <c r="AE10" s="39">
        <f t="shared" si="7"/>
        <v>0.7353509116584459</v>
      </c>
      <c r="AF10" s="94">
        <f t="shared" si="9"/>
        <v>5</v>
      </c>
    </row>
    <row r="11" spans="1:32" ht="27" customHeight="1">
      <c r="A11" s="110">
        <v>6</v>
      </c>
      <c r="B11" s="11" t="s">
        <v>58</v>
      </c>
      <c r="C11" s="11" t="s">
        <v>173</v>
      </c>
      <c r="D11" s="55" t="s">
        <v>129</v>
      </c>
      <c r="E11" s="57" t="s">
        <v>483</v>
      </c>
      <c r="F11" s="12" t="s">
        <v>148</v>
      </c>
      <c r="G11" s="12">
        <v>1</v>
      </c>
      <c r="H11" s="13">
        <v>25</v>
      </c>
      <c r="I11" s="34">
        <v>500</v>
      </c>
      <c r="J11" s="14">
        <v>650</v>
      </c>
      <c r="K11" s="15">
        <f>L11+650</f>
        <v>650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/>
      <c r="X11" s="17"/>
      <c r="Y11" s="20"/>
      <c r="Z11" s="20"/>
      <c r="AA11" s="21">
        <v>24</v>
      </c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0.7353509116584459</v>
      </c>
      <c r="AF11" s="94">
        <f t="shared" si="8"/>
        <v>6</v>
      </c>
    </row>
    <row r="12" spans="1:32" ht="27" customHeight="1">
      <c r="A12" s="110">
        <v>7</v>
      </c>
      <c r="B12" s="11" t="s">
        <v>58</v>
      </c>
      <c r="C12" s="11" t="s">
        <v>118</v>
      </c>
      <c r="D12" s="55" t="s">
        <v>57</v>
      </c>
      <c r="E12" s="57" t="s">
        <v>160</v>
      </c>
      <c r="F12" s="12" t="s">
        <v>145</v>
      </c>
      <c r="G12" s="12">
        <v>1</v>
      </c>
      <c r="H12" s="13">
        <v>25</v>
      </c>
      <c r="I12" s="7">
        <v>62000</v>
      </c>
      <c r="J12" s="14">
        <v>2940</v>
      </c>
      <c r="K12" s="15">
        <f>L12+3062+3955+2262+4171+4492+4201+2422+2930+4783+1827+2695+1564</f>
        <v>41298</v>
      </c>
      <c r="L12" s="15">
        <f>2029+905</f>
        <v>2934</v>
      </c>
      <c r="M12" s="16">
        <f t="shared" si="0"/>
        <v>2934</v>
      </c>
      <c r="N12" s="16">
        <v>0</v>
      </c>
      <c r="O12" s="62">
        <f t="shared" si="1"/>
        <v>0</v>
      </c>
      <c r="P12" s="42">
        <f t="shared" si="2"/>
        <v>15</v>
      </c>
      <c r="Q12" s="43">
        <f t="shared" si="3"/>
        <v>9</v>
      </c>
      <c r="R12" s="7">
        <v>5</v>
      </c>
      <c r="S12" s="6">
        <v>4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0.99795918367346936</v>
      </c>
      <c r="AC12" s="9">
        <f t="shared" si="5"/>
        <v>0.625</v>
      </c>
      <c r="AD12" s="10">
        <f t="shared" si="6"/>
        <v>0.62372448979591832</v>
      </c>
      <c r="AE12" s="39">
        <f t="shared" si="7"/>
        <v>0.7353509116584459</v>
      </c>
      <c r="AF12" s="94">
        <f t="shared" si="8"/>
        <v>7</v>
      </c>
    </row>
    <row r="13" spans="1:32" ht="27" customHeight="1">
      <c r="A13" s="110">
        <v>8</v>
      </c>
      <c r="B13" s="11" t="s">
        <v>58</v>
      </c>
      <c r="C13" s="11" t="s">
        <v>173</v>
      </c>
      <c r="D13" s="55" t="s">
        <v>533</v>
      </c>
      <c r="E13" s="57" t="s">
        <v>531</v>
      </c>
      <c r="F13" s="12" t="s">
        <v>532</v>
      </c>
      <c r="G13" s="12">
        <v>1</v>
      </c>
      <c r="H13" s="13">
        <v>25</v>
      </c>
      <c r="I13" s="7">
        <v>500</v>
      </c>
      <c r="J13" s="14">
        <v>690</v>
      </c>
      <c r="K13" s="15">
        <f>L13</f>
        <v>690</v>
      </c>
      <c r="L13" s="15">
        <v>690</v>
      </c>
      <c r="M13" s="16">
        <f t="shared" si="0"/>
        <v>690</v>
      </c>
      <c r="N13" s="16">
        <v>0</v>
      </c>
      <c r="O13" s="62">
        <f t="shared" si="1"/>
        <v>0</v>
      </c>
      <c r="P13" s="42">
        <f t="shared" si="2"/>
        <v>6</v>
      </c>
      <c r="Q13" s="43">
        <f t="shared" si="3"/>
        <v>18</v>
      </c>
      <c r="R13" s="7"/>
      <c r="S13" s="6"/>
      <c r="T13" s="17"/>
      <c r="U13" s="17"/>
      <c r="V13" s="18"/>
      <c r="W13" s="19">
        <v>18</v>
      </c>
      <c r="X13" s="17"/>
      <c r="Y13" s="20"/>
      <c r="Z13" s="20"/>
      <c r="AA13" s="21"/>
      <c r="AB13" s="8">
        <f t="shared" si="4"/>
        <v>1</v>
      </c>
      <c r="AC13" s="9">
        <f t="shared" si="5"/>
        <v>0.25</v>
      </c>
      <c r="AD13" s="10">
        <f t="shared" si="6"/>
        <v>0.25</v>
      </c>
      <c r="AE13" s="39">
        <f t="shared" si="7"/>
        <v>0.7353509116584459</v>
      </c>
      <c r="AF13" s="94">
        <f t="shared" si="8"/>
        <v>8</v>
      </c>
    </row>
    <row r="14" spans="1:32" ht="27" customHeight="1">
      <c r="A14" s="110">
        <v>8</v>
      </c>
      <c r="B14" s="11" t="s">
        <v>58</v>
      </c>
      <c r="C14" s="11" t="s">
        <v>173</v>
      </c>
      <c r="D14" s="55" t="s">
        <v>534</v>
      </c>
      <c r="E14" s="57" t="s">
        <v>535</v>
      </c>
      <c r="F14" s="12" t="s">
        <v>536</v>
      </c>
      <c r="G14" s="12">
        <v>1</v>
      </c>
      <c r="H14" s="13">
        <v>25</v>
      </c>
      <c r="I14" s="7">
        <v>500</v>
      </c>
      <c r="J14" s="14">
        <v>910</v>
      </c>
      <c r="K14" s="15">
        <f>L14</f>
        <v>901</v>
      </c>
      <c r="L14" s="15">
        <v>901</v>
      </c>
      <c r="M14" s="16">
        <f t="shared" ref="M14" si="10">L14-N14</f>
        <v>901</v>
      </c>
      <c r="N14" s="16">
        <v>0</v>
      </c>
      <c r="O14" s="62">
        <f t="shared" ref="O14" si="11">IF(L14=0,"0",N14/L14)</f>
        <v>0</v>
      </c>
      <c r="P14" s="42">
        <f t="shared" ref="P14" si="12">IF(L14=0,"0",(24-Q14))</f>
        <v>7</v>
      </c>
      <c r="Q14" s="43">
        <f t="shared" ref="Q14" si="13">SUM(R14:AA14)</f>
        <v>17</v>
      </c>
      <c r="R14" s="7"/>
      <c r="S14" s="6"/>
      <c r="T14" s="17"/>
      <c r="U14" s="17"/>
      <c r="V14" s="18"/>
      <c r="W14" s="19">
        <v>17</v>
      </c>
      <c r="X14" s="17"/>
      <c r="Y14" s="20"/>
      <c r="Z14" s="20"/>
      <c r="AA14" s="21"/>
      <c r="AB14" s="8">
        <f t="shared" ref="AB14" si="14">IF(J14=0,"0",(L14/J14))</f>
        <v>0.99010989010989015</v>
      </c>
      <c r="AC14" s="9">
        <f t="shared" ref="AC14" si="15">IF(P14=0,"0",(P14/24))</f>
        <v>0.29166666666666669</v>
      </c>
      <c r="AD14" s="10">
        <f t="shared" ref="AD14" si="16">AC14*AB14*(1-O14)</f>
        <v>0.28878205128205131</v>
      </c>
      <c r="AE14" s="39">
        <f t="shared" si="7"/>
        <v>0.7353509116584459</v>
      </c>
      <c r="AF14" s="94">
        <f t="shared" ref="AF14" si="17">A14</f>
        <v>8</v>
      </c>
    </row>
    <row r="15" spans="1:32" ht="27" customHeight="1">
      <c r="A15" s="109">
        <v>9</v>
      </c>
      <c r="B15" s="11" t="s">
        <v>149</v>
      </c>
      <c r="C15" s="37" t="s">
        <v>163</v>
      </c>
      <c r="D15" s="55" t="s">
        <v>190</v>
      </c>
      <c r="E15" s="57" t="s">
        <v>436</v>
      </c>
      <c r="F15" s="33" t="s">
        <v>437</v>
      </c>
      <c r="G15" s="36">
        <v>1</v>
      </c>
      <c r="H15" s="38">
        <v>25</v>
      </c>
      <c r="I15" s="7">
        <v>11000</v>
      </c>
      <c r="J15" s="5">
        <v>4270</v>
      </c>
      <c r="K15" s="15">
        <f>L15+2030+3617</f>
        <v>9908</v>
      </c>
      <c r="L15" s="15">
        <f>1826+2435</f>
        <v>4261</v>
      </c>
      <c r="M15" s="16">
        <f t="shared" si="0"/>
        <v>4261</v>
      </c>
      <c r="N15" s="16">
        <v>0</v>
      </c>
      <c r="O15" s="62">
        <f t="shared" si="1"/>
        <v>0</v>
      </c>
      <c r="P15" s="42">
        <f t="shared" si="2"/>
        <v>22</v>
      </c>
      <c r="Q15" s="43">
        <f t="shared" si="3"/>
        <v>2</v>
      </c>
      <c r="R15" s="7">
        <v>2</v>
      </c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0.99789227166276351</v>
      </c>
      <c r="AC15" s="9">
        <f t="shared" si="5"/>
        <v>0.91666666666666663</v>
      </c>
      <c r="AD15" s="10">
        <f t="shared" si="6"/>
        <v>0.91473458235753313</v>
      </c>
      <c r="AE15" s="39">
        <f t="shared" si="7"/>
        <v>0.7353509116584459</v>
      </c>
      <c r="AF15" s="94">
        <f t="shared" si="8"/>
        <v>9</v>
      </c>
    </row>
    <row r="16" spans="1:32" ht="27" customHeight="1">
      <c r="A16" s="109">
        <v>10</v>
      </c>
      <c r="B16" s="11" t="s">
        <v>149</v>
      </c>
      <c r="C16" s="11" t="s">
        <v>195</v>
      </c>
      <c r="D16" s="55" t="s">
        <v>420</v>
      </c>
      <c r="E16" s="57" t="s">
        <v>421</v>
      </c>
      <c r="F16" s="12">
        <v>8301</v>
      </c>
      <c r="G16" s="12">
        <v>1</v>
      </c>
      <c r="H16" s="13">
        <v>20</v>
      </c>
      <c r="I16" s="34">
        <v>21000</v>
      </c>
      <c r="J16" s="14">
        <v>4910</v>
      </c>
      <c r="K16" s="15">
        <f>L16+2754+4879</f>
        <v>12535</v>
      </c>
      <c r="L16" s="15">
        <f>2508+2394</f>
        <v>4902</v>
      </c>
      <c r="M16" s="16">
        <f t="shared" si="0"/>
        <v>4902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0.99837067209775965</v>
      </c>
      <c r="AC16" s="9">
        <f t="shared" si="5"/>
        <v>1</v>
      </c>
      <c r="AD16" s="10">
        <f t="shared" si="6"/>
        <v>0.99837067209775965</v>
      </c>
      <c r="AE16" s="39">
        <f t="shared" si="7"/>
        <v>0.7353509116584459</v>
      </c>
      <c r="AF16" s="94">
        <f t="shared" si="8"/>
        <v>10</v>
      </c>
    </row>
    <row r="17" spans="1:36" ht="27.75" customHeight="1">
      <c r="A17" s="109">
        <v>11</v>
      </c>
      <c r="B17" s="11" t="s">
        <v>149</v>
      </c>
      <c r="C17" s="11" t="s">
        <v>163</v>
      </c>
      <c r="D17" s="55" t="s">
        <v>196</v>
      </c>
      <c r="E17" s="56" t="s">
        <v>277</v>
      </c>
      <c r="F17" s="12" t="s">
        <v>248</v>
      </c>
      <c r="G17" s="36">
        <v>1</v>
      </c>
      <c r="H17" s="38">
        <v>25</v>
      </c>
      <c r="I17" s="7">
        <v>11000</v>
      </c>
      <c r="J17" s="14">
        <v>3830</v>
      </c>
      <c r="K17" s="15">
        <f>L17+2667+5460</f>
        <v>11957</v>
      </c>
      <c r="L17" s="15">
        <f>2934+896</f>
        <v>3830</v>
      </c>
      <c r="M17" s="16">
        <f t="shared" si="0"/>
        <v>3830</v>
      </c>
      <c r="N17" s="16">
        <v>0</v>
      </c>
      <c r="O17" s="62">
        <f t="shared" si="1"/>
        <v>0</v>
      </c>
      <c r="P17" s="42">
        <f t="shared" si="2"/>
        <v>18</v>
      </c>
      <c r="Q17" s="43">
        <f t="shared" si="3"/>
        <v>6</v>
      </c>
      <c r="R17" s="7"/>
      <c r="S17" s="6"/>
      <c r="T17" s="17"/>
      <c r="U17" s="17"/>
      <c r="V17" s="18"/>
      <c r="W17" s="19">
        <v>6</v>
      </c>
      <c r="X17" s="17"/>
      <c r="Y17" s="20"/>
      <c r="Z17" s="20"/>
      <c r="AA17" s="21"/>
      <c r="AB17" s="8">
        <f t="shared" si="4"/>
        <v>1</v>
      </c>
      <c r="AC17" s="9">
        <f t="shared" si="5"/>
        <v>0.75</v>
      </c>
      <c r="AD17" s="10">
        <f t="shared" si="6"/>
        <v>0.75</v>
      </c>
      <c r="AE17" s="39">
        <f t="shared" si="7"/>
        <v>0.7353509116584459</v>
      </c>
      <c r="AF17" s="94">
        <f>A17</f>
        <v>11</v>
      </c>
      <c r="AJ17" s="15"/>
    </row>
    <row r="18" spans="1:36" ht="27" customHeight="1">
      <c r="A18" s="109">
        <v>12</v>
      </c>
      <c r="B18" s="11" t="s">
        <v>149</v>
      </c>
      <c r="C18" s="37" t="s">
        <v>195</v>
      </c>
      <c r="D18" s="55" t="s">
        <v>399</v>
      </c>
      <c r="E18" s="56" t="s">
        <v>369</v>
      </c>
      <c r="F18" s="12">
        <v>8301</v>
      </c>
      <c r="G18" s="12">
        <v>1</v>
      </c>
      <c r="H18" s="13">
        <v>25</v>
      </c>
      <c r="I18" s="34">
        <v>14000</v>
      </c>
      <c r="J18" s="5">
        <v>4170</v>
      </c>
      <c r="K18" s="15">
        <f>L18+1388+5172+5128</f>
        <v>15856</v>
      </c>
      <c r="L18" s="15">
        <f>3185+983</f>
        <v>4168</v>
      </c>
      <c r="M18" s="16">
        <f t="shared" si="0"/>
        <v>4168</v>
      </c>
      <c r="N18" s="16">
        <v>0</v>
      </c>
      <c r="O18" s="62">
        <f t="shared" si="1"/>
        <v>0</v>
      </c>
      <c r="P18" s="42">
        <f t="shared" si="2"/>
        <v>21</v>
      </c>
      <c r="Q18" s="43">
        <f t="shared" si="3"/>
        <v>3</v>
      </c>
      <c r="R18" s="7"/>
      <c r="S18" s="6">
        <v>3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0.99952038369304552</v>
      </c>
      <c r="AC18" s="9">
        <f t="shared" si="5"/>
        <v>0.875</v>
      </c>
      <c r="AD18" s="10">
        <f t="shared" si="6"/>
        <v>0.8745803357314148</v>
      </c>
      <c r="AE18" s="39">
        <f t="shared" si="7"/>
        <v>0.7353509116584459</v>
      </c>
      <c r="AF18" s="94">
        <f t="shared" ref="AF18" si="18">A18</f>
        <v>12</v>
      </c>
    </row>
    <row r="19" spans="1:36" ht="27" customHeight="1">
      <c r="A19" s="110">
        <v>13</v>
      </c>
      <c r="B19" s="11" t="s">
        <v>58</v>
      </c>
      <c r="C19" s="37" t="s">
        <v>118</v>
      </c>
      <c r="D19" s="55" t="s">
        <v>131</v>
      </c>
      <c r="E19" s="57" t="s">
        <v>158</v>
      </c>
      <c r="F19" s="33" t="s">
        <v>142</v>
      </c>
      <c r="G19" s="36">
        <v>1</v>
      </c>
      <c r="H19" s="38">
        <v>25</v>
      </c>
      <c r="I19" s="7">
        <v>62000</v>
      </c>
      <c r="J19" s="5">
        <v>5180</v>
      </c>
      <c r="K19" s="15">
        <f>L19+2232+4609+1982+1137+3270+2188+1609+3870+5108+3013+1873+2963+4922</f>
        <v>43952</v>
      </c>
      <c r="L19" s="15">
        <f>2791+2385</f>
        <v>5176</v>
      </c>
      <c r="M19" s="16">
        <f t="shared" si="0"/>
        <v>5176</v>
      </c>
      <c r="N19" s="16">
        <v>0</v>
      </c>
      <c r="O19" s="62">
        <f t="shared" si="1"/>
        <v>0</v>
      </c>
      <c r="P19" s="42">
        <f t="shared" si="2"/>
        <v>23</v>
      </c>
      <c r="Q19" s="43">
        <f t="shared" si="3"/>
        <v>1</v>
      </c>
      <c r="R19" s="7"/>
      <c r="S19" s="6">
        <v>1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0.99922779922779925</v>
      </c>
      <c r="AC19" s="9">
        <f t="shared" si="5"/>
        <v>0.95833333333333337</v>
      </c>
      <c r="AD19" s="10">
        <f t="shared" si="6"/>
        <v>0.95759330759330763</v>
      </c>
      <c r="AE19" s="39">
        <f t="shared" si="7"/>
        <v>0.7353509116584459</v>
      </c>
      <c r="AF19" s="94">
        <f t="shared" si="8"/>
        <v>13</v>
      </c>
    </row>
    <row r="20" spans="1:36" ht="27" customHeight="1">
      <c r="A20" s="110">
        <v>14</v>
      </c>
      <c r="B20" s="11" t="s">
        <v>58</v>
      </c>
      <c r="C20" s="11" t="s">
        <v>151</v>
      </c>
      <c r="D20" s="55" t="s">
        <v>533</v>
      </c>
      <c r="E20" s="56" t="s">
        <v>537</v>
      </c>
      <c r="F20" s="12" t="s">
        <v>538</v>
      </c>
      <c r="G20" s="12">
        <v>1</v>
      </c>
      <c r="H20" s="38">
        <v>25</v>
      </c>
      <c r="I20" s="34">
        <v>12000</v>
      </c>
      <c r="J20" s="5">
        <v>9490</v>
      </c>
      <c r="K20" s="15">
        <f>L20</f>
        <v>9482</v>
      </c>
      <c r="L20" s="15">
        <f>1958*2+2783*2</f>
        <v>9482</v>
      </c>
      <c r="M20" s="16">
        <f t="shared" si="0"/>
        <v>9482</v>
      </c>
      <c r="N20" s="16">
        <v>0</v>
      </c>
      <c r="O20" s="62">
        <f t="shared" si="1"/>
        <v>0</v>
      </c>
      <c r="P20" s="42">
        <f t="shared" si="2"/>
        <v>23</v>
      </c>
      <c r="Q20" s="43">
        <f t="shared" si="3"/>
        <v>1</v>
      </c>
      <c r="R20" s="7"/>
      <c r="S20" s="6"/>
      <c r="T20" s="17">
        <v>1</v>
      </c>
      <c r="U20" s="17"/>
      <c r="V20" s="18"/>
      <c r="W20" s="19"/>
      <c r="X20" s="17"/>
      <c r="Y20" s="20"/>
      <c r="Z20" s="20"/>
      <c r="AA20" s="21"/>
      <c r="AB20" s="8">
        <f t="shared" si="4"/>
        <v>0.99915700737618551</v>
      </c>
      <c r="AC20" s="9">
        <f t="shared" si="5"/>
        <v>0.95833333333333337</v>
      </c>
      <c r="AD20" s="10">
        <f t="shared" si="6"/>
        <v>0.95752546540217787</v>
      </c>
      <c r="AE20" s="39">
        <f t="shared" si="7"/>
        <v>0.7353509116584459</v>
      </c>
      <c r="AF20" s="94">
        <f t="shared" si="8"/>
        <v>14</v>
      </c>
    </row>
    <row r="21" spans="1:36" ht="27" customHeight="1" thickBot="1">
      <c r="A21" s="110">
        <v>15</v>
      </c>
      <c r="B21" s="11" t="s">
        <v>58</v>
      </c>
      <c r="C21" s="11" t="s">
        <v>115</v>
      </c>
      <c r="D21" s="55"/>
      <c r="E21" s="56" t="s">
        <v>250</v>
      </c>
      <c r="F21" s="12" t="s">
        <v>116</v>
      </c>
      <c r="G21" s="12">
        <v>4</v>
      </c>
      <c r="H21" s="38">
        <v>15</v>
      </c>
      <c r="I21" s="7">
        <v>300000</v>
      </c>
      <c r="J21" s="14">
        <v>67660</v>
      </c>
      <c r="K21" s="15">
        <f>L21+35456+63764+63820+27408+58684+66568</f>
        <v>383352</v>
      </c>
      <c r="L21" s="15">
        <f>8673*4+8240*4</f>
        <v>67652</v>
      </c>
      <c r="M21" s="16">
        <f t="shared" si="0"/>
        <v>67652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0.99988176174992605</v>
      </c>
      <c r="AC21" s="9">
        <f t="shared" si="5"/>
        <v>1</v>
      </c>
      <c r="AD21" s="10">
        <f t="shared" si="6"/>
        <v>0.99988176174992605</v>
      </c>
      <c r="AE21" s="39">
        <f t="shared" si="7"/>
        <v>0.7353509116584459</v>
      </c>
      <c r="AF21" s="94">
        <f t="shared" si="8"/>
        <v>15</v>
      </c>
    </row>
    <row r="22" spans="1:36" ht="31.5" customHeight="1" thickBot="1">
      <c r="A22" s="465" t="s">
        <v>34</v>
      </c>
      <c r="B22" s="466"/>
      <c r="C22" s="466"/>
      <c r="D22" s="466"/>
      <c r="E22" s="466"/>
      <c r="F22" s="466"/>
      <c r="G22" s="466"/>
      <c r="H22" s="467"/>
      <c r="I22" s="25">
        <f t="shared" ref="I22:N22" si="19">SUM(I6:I21)</f>
        <v>620500</v>
      </c>
      <c r="J22" s="22">
        <f t="shared" si="19"/>
        <v>124500</v>
      </c>
      <c r="K22" s="23">
        <f t="shared" si="19"/>
        <v>626561</v>
      </c>
      <c r="L22" s="24">
        <f t="shared" si="19"/>
        <v>122757</v>
      </c>
      <c r="M22" s="23">
        <f t="shared" si="19"/>
        <v>122757</v>
      </c>
      <c r="N22" s="24">
        <f t="shared" si="19"/>
        <v>0</v>
      </c>
      <c r="O22" s="44">
        <f t="shared" si="1"/>
        <v>0</v>
      </c>
      <c r="P22" s="45">
        <f t="shared" ref="P22:AA22" si="20">SUM(P6:P21)</f>
        <v>265</v>
      </c>
      <c r="Q22" s="46">
        <f t="shared" si="20"/>
        <v>119</v>
      </c>
      <c r="R22" s="26">
        <f t="shared" si="20"/>
        <v>31</v>
      </c>
      <c r="S22" s="27">
        <f t="shared" si="20"/>
        <v>9</v>
      </c>
      <c r="T22" s="27">
        <f t="shared" si="20"/>
        <v>1</v>
      </c>
      <c r="U22" s="27">
        <f t="shared" si="20"/>
        <v>0</v>
      </c>
      <c r="V22" s="28">
        <f t="shared" si="20"/>
        <v>0</v>
      </c>
      <c r="W22" s="29">
        <f t="shared" si="20"/>
        <v>54</v>
      </c>
      <c r="X22" s="30">
        <f t="shared" si="20"/>
        <v>0</v>
      </c>
      <c r="Y22" s="30">
        <f t="shared" si="20"/>
        <v>0</v>
      </c>
      <c r="Z22" s="30">
        <f t="shared" si="20"/>
        <v>0</v>
      </c>
      <c r="AA22" s="30">
        <f t="shared" si="20"/>
        <v>24</v>
      </c>
      <c r="AB22" s="31">
        <f>SUM(AB6:AB21)/15</f>
        <v>0.93203437683180324</v>
      </c>
      <c r="AC22" s="4">
        <f>SUM(AC6:AC21)/15</f>
        <v>0.73611111111111116</v>
      </c>
      <c r="AD22" s="4">
        <f>SUM(AD6:AD21)/15</f>
        <v>0.7353509116584459</v>
      </c>
      <c r="AE22" s="32"/>
    </row>
    <row r="24" spans="1:36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6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6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6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6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6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6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68" t="s">
        <v>45</v>
      </c>
      <c r="B49" s="468"/>
      <c r="C49" s="468"/>
      <c r="D49" s="468"/>
      <c r="E49" s="468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69" t="s">
        <v>539</v>
      </c>
      <c r="B50" s="470"/>
      <c r="C50" s="470"/>
      <c r="D50" s="470"/>
      <c r="E50" s="470"/>
      <c r="F50" s="470"/>
      <c r="G50" s="470"/>
      <c r="H50" s="470"/>
      <c r="I50" s="470"/>
      <c r="J50" s="470"/>
      <c r="K50" s="470"/>
      <c r="L50" s="470"/>
      <c r="M50" s="471"/>
      <c r="N50" s="472" t="s">
        <v>550</v>
      </c>
      <c r="O50" s="473"/>
      <c r="P50" s="473"/>
      <c r="Q50" s="473"/>
      <c r="R50" s="473"/>
      <c r="S50" s="473"/>
      <c r="T50" s="473"/>
      <c r="U50" s="473"/>
      <c r="V50" s="473"/>
      <c r="W50" s="473"/>
      <c r="X50" s="473"/>
      <c r="Y50" s="473"/>
      <c r="Z50" s="473"/>
      <c r="AA50" s="473"/>
      <c r="AB50" s="473"/>
      <c r="AC50" s="473"/>
      <c r="AD50" s="474"/>
    </row>
    <row r="51" spans="1:32" ht="27" customHeight="1">
      <c r="A51" s="475" t="s">
        <v>2</v>
      </c>
      <c r="B51" s="476"/>
      <c r="C51" s="220" t="s">
        <v>46</v>
      </c>
      <c r="D51" s="220" t="s">
        <v>47</v>
      </c>
      <c r="E51" s="220" t="s">
        <v>109</v>
      </c>
      <c r="F51" s="476" t="s">
        <v>108</v>
      </c>
      <c r="G51" s="476"/>
      <c r="H51" s="476"/>
      <c r="I51" s="476"/>
      <c r="J51" s="476"/>
      <c r="K51" s="476"/>
      <c r="L51" s="476"/>
      <c r="M51" s="477"/>
      <c r="N51" s="73" t="s">
        <v>113</v>
      </c>
      <c r="O51" s="220" t="s">
        <v>46</v>
      </c>
      <c r="P51" s="478" t="s">
        <v>47</v>
      </c>
      <c r="Q51" s="479"/>
      <c r="R51" s="478" t="s">
        <v>38</v>
      </c>
      <c r="S51" s="480"/>
      <c r="T51" s="480"/>
      <c r="U51" s="479"/>
      <c r="V51" s="478" t="s">
        <v>48</v>
      </c>
      <c r="W51" s="480"/>
      <c r="X51" s="480"/>
      <c r="Y51" s="480"/>
      <c r="Z51" s="480"/>
      <c r="AA51" s="480"/>
      <c r="AB51" s="480"/>
      <c r="AC51" s="480"/>
      <c r="AD51" s="481"/>
    </row>
    <row r="52" spans="1:32" ht="27" customHeight="1">
      <c r="A52" s="492" t="s">
        <v>118</v>
      </c>
      <c r="B52" s="493"/>
      <c r="C52" s="219" t="s">
        <v>489</v>
      </c>
      <c r="D52" s="216" t="s">
        <v>540</v>
      </c>
      <c r="E52" s="219" t="s">
        <v>541</v>
      </c>
      <c r="F52" s="494" t="s">
        <v>150</v>
      </c>
      <c r="G52" s="494"/>
      <c r="H52" s="494"/>
      <c r="I52" s="494"/>
      <c r="J52" s="494"/>
      <c r="K52" s="494"/>
      <c r="L52" s="494"/>
      <c r="M52" s="495"/>
      <c r="N52" s="215" t="s">
        <v>551</v>
      </c>
      <c r="O52" s="74" t="s">
        <v>370</v>
      </c>
      <c r="P52" s="496" t="s">
        <v>552</v>
      </c>
      <c r="Q52" s="497"/>
      <c r="R52" s="498" t="s">
        <v>553</v>
      </c>
      <c r="S52" s="498"/>
      <c r="T52" s="498"/>
      <c r="U52" s="498"/>
      <c r="V52" s="494" t="s">
        <v>503</v>
      </c>
      <c r="W52" s="494"/>
      <c r="X52" s="494"/>
      <c r="Y52" s="494"/>
      <c r="Z52" s="494"/>
      <c r="AA52" s="494"/>
      <c r="AB52" s="494"/>
      <c r="AC52" s="494"/>
      <c r="AD52" s="495"/>
    </row>
    <row r="53" spans="1:32" ht="27" customHeight="1">
      <c r="A53" s="492" t="s">
        <v>118</v>
      </c>
      <c r="B53" s="493"/>
      <c r="C53" s="219" t="s">
        <v>489</v>
      </c>
      <c r="D53" s="216" t="s">
        <v>542</v>
      </c>
      <c r="E53" s="219" t="s">
        <v>543</v>
      </c>
      <c r="F53" s="494" t="s">
        <v>150</v>
      </c>
      <c r="G53" s="494"/>
      <c r="H53" s="494"/>
      <c r="I53" s="494"/>
      <c r="J53" s="494"/>
      <c r="K53" s="494"/>
      <c r="L53" s="494"/>
      <c r="M53" s="495"/>
      <c r="N53" s="215" t="s">
        <v>173</v>
      </c>
      <c r="O53" s="74" t="s">
        <v>554</v>
      </c>
      <c r="P53" s="496" t="s">
        <v>555</v>
      </c>
      <c r="Q53" s="497"/>
      <c r="R53" s="498" t="s">
        <v>556</v>
      </c>
      <c r="S53" s="498"/>
      <c r="T53" s="498"/>
      <c r="U53" s="498"/>
      <c r="V53" s="494" t="s">
        <v>150</v>
      </c>
      <c r="W53" s="494"/>
      <c r="X53" s="494"/>
      <c r="Y53" s="494"/>
      <c r="Z53" s="494"/>
      <c r="AA53" s="494"/>
      <c r="AB53" s="494"/>
      <c r="AC53" s="494"/>
      <c r="AD53" s="495"/>
    </row>
    <row r="54" spans="1:32" ht="27" customHeight="1">
      <c r="A54" s="492" t="s">
        <v>173</v>
      </c>
      <c r="B54" s="493"/>
      <c r="C54" s="219" t="s">
        <v>267</v>
      </c>
      <c r="D54" s="216" t="s">
        <v>196</v>
      </c>
      <c r="E54" s="219" t="s">
        <v>160</v>
      </c>
      <c r="F54" s="494" t="s">
        <v>544</v>
      </c>
      <c r="G54" s="494"/>
      <c r="H54" s="494"/>
      <c r="I54" s="494"/>
      <c r="J54" s="494"/>
      <c r="K54" s="494"/>
      <c r="L54" s="494"/>
      <c r="M54" s="495"/>
      <c r="N54" s="215" t="s">
        <v>118</v>
      </c>
      <c r="O54" s="74" t="s">
        <v>507</v>
      </c>
      <c r="P54" s="496" t="s">
        <v>557</v>
      </c>
      <c r="Q54" s="497"/>
      <c r="R54" s="498" t="s">
        <v>558</v>
      </c>
      <c r="S54" s="498"/>
      <c r="T54" s="498"/>
      <c r="U54" s="498"/>
      <c r="V54" s="494" t="s">
        <v>559</v>
      </c>
      <c r="W54" s="494"/>
      <c r="X54" s="494"/>
      <c r="Y54" s="494"/>
      <c r="Z54" s="494"/>
      <c r="AA54" s="494"/>
      <c r="AB54" s="494"/>
      <c r="AC54" s="494"/>
      <c r="AD54" s="495"/>
    </row>
    <row r="55" spans="1:32" ht="27" customHeight="1">
      <c r="A55" s="492" t="s">
        <v>545</v>
      </c>
      <c r="B55" s="493"/>
      <c r="C55" s="219" t="s">
        <v>546</v>
      </c>
      <c r="D55" s="216" t="s">
        <v>547</v>
      </c>
      <c r="E55" s="219" t="s">
        <v>548</v>
      </c>
      <c r="F55" s="494" t="s">
        <v>549</v>
      </c>
      <c r="G55" s="494"/>
      <c r="H55" s="494"/>
      <c r="I55" s="494"/>
      <c r="J55" s="494"/>
      <c r="K55" s="494"/>
      <c r="L55" s="494"/>
      <c r="M55" s="495"/>
      <c r="N55" s="215" t="s">
        <v>173</v>
      </c>
      <c r="O55" s="74" t="s">
        <v>511</v>
      </c>
      <c r="P55" s="496" t="s">
        <v>57</v>
      </c>
      <c r="Q55" s="497"/>
      <c r="R55" s="498" t="s">
        <v>510</v>
      </c>
      <c r="S55" s="498"/>
      <c r="T55" s="498"/>
      <c r="U55" s="498"/>
      <c r="V55" s="494" t="s">
        <v>560</v>
      </c>
      <c r="W55" s="494"/>
      <c r="X55" s="494"/>
      <c r="Y55" s="494"/>
      <c r="Z55" s="494"/>
      <c r="AA55" s="494"/>
      <c r="AB55" s="494"/>
      <c r="AC55" s="494"/>
      <c r="AD55" s="495"/>
    </row>
    <row r="56" spans="1:32" ht="27" customHeight="1">
      <c r="A56" s="492"/>
      <c r="B56" s="493"/>
      <c r="C56" s="219"/>
      <c r="D56" s="216"/>
      <c r="E56" s="219"/>
      <c r="F56" s="494"/>
      <c r="G56" s="494"/>
      <c r="H56" s="494"/>
      <c r="I56" s="494"/>
      <c r="J56" s="494"/>
      <c r="K56" s="494"/>
      <c r="L56" s="494"/>
      <c r="M56" s="495"/>
      <c r="N56" s="215"/>
      <c r="O56" s="74"/>
      <c r="P56" s="496"/>
      <c r="Q56" s="497"/>
      <c r="R56" s="498"/>
      <c r="S56" s="498"/>
      <c r="T56" s="498"/>
      <c r="U56" s="498"/>
      <c r="V56" s="494"/>
      <c r="W56" s="494"/>
      <c r="X56" s="494"/>
      <c r="Y56" s="494"/>
      <c r="Z56" s="494"/>
      <c r="AA56" s="494"/>
      <c r="AB56" s="494"/>
      <c r="AC56" s="494"/>
      <c r="AD56" s="495"/>
    </row>
    <row r="57" spans="1:32" ht="27" customHeight="1">
      <c r="A57" s="492"/>
      <c r="B57" s="493"/>
      <c r="C57" s="219"/>
      <c r="D57" s="216"/>
      <c r="E57" s="219"/>
      <c r="F57" s="494"/>
      <c r="G57" s="494"/>
      <c r="H57" s="494"/>
      <c r="I57" s="494"/>
      <c r="J57" s="494"/>
      <c r="K57" s="494"/>
      <c r="L57" s="494"/>
      <c r="M57" s="495"/>
      <c r="N57" s="215"/>
      <c r="O57" s="74"/>
      <c r="P57" s="498"/>
      <c r="Q57" s="498"/>
      <c r="R57" s="498"/>
      <c r="S57" s="498"/>
      <c r="T57" s="498"/>
      <c r="U57" s="498"/>
      <c r="V57" s="494"/>
      <c r="W57" s="494"/>
      <c r="X57" s="494"/>
      <c r="Y57" s="494"/>
      <c r="Z57" s="494"/>
      <c r="AA57" s="494"/>
      <c r="AB57" s="494"/>
      <c r="AC57" s="494"/>
      <c r="AD57" s="495"/>
    </row>
    <row r="58" spans="1:32" ht="27" customHeight="1">
      <c r="A58" s="492"/>
      <c r="B58" s="493"/>
      <c r="C58" s="219"/>
      <c r="D58" s="216"/>
      <c r="E58" s="219"/>
      <c r="F58" s="494"/>
      <c r="G58" s="494"/>
      <c r="H58" s="494"/>
      <c r="I58" s="494"/>
      <c r="J58" s="494"/>
      <c r="K58" s="494"/>
      <c r="L58" s="494"/>
      <c r="M58" s="495"/>
      <c r="N58" s="215"/>
      <c r="O58" s="74"/>
      <c r="P58" s="496"/>
      <c r="Q58" s="497"/>
      <c r="R58" s="498"/>
      <c r="S58" s="498"/>
      <c r="T58" s="498"/>
      <c r="U58" s="498"/>
      <c r="V58" s="494"/>
      <c r="W58" s="494"/>
      <c r="X58" s="494"/>
      <c r="Y58" s="494"/>
      <c r="Z58" s="494"/>
      <c r="AA58" s="494"/>
      <c r="AB58" s="494"/>
      <c r="AC58" s="494"/>
      <c r="AD58" s="495"/>
    </row>
    <row r="59" spans="1:32" ht="27" customHeight="1">
      <c r="A59" s="492"/>
      <c r="B59" s="493"/>
      <c r="C59" s="219"/>
      <c r="D59" s="216"/>
      <c r="E59" s="219"/>
      <c r="F59" s="494"/>
      <c r="G59" s="494"/>
      <c r="H59" s="494"/>
      <c r="I59" s="494"/>
      <c r="J59" s="494"/>
      <c r="K59" s="494"/>
      <c r="L59" s="494"/>
      <c r="M59" s="495"/>
      <c r="N59" s="215"/>
      <c r="O59" s="74"/>
      <c r="P59" s="498"/>
      <c r="Q59" s="498"/>
      <c r="R59" s="498"/>
      <c r="S59" s="498"/>
      <c r="T59" s="498"/>
      <c r="U59" s="498"/>
      <c r="V59" s="494"/>
      <c r="W59" s="494"/>
      <c r="X59" s="494"/>
      <c r="Y59" s="494"/>
      <c r="Z59" s="494"/>
      <c r="AA59" s="494"/>
      <c r="AB59" s="494"/>
      <c r="AC59" s="494"/>
      <c r="AD59" s="495"/>
    </row>
    <row r="60" spans="1:32" ht="27" customHeight="1">
      <c r="A60" s="508"/>
      <c r="B60" s="498"/>
      <c r="C60" s="216"/>
      <c r="D60" s="216"/>
      <c r="E60" s="216"/>
      <c r="F60" s="494"/>
      <c r="G60" s="494"/>
      <c r="H60" s="494"/>
      <c r="I60" s="494"/>
      <c r="J60" s="494"/>
      <c r="K60" s="494"/>
      <c r="L60" s="494"/>
      <c r="M60" s="495"/>
      <c r="N60" s="215"/>
      <c r="O60" s="74"/>
      <c r="P60" s="498"/>
      <c r="Q60" s="498"/>
      <c r="R60" s="498"/>
      <c r="S60" s="498"/>
      <c r="T60" s="498"/>
      <c r="U60" s="498"/>
      <c r="V60" s="494"/>
      <c r="W60" s="494"/>
      <c r="X60" s="494"/>
      <c r="Y60" s="494"/>
      <c r="Z60" s="494"/>
      <c r="AA60" s="494"/>
      <c r="AB60" s="494"/>
      <c r="AC60" s="494"/>
      <c r="AD60" s="495"/>
      <c r="AF60" s="94">
        <f>8*3000</f>
        <v>24000</v>
      </c>
    </row>
    <row r="61" spans="1:32" ht="27" customHeight="1" thickBot="1">
      <c r="A61" s="499"/>
      <c r="B61" s="500"/>
      <c r="C61" s="218"/>
      <c r="D61" s="218"/>
      <c r="E61" s="218"/>
      <c r="F61" s="501"/>
      <c r="G61" s="501"/>
      <c r="H61" s="501"/>
      <c r="I61" s="501"/>
      <c r="J61" s="501"/>
      <c r="K61" s="501"/>
      <c r="L61" s="501"/>
      <c r="M61" s="502"/>
      <c r="N61" s="217"/>
      <c r="O61" s="121"/>
      <c r="P61" s="500"/>
      <c r="Q61" s="500"/>
      <c r="R61" s="500"/>
      <c r="S61" s="500"/>
      <c r="T61" s="500"/>
      <c r="U61" s="500"/>
      <c r="V61" s="501"/>
      <c r="W61" s="501"/>
      <c r="X61" s="501"/>
      <c r="Y61" s="501"/>
      <c r="Z61" s="501"/>
      <c r="AA61" s="501"/>
      <c r="AB61" s="501"/>
      <c r="AC61" s="501"/>
      <c r="AD61" s="502"/>
      <c r="AF61" s="94">
        <f>16*3000</f>
        <v>48000</v>
      </c>
    </row>
    <row r="62" spans="1:32" ht="27.75" thickBot="1">
      <c r="A62" s="503" t="s">
        <v>561</v>
      </c>
      <c r="B62" s="503"/>
      <c r="C62" s="503"/>
      <c r="D62" s="503"/>
      <c r="E62" s="503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504" t="s">
        <v>114</v>
      </c>
      <c r="B63" s="505"/>
      <c r="C63" s="214" t="s">
        <v>2</v>
      </c>
      <c r="D63" s="214" t="s">
        <v>37</v>
      </c>
      <c r="E63" s="214" t="s">
        <v>3</v>
      </c>
      <c r="F63" s="505" t="s">
        <v>111</v>
      </c>
      <c r="G63" s="505"/>
      <c r="H63" s="505"/>
      <c r="I63" s="505"/>
      <c r="J63" s="505"/>
      <c r="K63" s="505" t="s">
        <v>39</v>
      </c>
      <c r="L63" s="505"/>
      <c r="M63" s="214" t="s">
        <v>40</v>
      </c>
      <c r="N63" s="505" t="s">
        <v>41</v>
      </c>
      <c r="O63" s="505"/>
      <c r="P63" s="506" t="s">
        <v>42</v>
      </c>
      <c r="Q63" s="507"/>
      <c r="R63" s="506" t="s">
        <v>43</v>
      </c>
      <c r="S63" s="509"/>
      <c r="T63" s="509"/>
      <c r="U63" s="509"/>
      <c r="V63" s="509"/>
      <c r="W63" s="509"/>
      <c r="X63" s="509"/>
      <c r="Y63" s="509"/>
      <c r="Z63" s="509"/>
      <c r="AA63" s="507"/>
      <c r="AB63" s="505" t="s">
        <v>44</v>
      </c>
      <c r="AC63" s="505"/>
      <c r="AD63" s="510"/>
      <c r="AF63" s="94">
        <f>SUM(AF60:AF62)</f>
        <v>96000</v>
      </c>
    </row>
    <row r="64" spans="1:32" ht="25.5" customHeight="1">
      <c r="A64" s="511">
        <v>1</v>
      </c>
      <c r="B64" s="512"/>
      <c r="C64" s="124" t="s">
        <v>562</v>
      </c>
      <c r="D64" s="210"/>
      <c r="E64" s="213" t="s">
        <v>563</v>
      </c>
      <c r="F64" s="513" t="s">
        <v>564</v>
      </c>
      <c r="G64" s="514"/>
      <c r="H64" s="514"/>
      <c r="I64" s="514"/>
      <c r="J64" s="514"/>
      <c r="K64" s="514" t="s">
        <v>565</v>
      </c>
      <c r="L64" s="514"/>
      <c r="M64" s="54" t="s">
        <v>566</v>
      </c>
      <c r="N64" s="514">
        <v>6</v>
      </c>
      <c r="O64" s="514"/>
      <c r="P64" s="515">
        <v>100</v>
      </c>
      <c r="Q64" s="515"/>
      <c r="R64" s="494" t="s">
        <v>567</v>
      </c>
      <c r="S64" s="494"/>
      <c r="T64" s="494"/>
      <c r="U64" s="494"/>
      <c r="V64" s="494"/>
      <c r="W64" s="494"/>
      <c r="X64" s="494"/>
      <c r="Y64" s="494"/>
      <c r="Z64" s="494"/>
      <c r="AA64" s="494"/>
      <c r="AB64" s="514"/>
      <c r="AC64" s="514"/>
      <c r="AD64" s="516"/>
      <c r="AF64" s="53"/>
    </row>
    <row r="65" spans="1:32" ht="25.5" customHeight="1">
      <c r="A65" s="511">
        <v>2</v>
      </c>
      <c r="B65" s="512"/>
      <c r="C65" s="124"/>
      <c r="D65" s="210"/>
      <c r="E65" s="213"/>
      <c r="F65" s="513"/>
      <c r="G65" s="514"/>
      <c r="H65" s="514"/>
      <c r="I65" s="514"/>
      <c r="J65" s="514"/>
      <c r="K65" s="514"/>
      <c r="L65" s="514"/>
      <c r="M65" s="54"/>
      <c r="N65" s="514"/>
      <c r="O65" s="514"/>
      <c r="P65" s="515"/>
      <c r="Q65" s="515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514"/>
      <c r="AC65" s="514"/>
      <c r="AD65" s="516"/>
      <c r="AF65" s="53"/>
    </row>
    <row r="66" spans="1:32" ht="25.5" customHeight="1">
      <c r="A66" s="511">
        <v>3</v>
      </c>
      <c r="B66" s="512"/>
      <c r="C66" s="124"/>
      <c r="D66" s="210"/>
      <c r="E66" s="213"/>
      <c r="F66" s="513"/>
      <c r="G66" s="514"/>
      <c r="H66" s="514"/>
      <c r="I66" s="514"/>
      <c r="J66" s="514"/>
      <c r="K66" s="514"/>
      <c r="L66" s="514"/>
      <c r="M66" s="54"/>
      <c r="N66" s="514"/>
      <c r="O66" s="514"/>
      <c r="P66" s="515"/>
      <c r="Q66" s="515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514"/>
      <c r="AC66" s="514"/>
      <c r="AD66" s="516"/>
      <c r="AF66" s="53"/>
    </row>
    <row r="67" spans="1:32" ht="25.5" customHeight="1">
      <c r="A67" s="511">
        <v>4</v>
      </c>
      <c r="B67" s="512"/>
      <c r="C67" s="124"/>
      <c r="D67" s="210"/>
      <c r="E67" s="213"/>
      <c r="F67" s="513"/>
      <c r="G67" s="514"/>
      <c r="H67" s="514"/>
      <c r="I67" s="514"/>
      <c r="J67" s="514"/>
      <c r="K67" s="514"/>
      <c r="L67" s="514"/>
      <c r="M67" s="54"/>
      <c r="N67" s="514"/>
      <c r="O67" s="514"/>
      <c r="P67" s="515"/>
      <c r="Q67" s="515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514"/>
      <c r="AC67" s="514"/>
      <c r="AD67" s="516"/>
      <c r="AF67" s="53"/>
    </row>
    <row r="68" spans="1:32" ht="25.5" customHeight="1">
      <c r="A68" s="511">
        <v>5</v>
      </c>
      <c r="B68" s="512"/>
      <c r="C68" s="124"/>
      <c r="D68" s="210"/>
      <c r="E68" s="213"/>
      <c r="F68" s="513"/>
      <c r="G68" s="514"/>
      <c r="H68" s="514"/>
      <c r="I68" s="514"/>
      <c r="J68" s="514"/>
      <c r="K68" s="514"/>
      <c r="L68" s="514"/>
      <c r="M68" s="54"/>
      <c r="N68" s="514"/>
      <c r="O68" s="514"/>
      <c r="P68" s="515"/>
      <c r="Q68" s="515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514"/>
      <c r="AC68" s="514"/>
      <c r="AD68" s="516"/>
      <c r="AF68" s="53"/>
    </row>
    <row r="69" spans="1:32" ht="25.5" customHeight="1">
      <c r="A69" s="511">
        <v>6</v>
      </c>
      <c r="B69" s="512"/>
      <c r="C69" s="124"/>
      <c r="D69" s="210"/>
      <c r="E69" s="213"/>
      <c r="F69" s="513"/>
      <c r="G69" s="514"/>
      <c r="H69" s="514"/>
      <c r="I69" s="514"/>
      <c r="J69" s="514"/>
      <c r="K69" s="514"/>
      <c r="L69" s="514"/>
      <c r="M69" s="54"/>
      <c r="N69" s="514"/>
      <c r="O69" s="514"/>
      <c r="P69" s="515"/>
      <c r="Q69" s="515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514"/>
      <c r="AC69" s="514"/>
      <c r="AD69" s="516"/>
      <c r="AF69" s="53"/>
    </row>
    <row r="70" spans="1:32" ht="25.5" customHeight="1">
      <c r="A70" s="511">
        <v>7</v>
      </c>
      <c r="B70" s="512"/>
      <c r="C70" s="124"/>
      <c r="D70" s="210"/>
      <c r="E70" s="213"/>
      <c r="F70" s="513"/>
      <c r="G70" s="514"/>
      <c r="H70" s="514"/>
      <c r="I70" s="514"/>
      <c r="J70" s="514"/>
      <c r="K70" s="514"/>
      <c r="L70" s="514"/>
      <c r="M70" s="54"/>
      <c r="N70" s="514"/>
      <c r="O70" s="514"/>
      <c r="P70" s="515"/>
      <c r="Q70" s="515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514"/>
      <c r="AC70" s="514"/>
      <c r="AD70" s="516"/>
      <c r="AF70" s="53"/>
    </row>
    <row r="71" spans="1:32" ht="25.5" customHeight="1">
      <c r="A71" s="511">
        <v>8</v>
      </c>
      <c r="B71" s="512"/>
      <c r="C71" s="124"/>
      <c r="D71" s="210"/>
      <c r="E71" s="213"/>
      <c r="F71" s="513"/>
      <c r="G71" s="514"/>
      <c r="H71" s="514"/>
      <c r="I71" s="514"/>
      <c r="J71" s="514"/>
      <c r="K71" s="514"/>
      <c r="L71" s="514"/>
      <c r="M71" s="54"/>
      <c r="N71" s="514"/>
      <c r="O71" s="514"/>
      <c r="P71" s="515"/>
      <c r="Q71" s="515"/>
      <c r="R71" s="494"/>
      <c r="S71" s="494"/>
      <c r="T71" s="494"/>
      <c r="U71" s="494"/>
      <c r="V71" s="494"/>
      <c r="W71" s="494"/>
      <c r="X71" s="494"/>
      <c r="Y71" s="494"/>
      <c r="Z71" s="494"/>
      <c r="AA71" s="494"/>
      <c r="AB71" s="514"/>
      <c r="AC71" s="514"/>
      <c r="AD71" s="516"/>
      <c r="AF71" s="53"/>
    </row>
    <row r="72" spans="1:32" ht="26.25" customHeight="1" thickBot="1">
      <c r="A72" s="517" t="s">
        <v>568</v>
      </c>
      <c r="B72" s="517"/>
      <c r="C72" s="517"/>
      <c r="D72" s="517"/>
      <c r="E72" s="517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518" t="s">
        <v>114</v>
      </c>
      <c r="B73" s="519"/>
      <c r="C73" s="212" t="s">
        <v>2</v>
      </c>
      <c r="D73" s="212" t="s">
        <v>37</v>
      </c>
      <c r="E73" s="212" t="s">
        <v>3</v>
      </c>
      <c r="F73" s="519" t="s">
        <v>38</v>
      </c>
      <c r="G73" s="519"/>
      <c r="H73" s="519"/>
      <c r="I73" s="519"/>
      <c r="J73" s="519"/>
      <c r="K73" s="520" t="s">
        <v>59</v>
      </c>
      <c r="L73" s="521"/>
      <c r="M73" s="521"/>
      <c r="N73" s="521"/>
      <c r="O73" s="521"/>
      <c r="P73" s="521"/>
      <c r="Q73" s="521"/>
      <c r="R73" s="521"/>
      <c r="S73" s="522"/>
      <c r="T73" s="519" t="s">
        <v>49</v>
      </c>
      <c r="U73" s="519"/>
      <c r="V73" s="520" t="s">
        <v>50</v>
      </c>
      <c r="W73" s="522"/>
      <c r="X73" s="521" t="s">
        <v>51</v>
      </c>
      <c r="Y73" s="521"/>
      <c r="Z73" s="521"/>
      <c r="AA73" s="521"/>
      <c r="AB73" s="521"/>
      <c r="AC73" s="521"/>
      <c r="AD73" s="523"/>
      <c r="AF73" s="53"/>
    </row>
    <row r="74" spans="1:32" ht="33.75" customHeight="1">
      <c r="A74" s="532">
        <v>1</v>
      </c>
      <c r="B74" s="533"/>
      <c r="C74" s="211" t="s">
        <v>117</v>
      </c>
      <c r="D74" s="211"/>
      <c r="E74" s="71" t="s">
        <v>123</v>
      </c>
      <c r="F74" s="534" t="s">
        <v>124</v>
      </c>
      <c r="G74" s="535"/>
      <c r="H74" s="535"/>
      <c r="I74" s="535"/>
      <c r="J74" s="536"/>
      <c r="K74" s="537" t="s">
        <v>119</v>
      </c>
      <c r="L74" s="538"/>
      <c r="M74" s="538"/>
      <c r="N74" s="538"/>
      <c r="O74" s="538"/>
      <c r="P74" s="538"/>
      <c r="Q74" s="538"/>
      <c r="R74" s="538"/>
      <c r="S74" s="539"/>
      <c r="T74" s="540">
        <v>42901</v>
      </c>
      <c r="U74" s="541"/>
      <c r="V74" s="542"/>
      <c r="W74" s="542"/>
      <c r="X74" s="543"/>
      <c r="Y74" s="543"/>
      <c r="Z74" s="543"/>
      <c r="AA74" s="543"/>
      <c r="AB74" s="543"/>
      <c r="AC74" s="543"/>
      <c r="AD74" s="544"/>
      <c r="AF74" s="53"/>
    </row>
    <row r="75" spans="1:32" ht="30" customHeight="1">
      <c r="A75" s="524">
        <f>A74+1</f>
        <v>2</v>
      </c>
      <c r="B75" s="525"/>
      <c r="C75" s="210" t="s">
        <v>117</v>
      </c>
      <c r="D75" s="210"/>
      <c r="E75" s="35" t="s">
        <v>120</v>
      </c>
      <c r="F75" s="525" t="s">
        <v>121</v>
      </c>
      <c r="G75" s="525"/>
      <c r="H75" s="525"/>
      <c r="I75" s="525"/>
      <c r="J75" s="525"/>
      <c r="K75" s="526" t="s">
        <v>122</v>
      </c>
      <c r="L75" s="527"/>
      <c r="M75" s="527"/>
      <c r="N75" s="527"/>
      <c r="O75" s="527"/>
      <c r="P75" s="527"/>
      <c r="Q75" s="527"/>
      <c r="R75" s="527"/>
      <c r="S75" s="528"/>
      <c r="T75" s="529">
        <v>42867</v>
      </c>
      <c r="U75" s="529"/>
      <c r="V75" s="529"/>
      <c r="W75" s="529"/>
      <c r="X75" s="530"/>
      <c r="Y75" s="530"/>
      <c r="Z75" s="530"/>
      <c r="AA75" s="530"/>
      <c r="AB75" s="530"/>
      <c r="AC75" s="530"/>
      <c r="AD75" s="531"/>
      <c r="AF75" s="53"/>
    </row>
    <row r="76" spans="1:32" ht="30" customHeight="1">
      <c r="A76" s="524">
        <f t="shared" ref="A76:A82" si="21">A75+1</f>
        <v>3</v>
      </c>
      <c r="B76" s="525"/>
      <c r="C76" s="210" t="s">
        <v>133</v>
      </c>
      <c r="D76" s="210"/>
      <c r="E76" s="35" t="s">
        <v>131</v>
      </c>
      <c r="F76" s="525" t="s">
        <v>134</v>
      </c>
      <c r="G76" s="525"/>
      <c r="H76" s="525"/>
      <c r="I76" s="525"/>
      <c r="J76" s="525"/>
      <c r="K76" s="526" t="s">
        <v>119</v>
      </c>
      <c r="L76" s="527"/>
      <c r="M76" s="527"/>
      <c r="N76" s="527"/>
      <c r="O76" s="527"/>
      <c r="P76" s="527"/>
      <c r="Q76" s="527"/>
      <c r="R76" s="527"/>
      <c r="S76" s="528"/>
      <c r="T76" s="529">
        <v>42937</v>
      </c>
      <c r="U76" s="529"/>
      <c r="V76" s="529"/>
      <c r="W76" s="529"/>
      <c r="X76" s="530"/>
      <c r="Y76" s="530"/>
      <c r="Z76" s="530"/>
      <c r="AA76" s="530"/>
      <c r="AB76" s="530"/>
      <c r="AC76" s="530"/>
      <c r="AD76" s="531"/>
      <c r="AF76" s="53"/>
    </row>
    <row r="77" spans="1:32" ht="30" customHeight="1">
      <c r="A77" s="524">
        <f t="shared" si="21"/>
        <v>4</v>
      </c>
      <c r="B77" s="525"/>
      <c r="C77" s="210" t="s">
        <v>118</v>
      </c>
      <c r="D77" s="210"/>
      <c r="E77" s="35" t="s">
        <v>129</v>
      </c>
      <c r="F77" s="525" t="s">
        <v>130</v>
      </c>
      <c r="G77" s="525"/>
      <c r="H77" s="525"/>
      <c r="I77" s="525"/>
      <c r="J77" s="525"/>
      <c r="K77" s="526" t="s">
        <v>132</v>
      </c>
      <c r="L77" s="527"/>
      <c r="M77" s="527"/>
      <c r="N77" s="527"/>
      <c r="O77" s="527"/>
      <c r="P77" s="527"/>
      <c r="Q77" s="527"/>
      <c r="R77" s="527"/>
      <c r="S77" s="528"/>
      <c r="T77" s="529">
        <v>42920</v>
      </c>
      <c r="U77" s="529"/>
      <c r="V77" s="529"/>
      <c r="W77" s="529"/>
      <c r="X77" s="530"/>
      <c r="Y77" s="530"/>
      <c r="Z77" s="530"/>
      <c r="AA77" s="530"/>
      <c r="AB77" s="530"/>
      <c r="AC77" s="530"/>
      <c r="AD77" s="531"/>
      <c r="AF77" s="53"/>
    </row>
    <row r="78" spans="1:32" ht="30" customHeight="1">
      <c r="A78" s="524">
        <f t="shared" si="21"/>
        <v>5</v>
      </c>
      <c r="B78" s="525"/>
      <c r="C78" s="210" t="s">
        <v>117</v>
      </c>
      <c r="D78" s="210"/>
      <c r="E78" s="35" t="s">
        <v>136</v>
      </c>
      <c r="F78" s="525" t="s">
        <v>156</v>
      </c>
      <c r="G78" s="525"/>
      <c r="H78" s="525"/>
      <c r="I78" s="525"/>
      <c r="J78" s="525"/>
      <c r="K78" s="526" t="s">
        <v>157</v>
      </c>
      <c r="L78" s="527"/>
      <c r="M78" s="527"/>
      <c r="N78" s="527"/>
      <c r="O78" s="527"/>
      <c r="P78" s="527"/>
      <c r="Q78" s="527"/>
      <c r="R78" s="527"/>
      <c r="S78" s="528"/>
      <c r="T78" s="529">
        <v>43033</v>
      </c>
      <c r="U78" s="529"/>
      <c r="V78" s="529"/>
      <c r="W78" s="529"/>
      <c r="X78" s="530"/>
      <c r="Y78" s="530"/>
      <c r="Z78" s="530"/>
      <c r="AA78" s="530"/>
      <c r="AB78" s="530"/>
      <c r="AC78" s="530"/>
      <c r="AD78" s="531"/>
      <c r="AF78" s="53"/>
    </row>
    <row r="79" spans="1:32" ht="30" customHeight="1">
      <c r="A79" s="524">
        <f t="shared" si="21"/>
        <v>6</v>
      </c>
      <c r="B79" s="525"/>
      <c r="C79" s="210"/>
      <c r="D79" s="210"/>
      <c r="E79" s="35"/>
      <c r="F79" s="525"/>
      <c r="G79" s="525"/>
      <c r="H79" s="525"/>
      <c r="I79" s="525"/>
      <c r="J79" s="525"/>
      <c r="K79" s="526"/>
      <c r="L79" s="527"/>
      <c r="M79" s="527"/>
      <c r="N79" s="527"/>
      <c r="O79" s="527"/>
      <c r="P79" s="527"/>
      <c r="Q79" s="527"/>
      <c r="R79" s="527"/>
      <c r="S79" s="528"/>
      <c r="T79" s="529"/>
      <c r="U79" s="529"/>
      <c r="V79" s="529"/>
      <c r="W79" s="529"/>
      <c r="X79" s="530"/>
      <c r="Y79" s="530"/>
      <c r="Z79" s="530"/>
      <c r="AA79" s="530"/>
      <c r="AB79" s="530"/>
      <c r="AC79" s="530"/>
      <c r="AD79" s="531"/>
      <c r="AF79" s="53"/>
    </row>
    <row r="80" spans="1:32" ht="30" customHeight="1">
      <c r="A80" s="524">
        <f t="shared" si="21"/>
        <v>7</v>
      </c>
      <c r="B80" s="525"/>
      <c r="C80" s="210"/>
      <c r="D80" s="210"/>
      <c r="E80" s="35"/>
      <c r="F80" s="525"/>
      <c r="G80" s="525"/>
      <c r="H80" s="525"/>
      <c r="I80" s="525"/>
      <c r="J80" s="525"/>
      <c r="K80" s="526"/>
      <c r="L80" s="527"/>
      <c r="M80" s="527"/>
      <c r="N80" s="527"/>
      <c r="O80" s="527"/>
      <c r="P80" s="527"/>
      <c r="Q80" s="527"/>
      <c r="R80" s="527"/>
      <c r="S80" s="528"/>
      <c r="T80" s="529"/>
      <c r="U80" s="529"/>
      <c r="V80" s="529"/>
      <c r="W80" s="529"/>
      <c r="X80" s="530"/>
      <c r="Y80" s="530"/>
      <c r="Z80" s="530"/>
      <c r="AA80" s="530"/>
      <c r="AB80" s="530"/>
      <c r="AC80" s="530"/>
      <c r="AD80" s="531"/>
      <c r="AF80" s="53"/>
    </row>
    <row r="81" spans="1:32" ht="30" customHeight="1">
      <c r="A81" s="524">
        <f t="shared" si="21"/>
        <v>8</v>
      </c>
      <c r="B81" s="525"/>
      <c r="C81" s="210"/>
      <c r="D81" s="210"/>
      <c r="E81" s="35"/>
      <c r="F81" s="525"/>
      <c r="G81" s="525"/>
      <c r="H81" s="525"/>
      <c r="I81" s="525"/>
      <c r="J81" s="525"/>
      <c r="K81" s="526"/>
      <c r="L81" s="527"/>
      <c r="M81" s="527"/>
      <c r="N81" s="527"/>
      <c r="O81" s="527"/>
      <c r="P81" s="527"/>
      <c r="Q81" s="527"/>
      <c r="R81" s="527"/>
      <c r="S81" s="528"/>
      <c r="T81" s="529"/>
      <c r="U81" s="529"/>
      <c r="V81" s="529"/>
      <c r="W81" s="529"/>
      <c r="X81" s="530"/>
      <c r="Y81" s="530"/>
      <c r="Z81" s="530"/>
      <c r="AA81" s="530"/>
      <c r="AB81" s="530"/>
      <c r="AC81" s="530"/>
      <c r="AD81" s="531"/>
      <c r="AF81" s="53"/>
    </row>
    <row r="82" spans="1:32" ht="30" customHeight="1">
      <c r="A82" s="524">
        <f t="shared" si="21"/>
        <v>9</v>
      </c>
      <c r="B82" s="525"/>
      <c r="C82" s="210"/>
      <c r="D82" s="210"/>
      <c r="E82" s="35"/>
      <c r="F82" s="525"/>
      <c r="G82" s="525"/>
      <c r="H82" s="525"/>
      <c r="I82" s="525"/>
      <c r="J82" s="525"/>
      <c r="K82" s="526"/>
      <c r="L82" s="527"/>
      <c r="M82" s="527"/>
      <c r="N82" s="527"/>
      <c r="O82" s="527"/>
      <c r="P82" s="527"/>
      <c r="Q82" s="527"/>
      <c r="R82" s="527"/>
      <c r="S82" s="528"/>
      <c r="T82" s="529"/>
      <c r="U82" s="529"/>
      <c r="V82" s="529"/>
      <c r="W82" s="529"/>
      <c r="X82" s="530"/>
      <c r="Y82" s="530"/>
      <c r="Z82" s="530"/>
      <c r="AA82" s="530"/>
      <c r="AB82" s="530"/>
      <c r="AC82" s="530"/>
      <c r="AD82" s="531"/>
      <c r="AF82" s="53"/>
    </row>
    <row r="83" spans="1:32" ht="36" thickBot="1">
      <c r="A83" s="517" t="s">
        <v>569</v>
      </c>
      <c r="B83" s="517"/>
      <c r="C83" s="517"/>
      <c r="D83" s="517"/>
      <c r="E83" s="517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518" t="s">
        <v>114</v>
      </c>
      <c r="B84" s="519"/>
      <c r="C84" s="545" t="s">
        <v>52</v>
      </c>
      <c r="D84" s="545"/>
      <c r="E84" s="545" t="s">
        <v>53</v>
      </c>
      <c r="F84" s="545"/>
      <c r="G84" s="545"/>
      <c r="H84" s="545"/>
      <c r="I84" s="545"/>
      <c r="J84" s="545"/>
      <c r="K84" s="545" t="s">
        <v>54</v>
      </c>
      <c r="L84" s="545"/>
      <c r="M84" s="545"/>
      <c r="N84" s="545"/>
      <c r="O84" s="545"/>
      <c r="P84" s="545"/>
      <c r="Q84" s="545"/>
      <c r="R84" s="545"/>
      <c r="S84" s="545"/>
      <c r="T84" s="545" t="s">
        <v>55</v>
      </c>
      <c r="U84" s="545"/>
      <c r="V84" s="545" t="s">
        <v>56</v>
      </c>
      <c r="W84" s="545"/>
      <c r="X84" s="545"/>
      <c r="Y84" s="545" t="s">
        <v>51</v>
      </c>
      <c r="Z84" s="545"/>
      <c r="AA84" s="545"/>
      <c r="AB84" s="545"/>
      <c r="AC84" s="545"/>
      <c r="AD84" s="546"/>
      <c r="AF84" s="53"/>
    </row>
    <row r="85" spans="1:32" ht="30.75" customHeight="1">
      <c r="A85" s="532">
        <v>1</v>
      </c>
      <c r="B85" s="533"/>
      <c r="C85" s="547"/>
      <c r="D85" s="547"/>
      <c r="E85" s="547"/>
      <c r="F85" s="547"/>
      <c r="G85" s="547"/>
      <c r="H85" s="547"/>
      <c r="I85" s="547"/>
      <c r="J85" s="547"/>
      <c r="K85" s="547"/>
      <c r="L85" s="547"/>
      <c r="M85" s="547"/>
      <c r="N85" s="547"/>
      <c r="O85" s="547"/>
      <c r="P85" s="547"/>
      <c r="Q85" s="547"/>
      <c r="R85" s="547"/>
      <c r="S85" s="547"/>
      <c r="T85" s="547"/>
      <c r="U85" s="547"/>
      <c r="V85" s="548"/>
      <c r="W85" s="548"/>
      <c r="X85" s="548"/>
      <c r="Y85" s="549"/>
      <c r="Z85" s="549"/>
      <c r="AA85" s="549"/>
      <c r="AB85" s="549"/>
      <c r="AC85" s="549"/>
      <c r="AD85" s="550"/>
      <c r="AF85" s="53"/>
    </row>
    <row r="86" spans="1:32" ht="30.75" customHeight="1">
      <c r="A86" s="524">
        <v>2</v>
      </c>
      <c r="B86" s="525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9"/>
      <c r="U86" s="559"/>
      <c r="V86" s="560"/>
      <c r="W86" s="560"/>
      <c r="X86" s="560"/>
      <c r="Y86" s="551"/>
      <c r="Z86" s="551"/>
      <c r="AA86" s="551"/>
      <c r="AB86" s="551"/>
      <c r="AC86" s="551"/>
      <c r="AD86" s="552"/>
      <c r="AF86" s="53"/>
    </row>
    <row r="87" spans="1:32" ht="30.75" customHeight="1" thickBot="1">
      <c r="A87" s="553">
        <v>3</v>
      </c>
      <c r="B87" s="554"/>
      <c r="C87" s="555"/>
      <c r="D87" s="555"/>
      <c r="E87" s="555"/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555"/>
      <c r="Q87" s="555"/>
      <c r="R87" s="555"/>
      <c r="S87" s="555"/>
      <c r="T87" s="555"/>
      <c r="U87" s="555"/>
      <c r="V87" s="555"/>
      <c r="W87" s="555"/>
      <c r="X87" s="555"/>
      <c r="Y87" s="556"/>
      <c r="Z87" s="556"/>
      <c r="AA87" s="556"/>
      <c r="AB87" s="556"/>
      <c r="AC87" s="556"/>
      <c r="AD87" s="557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28</vt:i4>
      </vt:variant>
      <vt:variant>
        <vt:lpstr>이름이 지정된 범위</vt:lpstr>
      </vt:variant>
      <vt:variant>
        <vt:i4>27</vt:i4>
      </vt:variant>
    </vt:vector>
  </HeadingPairs>
  <TitlesOfParts>
    <vt:vector size="55" baseType="lpstr">
      <vt:lpstr>총괄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17</vt:lpstr>
      <vt:lpstr>18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'11'!Print_Area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'30'!Print_Area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김성연</cp:lastModifiedBy>
  <cp:lastPrinted>2017-05-09T00:48:16Z</cp:lastPrinted>
  <dcterms:created xsi:type="dcterms:W3CDTF">2014-05-16T00:06:55Z</dcterms:created>
  <dcterms:modified xsi:type="dcterms:W3CDTF">2017-12-02T05:23:02Z</dcterms:modified>
</cp:coreProperties>
</file>